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tabRatio="785" activeTab="1"/>
  </bookViews>
  <sheets>
    <sheet name="封面" sheetId="17" r:id="rId1"/>
    <sheet name=" 汇总表 " sheetId="18" r:id="rId2"/>
    <sheet name="合同执行情况明细汇总" sheetId="16" r:id="rId3"/>
    <sheet name="1、EPC合同" sheetId="9" r:id="rId4"/>
    <sheet name="2、设备合同" sheetId="10" r:id="rId5"/>
    <sheet name="3、工程合同" sheetId="11" r:id="rId6"/>
    <sheet name="4、其他合同" sheetId="14" r:id="rId7"/>
    <sheet name="HSE保证金及罚款" sheetId="19" r:id="rId8"/>
    <sheet name="水电费" sheetId="20" r:id="rId9"/>
    <sheet name="采购员" sheetId="21" r:id="rId10"/>
  </sheets>
  <definedNames>
    <definedName name="_xlnm._FilterDatabase" localSheetId="3" hidden="1">'1、EPC合同'!$A$5:$AR$64</definedName>
    <definedName name="_xlnm._FilterDatabase" localSheetId="5" hidden="1">'3、工程合同'!$A$5:$AT$191</definedName>
    <definedName name="_xlnm._FilterDatabase" localSheetId="6" hidden="1">'4、其他合同'!$A$5:$AR$66</definedName>
    <definedName name="_xlnm._FilterDatabase" localSheetId="2" hidden="1">合同执行情况明细汇总!$A$5:$AN$291</definedName>
    <definedName name="_xlnm._FilterDatabase" localSheetId="4" hidden="1">'2、设备合同'!$A$5:$AR$114</definedName>
    <definedName name="_xlnm._FilterDatabase" localSheetId="7" hidden="1">HSE保证金及罚款!$B$2:$H$18</definedName>
  </definedNames>
  <calcPr calcId="144525" concurrentCalc="0"/>
</workbook>
</file>

<file path=xl/comments1.xml><?xml version="1.0" encoding="utf-8"?>
<comments xmlns="http://schemas.openxmlformats.org/spreadsheetml/2006/main">
  <authors>
    <author>永荣科技</author>
  </authors>
  <commentList>
    <comment ref="P6" authorId="0">
      <text>
        <r>
          <rPr>
            <b/>
            <sz val="9"/>
            <rFont val="宋体"/>
            <charset val="134"/>
          </rPr>
          <t>永荣科技:</t>
        </r>
        <r>
          <rPr>
            <sz val="9"/>
            <rFont val="宋体"/>
            <charset val="134"/>
          </rPr>
          <t xml:space="preserve">
1</t>
        </r>
      </text>
    </comment>
    <comment ref="S6" authorId="0">
      <text>
        <r>
          <rPr>
            <b/>
            <sz val="9"/>
            <rFont val="宋体"/>
            <charset val="134"/>
          </rPr>
          <t>永荣科技:</t>
        </r>
        <r>
          <rPr>
            <sz val="9"/>
            <rFont val="宋体"/>
            <charset val="134"/>
          </rPr>
          <t xml:space="preserve">
第3次：
3</t>
        </r>
      </text>
    </comment>
    <comment ref="P7" authorId="0">
      <text>
        <r>
          <rPr>
            <b/>
            <sz val="9"/>
            <rFont val="宋体"/>
            <charset val="134"/>
          </rPr>
          <t>永荣科技:</t>
        </r>
        <r>
          <rPr>
            <sz val="9"/>
            <rFont val="宋体"/>
            <charset val="134"/>
          </rPr>
          <t xml:space="preserve">
1
2
</t>
        </r>
      </text>
    </comment>
    <comment ref="S7" authorId="0">
      <text>
        <r>
          <rPr>
            <b/>
            <sz val="9"/>
            <rFont val="宋体"/>
            <charset val="134"/>
          </rPr>
          <t>永荣科技:</t>
        </r>
        <r>
          <rPr>
            <sz val="9"/>
            <rFont val="宋体"/>
            <charset val="134"/>
          </rPr>
          <t xml:space="preserve">
4</t>
        </r>
      </text>
    </comment>
    <comment ref="V7" authorId="0">
      <text>
        <r>
          <rPr>
            <b/>
            <sz val="9"/>
            <rFont val="宋体"/>
            <charset val="134"/>
          </rPr>
          <t>永荣科技:</t>
        </r>
        <r>
          <rPr>
            <sz val="9"/>
            <rFont val="宋体"/>
            <charset val="134"/>
          </rPr>
          <t xml:space="preserve">
5，待核对</t>
        </r>
      </text>
    </comment>
    <comment ref="P8" authorId="0">
      <text>
        <r>
          <rPr>
            <b/>
            <sz val="9"/>
            <rFont val="宋体"/>
            <charset val="134"/>
          </rPr>
          <t>永荣科技:</t>
        </r>
        <r>
          <rPr>
            <sz val="9"/>
            <rFont val="宋体"/>
            <charset val="134"/>
          </rPr>
          <t xml:space="preserve">
1</t>
        </r>
      </text>
    </comment>
    <comment ref="S8" authorId="0">
      <text>
        <r>
          <rPr>
            <b/>
            <sz val="9"/>
            <rFont val="宋体"/>
            <charset val="134"/>
          </rPr>
          <t>永荣科技:</t>
        </r>
        <r>
          <rPr>
            <sz val="9"/>
            <rFont val="宋体"/>
            <charset val="134"/>
          </rPr>
          <t xml:space="preserve">
4</t>
        </r>
      </text>
    </comment>
    <comment ref="V8" authorId="0">
      <text>
        <r>
          <rPr>
            <b/>
            <sz val="9"/>
            <rFont val="宋体"/>
            <charset val="134"/>
          </rPr>
          <t>永荣科技:</t>
        </r>
        <r>
          <rPr>
            <sz val="9"/>
            <rFont val="宋体"/>
            <charset val="134"/>
          </rPr>
          <t xml:space="preserve">
4</t>
        </r>
      </text>
    </comment>
    <comment ref="P9" authorId="0">
      <text>
        <r>
          <rPr>
            <b/>
            <sz val="9"/>
            <rFont val="宋体"/>
            <charset val="134"/>
          </rPr>
          <t>永荣科技:</t>
        </r>
        <r>
          <rPr>
            <sz val="9"/>
            <rFont val="宋体"/>
            <charset val="134"/>
          </rPr>
          <t xml:space="preserve">
1</t>
        </r>
      </text>
    </comment>
    <comment ref="S9" authorId="0">
      <text>
        <r>
          <rPr>
            <b/>
            <sz val="9"/>
            <rFont val="宋体"/>
            <charset val="134"/>
          </rPr>
          <t>永荣科技:</t>
        </r>
        <r>
          <rPr>
            <sz val="9"/>
            <rFont val="宋体"/>
            <charset val="134"/>
          </rPr>
          <t xml:space="preserve">
4</t>
        </r>
      </text>
    </comment>
    <comment ref="V9" authorId="0">
      <text>
        <r>
          <rPr>
            <b/>
            <sz val="9"/>
            <rFont val="宋体"/>
            <charset val="134"/>
          </rPr>
          <t>永荣科技:</t>
        </r>
        <r>
          <rPr>
            <sz val="9"/>
            <rFont val="宋体"/>
            <charset val="134"/>
          </rPr>
          <t xml:space="preserve">
6</t>
        </r>
      </text>
    </comment>
    <comment ref="P10" authorId="0">
      <text>
        <r>
          <rPr>
            <b/>
            <sz val="9"/>
            <rFont val="宋体"/>
            <charset val="134"/>
          </rPr>
          <t>永荣科技:</t>
        </r>
        <r>
          <rPr>
            <sz val="9"/>
            <rFont val="宋体"/>
            <charset val="134"/>
          </rPr>
          <t xml:space="preserve">
1</t>
        </r>
      </text>
    </comment>
    <comment ref="S10" authorId="0">
      <text>
        <r>
          <rPr>
            <b/>
            <sz val="9"/>
            <rFont val="宋体"/>
            <charset val="134"/>
          </rPr>
          <t>永荣科技:</t>
        </r>
        <r>
          <rPr>
            <sz val="9"/>
            <rFont val="宋体"/>
            <charset val="134"/>
          </rPr>
          <t xml:space="preserve">
4</t>
        </r>
      </text>
    </comment>
    <comment ref="AH10" authorId="0">
      <text>
        <r>
          <rPr>
            <b/>
            <sz val="9"/>
            <rFont val="宋体"/>
            <charset val="134"/>
          </rPr>
          <t>永荣科技:</t>
        </r>
        <r>
          <rPr>
            <sz val="9"/>
            <rFont val="宋体"/>
            <charset val="134"/>
          </rPr>
          <t xml:space="preserve">
3</t>
        </r>
      </text>
    </comment>
    <comment ref="P11" authorId="0">
      <text>
        <r>
          <rPr>
            <b/>
            <sz val="9"/>
            <rFont val="宋体"/>
            <charset val="134"/>
          </rPr>
          <t>永荣科技:</t>
        </r>
        <r>
          <rPr>
            <sz val="9"/>
            <rFont val="宋体"/>
            <charset val="134"/>
          </rPr>
          <t xml:space="preserve">
1</t>
        </r>
      </text>
    </comment>
    <comment ref="S11" authorId="0">
      <text>
        <r>
          <rPr>
            <b/>
            <sz val="9"/>
            <rFont val="宋体"/>
            <charset val="134"/>
          </rPr>
          <t>永荣科技:</t>
        </r>
        <r>
          <rPr>
            <sz val="9"/>
            <rFont val="宋体"/>
            <charset val="134"/>
          </rPr>
          <t xml:space="preserve">
4</t>
        </r>
      </text>
    </comment>
    <comment ref="AH11" authorId="0">
      <text>
        <r>
          <rPr>
            <b/>
            <sz val="9"/>
            <rFont val="宋体"/>
            <charset val="134"/>
          </rPr>
          <t>永荣科技:</t>
        </r>
        <r>
          <rPr>
            <sz val="9"/>
            <rFont val="宋体"/>
            <charset val="134"/>
          </rPr>
          <t xml:space="preserve">
3</t>
        </r>
      </text>
    </comment>
    <comment ref="G12" authorId="0">
      <text>
        <r>
          <rPr>
            <b/>
            <sz val="9"/>
            <rFont val="宋体"/>
            <charset val="134"/>
          </rPr>
          <t>永荣科技:</t>
        </r>
        <r>
          <rPr>
            <sz val="9"/>
            <rFont val="宋体"/>
            <charset val="134"/>
          </rPr>
          <t xml:space="preserve">
1、17.5记120，汇1204.17194万元（已核对）
2、17.5记109，汇1090.33994万元（已核对）
3、17.7记169，汇654.4839万元（共733.5339万元，扣HSE保证金78.8万元，公司少汇0.25万元） 已核对
4、17.8.8申请汇款7549407元（本次完工量9174668元，截止上次累计完工量30377958.1元）已核对
5、17.8.16申请汇款6993231元（待扣水电费57327元）</t>
        </r>
      </text>
    </comment>
    <comment ref="P13" authorId="0">
      <text>
        <r>
          <rPr>
            <b/>
            <sz val="9"/>
            <rFont val="宋体"/>
            <charset val="134"/>
          </rPr>
          <t xml:space="preserve">永荣科技:
</t>
        </r>
        <r>
          <rPr>
            <sz val="9"/>
            <rFont val="宋体"/>
            <charset val="134"/>
          </rPr>
          <t>1</t>
        </r>
      </text>
    </comment>
    <comment ref="S13" authorId="0">
      <text>
        <r>
          <rPr>
            <b/>
            <sz val="9"/>
            <rFont val="宋体"/>
            <charset val="134"/>
          </rPr>
          <t>永荣科技:</t>
        </r>
        <r>
          <rPr>
            <sz val="9"/>
            <rFont val="宋体"/>
            <charset val="134"/>
          </rPr>
          <t xml:space="preserve">
2</t>
        </r>
      </text>
    </comment>
    <comment ref="P14" authorId="0">
      <text>
        <r>
          <rPr>
            <b/>
            <sz val="9"/>
            <rFont val="宋体"/>
            <charset val="134"/>
          </rPr>
          <t>永荣科技:</t>
        </r>
        <r>
          <rPr>
            <sz val="9"/>
            <rFont val="宋体"/>
            <charset val="134"/>
          </rPr>
          <t xml:space="preserve">
1</t>
        </r>
      </text>
    </comment>
    <comment ref="S14" authorId="0">
      <text>
        <r>
          <rPr>
            <b/>
            <sz val="9"/>
            <rFont val="宋体"/>
            <charset val="134"/>
          </rPr>
          <t>永荣科技:</t>
        </r>
        <r>
          <rPr>
            <sz val="9"/>
            <rFont val="宋体"/>
            <charset val="134"/>
          </rPr>
          <t xml:space="preserve">
4</t>
        </r>
      </text>
    </comment>
    <comment ref="P15" authorId="0">
      <text>
        <r>
          <rPr>
            <b/>
            <sz val="9"/>
            <rFont val="宋体"/>
            <charset val="134"/>
          </rPr>
          <t>永荣科技:</t>
        </r>
        <r>
          <rPr>
            <sz val="9"/>
            <rFont val="宋体"/>
            <charset val="134"/>
          </rPr>
          <t xml:space="preserve">
3
4</t>
        </r>
      </text>
    </comment>
    <comment ref="P19" authorId="0">
      <text>
        <r>
          <rPr>
            <b/>
            <sz val="9"/>
            <rFont val="宋体"/>
            <charset val="134"/>
          </rPr>
          <t>永荣科技:</t>
        </r>
        <r>
          <rPr>
            <sz val="9"/>
            <rFont val="宋体"/>
            <charset val="134"/>
          </rPr>
          <t xml:space="preserve">
3
4</t>
        </r>
      </text>
    </comment>
    <comment ref="P25" authorId="0">
      <text>
        <r>
          <rPr>
            <b/>
            <sz val="9"/>
            <rFont val="宋体"/>
            <charset val="134"/>
          </rPr>
          <t>永荣科技:</t>
        </r>
        <r>
          <rPr>
            <sz val="9"/>
            <rFont val="宋体"/>
            <charset val="134"/>
          </rPr>
          <t xml:space="preserve">
3</t>
        </r>
      </text>
    </comment>
    <comment ref="P26" authorId="0">
      <text>
        <r>
          <rPr>
            <b/>
            <sz val="9"/>
            <rFont val="宋体"/>
            <charset val="134"/>
          </rPr>
          <t>永荣科技:</t>
        </r>
        <r>
          <rPr>
            <sz val="9"/>
            <rFont val="宋体"/>
            <charset val="134"/>
          </rPr>
          <t xml:space="preserve">
3
4</t>
        </r>
      </text>
    </comment>
    <comment ref="P27" authorId="0">
      <text>
        <r>
          <rPr>
            <b/>
            <sz val="9"/>
            <rFont val="宋体"/>
            <charset val="134"/>
          </rPr>
          <t>永荣科技:</t>
        </r>
        <r>
          <rPr>
            <sz val="9"/>
            <rFont val="宋体"/>
            <charset val="134"/>
          </rPr>
          <t xml:space="preserve">
3
4</t>
        </r>
      </text>
    </comment>
    <comment ref="P28" authorId="0">
      <text>
        <r>
          <rPr>
            <b/>
            <sz val="9"/>
            <rFont val="宋体"/>
            <charset val="134"/>
          </rPr>
          <t>永荣科技:</t>
        </r>
        <r>
          <rPr>
            <sz val="9"/>
            <rFont val="宋体"/>
            <charset val="134"/>
          </rPr>
          <t xml:space="preserve">
3
4</t>
        </r>
      </text>
    </comment>
    <comment ref="P29" authorId="0">
      <text>
        <r>
          <rPr>
            <b/>
            <sz val="9"/>
            <rFont val="宋体"/>
            <charset val="134"/>
          </rPr>
          <t>永荣科技:</t>
        </r>
        <r>
          <rPr>
            <sz val="9"/>
            <rFont val="宋体"/>
            <charset val="134"/>
          </rPr>
          <t xml:space="preserve">
3
4</t>
        </r>
      </text>
    </comment>
    <comment ref="P30" authorId="0">
      <text>
        <r>
          <rPr>
            <b/>
            <sz val="9"/>
            <rFont val="宋体"/>
            <charset val="134"/>
          </rPr>
          <t>永荣科技:</t>
        </r>
        <r>
          <rPr>
            <sz val="9"/>
            <rFont val="宋体"/>
            <charset val="134"/>
          </rPr>
          <t xml:space="preserve">
3
4</t>
        </r>
      </text>
    </comment>
    <comment ref="P31" authorId="0">
      <text>
        <r>
          <rPr>
            <b/>
            <sz val="9"/>
            <rFont val="宋体"/>
            <charset val="134"/>
          </rPr>
          <t>永荣科技:</t>
        </r>
        <r>
          <rPr>
            <sz val="9"/>
            <rFont val="宋体"/>
            <charset val="134"/>
          </rPr>
          <t xml:space="preserve">
3
4</t>
        </r>
      </text>
    </comment>
    <comment ref="P32" authorId="0">
      <text>
        <r>
          <rPr>
            <b/>
            <sz val="9"/>
            <rFont val="宋体"/>
            <charset val="134"/>
          </rPr>
          <t>永荣科技:</t>
        </r>
        <r>
          <rPr>
            <sz val="9"/>
            <rFont val="宋体"/>
            <charset val="134"/>
          </rPr>
          <t xml:space="preserve">
3</t>
        </r>
      </text>
    </comment>
    <comment ref="P33" authorId="0">
      <text>
        <r>
          <rPr>
            <b/>
            <sz val="9"/>
            <rFont val="宋体"/>
            <charset val="134"/>
          </rPr>
          <t>永荣科技:</t>
        </r>
        <r>
          <rPr>
            <sz val="9"/>
            <rFont val="宋体"/>
            <charset val="134"/>
          </rPr>
          <t xml:space="preserve">
3
4</t>
        </r>
      </text>
    </comment>
    <comment ref="F34" authorId="0">
      <text>
        <r>
          <rPr>
            <b/>
            <sz val="9"/>
            <rFont val="宋体"/>
            <charset val="134"/>
          </rPr>
          <t>永荣科技:</t>
        </r>
        <r>
          <rPr>
            <sz val="9"/>
            <rFont val="宋体"/>
            <charset val="134"/>
          </rPr>
          <t xml:space="preserve">
1、17.5记121，汇579.905万元（预付款；本次完工量579.905万元）
2、17.6记154/147，汇341.301425万元（共390万元，扣第一次反贴息8.698575万元，扣HSE保证金40万元；本次完工390万元，累计969.905万元）
3、17.8.21申请汇366.77026万元（本次完工475.745866万元，累计1445.650866万元）
4、17.9.8申请655.0308万元（本次完工7570171元，累计2202.667966万元）</t>
        </r>
      </text>
    </comment>
    <comment ref="J34" authorId="0">
      <text>
        <r>
          <rPr>
            <b/>
            <sz val="9"/>
            <rFont val="宋体"/>
            <charset val="134"/>
          </rPr>
          <t>永荣科技:</t>
        </r>
        <r>
          <rPr>
            <sz val="9"/>
            <rFont val="宋体"/>
            <charset val="134"/>
          </rPr>
          <t xml:space="preserve">
第一次： 
2017年5月记121，转汇579.905万（第二次扣掉贴息1.5%）
第二次：
2017年6月记154，共390万元，实汇341.301425万元（承兑305万+35万+转汇1.301425万）+（扣第一次贴息8.698575万+扣安全保证金40万）
</t>
        </r>
      </text>
    </comment>
    <comment ref="P35" authorId="0">
      <text>
        <r>
          <rPr>
            <b/>
            <sz val="9"/>
            <rFont val="宋体"/>
            <charset val="134"/>
          </rPr>
          <t>永荣科技:</t>
        </r>
        <r>
          <rPr>
            <sz val="9"/>
            <rFont val="宋体"/>
            <charset val="134"/>
          </rPr>
          <t xml:space="preserve">
1</t>
        </r>
      </text>
    </comment>
    <comment ref="P36" authorId="0">
      <text>
        <r>
          <rPr>
            <b/>
            <sz val="9"/>
            <rFont val="宋体"/>
            <charset val="134"/>
          </rPr>
          <t>永荣科技:</t>
        </r>
        <r>
          <rPr>
            <sz val="9"/>
            <rFont val="宋体"/>
            <charset val="134"/>
          </rPr>
          <t xml:space="preserve">
1</t>
        </r>
      </text>
    </comment>
    <comment ref="P37" authorId="0">
      <text>
        <r>
          <rPr>
            <b/>
            <sz val="9"/>
            <rFont val="宋体"/>
            <charset val="134"/>
          </rPr>
          <t>永荣科技:</t>
        </r>
        <r>
          <rPr>
            <sz val="9"/>
            <rFont val="宋体"/>
            <charset val="134"/>
          </rPr>
          <t xml:space="preserve">
1</t>
        </r>
      </text>
    </comment>
    <comment ref="P38" authorId="0">
      <text>
        <r>
          <rPr>
            <b/>
            <sz val="9"/>
            <rFont val="宋体"/>
            <charset val="134"/>
          </rPr>
          <t>永荣科技:</t>
        </r>
        <r>
          <rPr>
            <sz val="9"/>
            <rFont val="宋体"/>
            <charset val="134"/>
          </rPr>
          <t xml:space="preserve">
1</t>
        </r>
      </text>
    </comment>
    <comment ref="P39" authorId="0">
      <text>
        <r>
          <rPr>
            <b/>
            <sz val="9"/>
            <rFont val="宋体"/>
            <charset val="134"/>
          </rPr>
          <t>永荣科技:</t>
        </r>
        <r>
          <rPr>
            <sz val="9"/>
            <rFont val="宋体"/>
            <charset val="134"/>
          </rPr>
          <t xml:space="preserve">
1</t>
        </r>
      </text>
    </comment>
    <comment ref="F40" authorId="0">
      <text>
        <r>
          <rPr>
            <b/>
            <sz val="9"/>
            <rFont val="宋体"/>
            <charset val="134"/>
          </rPr>
          <t>永荣科技:</t>
        </r>
        <r>
          <rPr>
            <sz val="9"/>
            <rFont val="宋体"/>
            <charset val="134"/>
          </rPr>
          <t xml:space="preserve">
1、17.5记114，汇585.06万元（15%预付款，共597万元，扣2%反贴息11.94万元）</t>
        </r>
      </text>
    </comment>
    <comment ref="P41" authorId="0">
      <text>
        <r>
          <rPr>
            <b/>
            <sz val="9"/>
            <rFont val="宋体"/>
            <charset val="134"/>
          </rPr>
          <t>永荣科技:</t>
        </r>
        <r>
          <rPr>
            <sz val="9"/>
            <rFont val="宋体"/>
            <charset val="134"/>
          </rPr>
          <t xml:space="preserve">
1
</t>
        </r>
      </text>
    </comment>
    <comment ref="P42" authorId="0">
      <text>
        <r>
          <rPr>
            <b/>
            <sz val="9"/>
            <rFont val="宋体"/>
            <charset val="134"/>
          </rPr>
          <t>永荣科技:</t>
        </r>
        <r>
          <rPr>
            <sz val="9"/>
            <rFont val="宋体"/>
            <charset val="134"/>
          </rPr>
          <t xml:space="preserve">
1</t>
        </r>
      </text>
    </comment>
    <comment ref="P43" authorId="0">
      <text>
        <r>
          <rPr>
            <b/>
            <sz val="9"/>
            <rFont val="宋体"/>
            <charset val="134"/>
          </rPr>
          <t>永荣科技:</t>
        </r>
        <r>
          <rPr>
            <sz val="9"/>
            <rFont val="宋体"/>
            <charset val="134"/>
          </rPr>
          <t xml:space="preserve">
1</t>
        </r>
      </text>
    </comment>
    <comment ref="P44" authorId="0">
      <text>
        <r>
          <rPr>
            <b/>
            <sz val="9"/>
            <rFont val="宋体"/>
            <charset val="134"/>
          </rPr>
          <t>永荣科技:</t>
        </r>
        <r>
          <rPr>
            <sz val="9"/>
            <rFont val="宋体"/>
            <charset val="134"/>
          </rPr>
          <t xml:space="preserve">
1</t>
        </r>
      </text>
    </comment>
    <comment ref="P45" authorId="0">
      <text>
        <r>
          <rPr>
            <b/>
            <sz val="9"/>
            <rFont val="宋体"/>
            <charset val="134"/>
          </rPr>
          <t>永荣科技:</t>
        </r>
        <r>
          <rPr>
            <sz val="9"/>
            <rFont val="宋体"/>
            <charset val="134"/>
          </rPr>
          <t xml:space="preserve">
1</t>
        </r>
      </text>
    </comment>
    <comment ref="P46" authorId="0">
      <text>
        <r>
          <rPr>
            <b/>
            <sz val="9"/>
            <rFont val="宋体"/>
            <charset val="134"/>
          </rPr>
          <t>永荣科技:</t>
        </r>
        <r>
          <rPr>
            <sz val="9"/>
            <rFont val="宋体"/>
            <charset val="134"/>
          </rPr>
          <t xml:space="preserve">
1</t>
        </r>
      </text>
    </comment>
    <comment ref="P47" authorId="0">
      <text>
        <r>
          <rPr>
            <b/>
            <sz val="9"/>
            <rFont val="宋体"/>
            <charset val="134"/>
          </rPr>
          <t>永荣科技:</t>
        </r>
        <r>
          <rPr>
            <sz val="9"/>
            <rFont val="宋体"/>
            <charset val="134"/>
          </rPr>
          <t xml:space="preserve">
1</t>
        </r>
      </text>
    </comment>
    <comment ref="F48" authorId="0">
      <text>
        <r>
          <rPr>
            <b/>
            <sz val="9"/>
            <rFont val="宋体"/>
            <charset val="134"/>
          </rPr>
          <t>永荣科技:</t>
        </r>
        <r>
          <rPr>
            <sz val="9"/>
            <rFont val="宋体"/>
            <charset val="134"/>
          </rPr>
          <t xml:space="preserve">
1、17.7记151，汇163.5万元（15%预付款）</t>
        </r>
      </text>
    </comment>
    <comment ref="F55" authorId="0">
      <text>
        <r>
          <rPr>
            <b/>
            <sz val="9"/>
            <rFont val="宋体"/>
            <charset val="134"/>
          </rPr>
          <t>永荣科技:</t>
        </r>
        <r>
          <rPr>
            <sz val="9"/>
            <rFont val="宋体"/>
            <charset val="134"/>
          </rPr>
          <t xml:space="preserve">
未支付</t>
        </r>
      </text>
    </comment>
  </commentList>
</comments>
</file>

<file path=xl/comments2.xml><?xml version="1.0" encoding="utf-8"?>
<comments xmlns="http://schemas.openxmlformats.org/spreadsheetml/2006/main">
  <authors>
    <author>永荣科技</author>
  </authors>
  <commentList>
    <comment ref="P6" authorId="0">
      <text>
        <r>
          <rPr>
            <b/>
            <sz val="9"/>
            <rFont val="宋体"/>
            <charset val="134"/>
          </rPr>
          <t>永荣科技:</t>
        </r>
        <r>
          <rPr>
            <sz val="9"/>
            <rFont val="宋体"/>
            <charset val="134"/>
          </rPr>
          <t xml:space="preserve">
15.9记76,10万
15.9记90,8735元</t>
        </r>
      </text>
    </comment>
    <comment ref="P7" authorId="0">
      <text>
        <r>
          <rPr>
            <b/>
            <sz val="9"/>
            <rFont val="宋体"/>
            <charset val="134"/>
          </rPr>
          <t>永荣科技:</t>
        </r>
        <r>
          <rPr>
            <sz val="9"/>
            <rFont val="宋体"/>
            <charset val="134"/>
          </rPr>
          <t xml:space="preserve">
16.1记57,5198.6元
16.1记61,383636.4元</t>
        </r>
      </text>
    </comment>
    <comment ref="P8" authorId="0">
      <text>
        <r>
          <rPr>
            <b/>
            <sz val="9"/>
            <rFont val="宋体"/>
            <charset val="134"/>
          </rPr>
          <t>永荣科技:</t>
        </r>
        <r>
          <rPr>
            <sz val="9"/>
            <rFont val="宋体"/>
            <charset val="134"/>
          </rPr>
          <t xml:space="preserve">
16.1记19,16569元
16.1记60,3万</t>
        </r>
      </text>
    </comment>
    <comment ref="P10" authorId="0">
      <text>
        <r>
          <rPr>
            <b/>
            <sz val="9"/>
            <rFont val="宋体"/>
            <charset val="134"/>
          </rPr>
          <t>永荣科技:</t>
        </r>
        <r>
          <rPr>
            <sz val="9"/>
            <rFont val="宋体"/>
            <charset val="134"/>
          </rPr>
          <t xml:space="preserve">
16.7记46,31709元</t>
        </r>
      </text>
    </comment>
    <comment ref="F11" authorId="0">
      <text>
        <r>
          <rPr>
            <b/>
            <sz val="9"/>
            <rFont val="宋体"/>
            <charset val="134"/>
          </rPr>
          <t>永荣科技:</t>
        </r>
        <r>
          <rPr>
            <sz val="9"/>
            <rFont val="宋体"/>
            <charset val="134"/>
          </rPr>
          <t xml:space="preserve">
同锦江香港合同一份，锦江香港汇款到安德里</t>
        </r>
      </text>
    </comment>
    <comment ref="I11" authorId="0">
      <text>
        <r>
          <rPr>
            <b/>
            <sz val="9"/>
            <rFont val="宋体"/>
            <charset val="134"/>
          </rPr>
          <t>永荣科技:</t>
        </r>
        <r>
          <rPr>
            <sz val="9"/>
            <rFont val="宋体"/>
            <charset val="134"/>
          </rPr>
          <t xml:space="preserve">
45.8万欧元</t>
        </r>
      </text>
    </comment>
    <comment ref="P12" authorId="0">
      <text>
        <r>
          <rPr>
            <b/>
            <sz val="9"/>
            <rFont val="宋体"/>
            <charset val="134"/>
          </rPr>
          <t>永荣科技:</t>
        </r>
        <r>
          <rPr>
            <sz val="9"/>
            <rFont val="宋体"/>
            <charset val="134"/>
          </rPr>
          <t xml:space="preserve">
17.7.21审批，无付款审批单</t>
        </r>
      </text>
    </comment>
    <comment ref="F13" authorId="0">
      <text>
        <r>
          <rPr>
            <b/>
            <sz val="9"/>
            <rFont val="宋体"/>
            <charset val="134"/>
          </rPr>
          <t>永荣科技:</t>
        </r>
        <r>
          <rPr>
            <sz val="9"/>
            <rFont val="宋体"/>
            <charset val="134"/>
          </rPr>
          <t xml:space="preserve">
1、17.2记43，汇226万元（20%预付款）
2、17.9.5申请565万元（50%发货款）</t>
        </r>
      </text>
    </comment>
    <comment ref="P13" authorId="0">
      <text>
        <r>
          <rPr>
            <b/>
            <sz val="9"/>
            <rFont val="宋体"/>
            <charset val="134"/>
          </rPr>
          <t>永荣科技:</t>
        </r>
        <r>
          <rPr>
            <sz val="9"/>
            <rFont val="宋体"/>
            <charset val="134"/>
          </rPr>
          <t xml:space="preserve">
1</t>
        </r>
      </text>
    </comment>
    <comment ref="S13" authorId="0">
      <text>
        <r>
          <rPr>
            <b/>
            <sz val="9"/>
            <rFont val="宋体"/>
            <charset val="134"/>
          </rPr>
          <t>永荣科技:</t>
        </r>
        <r>
          <rPr>
            <sz val="9"/>
            <rFont val="宋体"/>
            <charset val="134"/>
          </rPr>
          <t xml:space="preserve">
2</t>
        </r>
      </text>
    </comment>
    <comment ref="F14" authorId="0">
      <text>
        <r>
          <rPr>
            <b/>
            <sz val="9"/>
            <rFont val="宋体"/>
            <charset val="134"/>
          </rPr>
          <t>永荣科技:</t>
        </r>
        <r>
          <rPr>
            <sz val="9"/>
            <rFont val="宋体"/>
            <charset val="134"/>
          </rPr>
          <t xml:space="preserve">
1、17.4记85，汇82.4万元（20%预付款）</t>
        </r>
      </text>
    </comment>
    <comment ref="P14" authorId="0">
      <text>
        <r>
          <rPr>
            <b/>
            <sz val="9"/>
            <rFont val="宋体"/>
            <charset val="134"/>
          </rPr>
          <t>永荣科技:</t>
        </r>
        <r>
          <rPr>
            <sz val="9"/>
            <rFont val="宋体"/>
            <charset val="134"/>
          </rPr>
          <t xml:space="preserve">
1</t>
        </r>
      </text>
    </comment>
    <comment ref="P16" authorId="0">
      <text>
        <r>
          <rPr>
            <b/>
            <sz val="9"/>
            <rFont val="宋体"/>
            <charset val="134"/>
          </rPr>
          <t>永荣科技:</t>
        </r>
        <r>
          <rPr>
            <sz val="9"/>
            <rFont val="宋体"/>
            <charset val="134"/>
          </rPr>
          <t xml:space="preserve">
2017-05记97， 27.96万</t>
        </r>
      </text>
    </comment>
    <comment ref="P17" authorId="0">
      <text>
        <r>
          <rPr>
            <b/>
            <sz val="9"/>
            <rFont val="宋体"/>
            <charset val="134"/>
          </rPr>
          <t>永荣科技:</t>
        </r>
        <r>
          <rPr>
            <sz val="9"/>
            <rFont val="宋体"/>
            <charset val="134"/>
          </rPr>
          <t xml:space="preserve">
2017-05记111
</t>
        </r>
      </text>
    </comment>
    <comment ref="P18" authorId="0">
      <text>
        <r>
          <rPr>
            <b/>
            <sz val="9"/>
            <rFont val="宋体"/>
            <charset val="134"/>
          </rPr>
          <t>永荣科技:</t>
        </r>
        <r>
          <rPr>
            <sz val="9"/>
            <rFont val="宋体"/>
            <charset val="134"/>
          </rPr>
          <t xml:space="preserve">
发票收到39万元
2017.7.21审批</t>
        </r>
      </text>
    </comment>
    <comment ref="F21" authorId="0">
      <text>
        <r>
          <rPr>
            <b/>
            <sz val="9"/>
            <rFont val="宋体"/>
            <charset val="134"/>
          </rPr>
          <t>永荣科技:</t>
        </r>
        <r>
          <rPr>
            <sz val="9"/>
            <rFont val="宋体"/>
            <charset val="134"/>
          </rPr>
          <t xml:space="preserve">
1、17.6记171，汇97.8万元</t>
        </r>
      </text>
    </comment>
    <comment ref="P21" authorId="0">
      <text>
        <r>
          <rPr>
            <b/>
            <sz val="9"/>
            <rFont val="宋体"/>
            <charset val="134"/>
          </rPr>
          <t>永荣科技:</t>
        </r>
        <r>
          <rPr>
            <sz val="9"/>
            <rFont val="宋体"/>
            <charset val="134"/>
          </rPr>
          <t xml:space="preserve">
1</t>
        </r>
      </text>
    </comment>
    <comment ref="P22" authorId="0">
      <text>
        <r>
          <rPr>
            <b/>
            <sz val="9"/>
            <rFont val="宋体"/>
            <charset val="134"/>
          </rPr>
          <t>永荣科技:</t>
        </r>
        <r>
          <rPr>
            <sz val="9"/>
            <rFont val="宋体"/>
            <charset val="134"/>
          </rPr>
          <t xml:space="preserve">
1</t>
        </r>
      </text>
    </comment>
    <comment ref="P23" authorId="0">
      <text>
        <r>
          <rPr>
            <b/>
            <sz val="9"/>
            <rFont val="宋体"/>
            <charset val="134"/>
          </rPr>
          <t>永荣科技:</t>
        </r>
        <r>
          <rPr>
            <sz val="9"/>
            <rFont val="宋体"/>
            <charset val="134"/>
          </rPr>
          <t xml:space="preserve">
1</t>
        </r>
      </text>
    </comment>
    <comment ref="F26" authorId="0">
      <text>
        <r>
          <rPr>
            <b/>
            <sz val="9"/>
            <rFont val="宋体"/>
            <charset val="134"/>
          </rPr>
          <t>永荣科技:</t>
        </r>
        <r>
          <rPr>
            <sz val="9"/>
            <rFont val="宋体"/>
            <charset val="134"/>
          </rPr>
          <t xml:space="preserve">
1、17.4记92，汇849.8万元</t>
        </r>
      </text>
    </comment>
    <comment ref="P27" authorId="0">
      <text>
        <r>
          <rPr>
            <b/>
            <sz val="9"/>
            <rFont val="宋体"/>
            <charset val="134"/>
          </rPr>
          <t>永荣科技:</t>
        </r>
        <r>
          <rPr>
            <sz val="9"/>
            <rFont val="宋体"/>
            <charset val="134"/>
          </rPr>
          <t xml:space="preserve">
17.6记157,16.6万</t>
        </r>
      </text>
    </comment>
    <comment ref="F29" authorId="0">
      <text>
        <r>
          <rPr>
            <b/>
            <sz val="9"/>
            <rFont val="宋体"/>
            <charset val="134"/>
          </rPr>
          <t>永荣科技:</t>
        </r>
        <r>
          <rPr>
            <sz val="9"/>
            <rFont val="宋体"/>
            <charset val="134"/>
          </rPr>
          <t xml:space="preserve">
1、17.10.11申请31.2万元</t>
        </r>
      </text>
    </comment>
    <comment ref="P29" authorId="0">
      <text>
        <r>
          <rPr>
            <b/>
            <sz val="9"/>
            <rFont val="宋体"/>
            <charset val="134"/>
          </rPr>
          <t>永荣科技:</t>
        </r>
        <r>
          <rPr>
            <sz val="9"/>
            <rFont val="宋体"/>
            <charset val="134"/>
          </rPr>
          <t xml:space="preserve">
1</t>
        </r>
      </text>
    </comment>
    <comment ref="F31" authorId="0">
      <text>
        <r>
          <rPr>
            <b/>
            <sz val="9"/>
            <rFont val="宋体"/>
            <charset val="134"/>
          </rPr>
          <t>永荣科技:</t>
        </r>
        <r>
          <rPr>
            <sz val="9"/>
            <rFont val="宋体"/>
            <charset val="134"/>
          </rPr>
          <t xml:space="preserve">
1、17.6记153，汇369.2万元（20%预付款）</t>
        </r>
      </text>
    </comment>
    <comment ref="P31" authorId="0">
      <text>
        <r>
          <rPr>
            <b/>
            <sz val="9"/>
            <rFont val="宋体"/>
            <charset val="134"/>
          </rPr>
          <t>永荣科技:</t>
        </r>
        <r>
          <rPr>
            <sz val="9"/>
            <rFont val="宋体"/>
            <charset val="134"/>
          </rPr>
          <t xml:space="preserve">
1</t>
        </r>
      </text>
    </comment>
    <comment ref="F32" authorId="0">
      <text>
        <r>
          <rPr>
            <b/>
            <sz val="9"/>
            <rFont val="宋体"/>
            <charset val="134"/>
          </rPr>
          <t>永荣科技:</t>
        </r>
        <r>
          <rPr>
            <sz val="9"/>
            <rFont val="宋体"/>
            <charset val="134"/>
          </rPr>
          <t xml:space="preserve">
1、17.5记119，汇1196万元（20%预付款）
2、17.9.13申请2392万元（40%进度款）</t>
        </r>
      </text>
    </comment>
    <comment ref="P32" authorId="0">
      <text>
        <r>
          <rPr>
            <b/>
            <sz val="9"/>
            <rFont val="宋体"/>
            <charset val="134"/>
          </rPr>
          <t>永荣科技:</t>
        </r>
        <r>
          <rPr>
            <sz val="9"/>
            <rFont val="宋体"/>
            <charset val="134"/>
          </rPr>
          <t xml:space="preserve">
1</t>
        </r>
      </text>
    </comment>
    <comment ref="S32" authorId="0">
      <text>
        <r>
          <rPr>
            <b/>
            <sz val="9"/>
            <rFont val="宋体"/>
            <charset val="134"/>
          </rPr>
          <t>永荣科技:</t>
        </r>
        <r>
          <rPr>
            <sz val="9"/>
            <rFont val="宋体"/>
            <charset val="134"/>
          </rPr>
          <t xml:space="preserve">
2</t>
        </r>
      </text>
    </comment>
    <comment ref="F35" authorId="0">
      <text>
        <r>
          <rPr>
            <b/>
            <sz val="9"/>
            <rFont val="宋体"/>
            <charset val="134"/>
          </rPr>
          <t>永荣科技:</t>
        </r>
        <r>
          <rPr>
            <sz val="9"/>
            <rFont val="宋体"/>
            <charset val="134"/>
          </rPr>
          <t xml:space="preserve">
1、17.7记184，汇284万元</t>
        </r>
      </text>
    </comment>
    <comment ref="P35" authorId="0">
      <text>
        <r>
          <rPr>
            <b/>
            <sz val="9"/>
            <rFont val="宋体"/>
            <charset val="134"/>
          </rPr>
          <t>永荣科技:</t>
        </r>
        <r>
          <rPr>
            <sz val="9"/>
            <rFont val="宋体"/>
            <charset val="134"/>
          </rPr>
          <t xml:space="preserve">
1</t>
        </r>
      </text>
    </comment>
    <comment ref="P36" authorId="0">
      <text>
        <r>
          <rPr>
            <b/>
            <sz val="9"/>
            <rFont val="宋体"/>
            <charset val="134"/>
          </rPr>
          <t>永荣科技:</t>
        </r>
        <r>
          <rPr>
            <sz val="9"/>
            <rFont val="宋体"/>
            <charset val="134"/>
          </rPr>
          <t xml:space="preserve">
2017.7.21审批
发票收到58万元</t>
        </r>
      </text>
    </comment>
    <comment ref="P37" authorId="0">
      <text>
        <r>
          <rPr>
            <b/>
            <sz val="9"/>
            <rFont val="宋体"/>
            <charset val="134"/>
          </rPr>
          <t>永荣科技:</t>
        </r>
        <r>
          <rPr>
            <sz val="9"/>
            <rFont val="宋体"/>
            <charset val="134"/>
          </rPr>
          <t xml:space="preserve">
2017.7.25申请71万元</t>
        </r>
      </text>
    </comment>
    <comment ref="F38" authorId="0">
      <text>
        <r>
          <rPr>
            <b/>
            <sz val="9"/>
            <rFont val="宋体"/>
            <charset val="134"/>
          </rPr>
          <t>永荣科技:</t>
        </r>
        <r>
          <rPr>
            <sz val="9"/>
            <rFont val="宋体"/>
            <charset val="134"/>
          </rPr>
          <t xml:space="preserve">
1、17.8记229，汇70万元（共105万元，未汇清）</t>
        </r>
      </text>
    </comment>
    <comment ref="P38" authorId="0">
      <text>
        <r>
          <rPr>
            <b/>
            <sz val="9"/>
            <rFont val="宋体"/>
            <charset val="134"/>
          </rPr>
          <t>永荣科技:</t>
        </r>
        <r>
          <rPr>
            <sz val="9"/>
            <rFont val="宋体"/>
            <charset val="134"/>
          </rPr>
          <t xml:space="preserve">
1</t>
        </r>
      </text>
    </comment>
    <comment ref="F39" authorId="0">
      <text>
        <r>
          <rPr>
            <b/>
            <sz val="9"/>
            <rFont val="宋体"/>
            <charset val="134"/>
          </rPr>
          <t>永荣科技:</t>
        </r>
        <r>
          <rPr>
            <sz val="9"/>
            <rFont val="宋体"/>
            <charset val="134"/>
          </rPr>
          <t xml:space="preserve">
1、17.8记216，汇72万元（20%预付款）</t>
        </r>
      </text>
    </comment>
    <comment ref="P39" authorId="0">
      <text>
        <r>
          <rPr>
            <b/>
            <sz val="9"/>
            <rFont val="宋体"/>
            <charset val="134"/>
          </rPr>
          <t>永荣科技:</t>
        </r>
        <r>
          <rPr>
            <sz val="9"/>
            <rFont val="宋体"/>
            <charset val="134"/>
          </rPr>
          <t xml:space="preserve">
1</t>
        </r>
      </text>
    </comment>
    <comment ref="F40" authorId="0">
      <text>
        <r>
          <rPr>
            <b/>
            <sz val="9"/>
            <rFont val="宋体"/>
            <charset val="134"/>
          </rPr>
          <t>永荣科技:</t>
        </r>
        <r>
          <rPr>
            <sz val="9"/>
            <rFont val="宋体"/>
            <charset val="134"/>
          </rPr>
          <t xml:space="preserve">
1、17.8.21申请汇款67万元（20%预付款）</t>
        </r>
      </text>
    </comment>
    <comment ref="P40" authorId="0">
      <text>
        <r>
          <rPr>
            <b/>
            <sz val="9"/>
            <rFont val="宋体"/>
            <charset val="134"/>
          </rPr>
          <t>永荣科技:</t>
        </r>
        <r>
          <rPr>
            <sz val="9"/>
            <rFont val="宋体"/>
            <charset val="134"/>
          </rPr>
          <t xml:space="preserve">
1</t>
        </r>
      </text>
    </comment>
    <comment ref="F44" authorId="0">
      <text>
        <r>
          <rPr>
            <b/>
            <sz val="9"/>
            <rFont val="宋体"/>
            <charset val="134"/>
          </rPr>
          <t>永荣科技:</t>
        </r>
        <r>
          <rPr>
            <sz val="9"/>
            <rFont val="宋体"/>
            <charset val="134"/>
          </rPr>
          <t xml:space="preserve">
1、17.8.18申请付款275万元（20%预付款）
</t>
        </r>
      </text>
    </comment>
    <comment ref="P44" authorId="0">
      <text>
        <r>
          <rPr>
            <b/>
            <sz val="9"/>
            <rFont val="宋体"/>
            <charset val="134"/>
          </rPr>
          <t>永荣科技:</t>
        </r>
        <r>
          <rPr>
            <sz val="9"/>
            <rFont val="宋体"/>
            <charset val="134"/>
          </rPr>
          <t xml:space="preserve">
1</t>
        </r>
      </text>
    </comment>
    <comment ref="F49" authorId="0">
      <text>
        <r>
          <rPr>
            <b/>
            <sz val="9"/>
            <rFont val="宋体"/>
            <charset val="134"/>
          </rPr>
          <t>永荣科技:</t>
        </r>
        <r>
          <rPr>
            <sz val="9"/>
            <rFont val="宋体"/>
            <charset val="134"/>
          </rPr>
          <t xml:space="preserve">
1、17.7记174，汇30900元（30%预付款）
2、17.8.26申请72100（尾款）
本单已清
</t>
        </r>
      </text>
    </comment>
    <comment ref="P49" authorId="0">
      <text>
        <r>
          <rPr>
            <b/>
            <sz val="9"/>
            <rFont val="宋体"/>
            <charset val="134"/>
          </rPr>
          <t>永荣科技:</t>
        </r>
        <r>
          <rPr>
            <sz val="9"/>
            <rFont val="宋体"/>
            <charset val="134"/>
          </rPr>
          <t xml:space="preserve">
1</t>
        </r>
      </text>
    </comment>
    <comment ref="S49" authorId="0">
      <text>
        <r>
          <rPr>
            <b/>
            <sz val="9"/>
            <rFont val="宋体"/>
            <charset val="134"/>
          </rPr>
          <t>永荣科技:</t>
        </r>
        <r>
          <rPr>
            <sz val="9"/>
            <rFont val="宋体"/>
            <charset val="134"/>
          </rPr>
          <t xml:space="preserve">
2</t>
        </r>
      </text>
    </comment>
    <comment ref="F50" authorId="0">
      <text>
        <r>
          <rPr>
            <b/>
            <sz val="9"/>
            <rFont val="宋体"/>
            <charset val="134"/>
          </rPr>
          <t>永荣科技:</t>
        </r>
        <r>
          <rPr>
            <sz val="9"/>
            <rFont val="宋体"/>
            <charset val="134"/>
          </rPr>
          <t xml:space="preserve">
1、待查（20%合同金额）
2、17.8.18申请370064欧元*7.9631元（80%合同金额）
本单已清</t>
        </r>
      </text>
    </comment>
    <comment ref="I50" authorId="0">
      <text>
        <r>
          <rPr>
            <b/>
            <sz val="9"/>
            <rFont val="宋体"/>
            <charset val="134"/>
          </rPr>
          <t>永荣科技:</t>
        </r>
        <r>
          <rPr>
            <sz val="9"/>
            <rFont val="宋体"/>
            <charset val="134"/>
          </rPr>
          <t xml:space="preserve">
单位欧元
462580*7.9631</t>
        </r>
      </text>
    </comment>
    <comment ref="P50" authorId="0">
      <text>
        <r>
          <rPr>
            <b/>
            <sz val="9"/>
            <rFont val="宋体"/>
            <charset val="134"/>
          </rPr>
          <t>永荣科技:</t>
        </r>
        <r>
          <rPr>
            <sz val="9"/>
            <rFont val="宋体"/>
            <charset val="134"/>
          </rPr>
          <t xml:space="preserve">
1</t>
        </r>
      </text>
    </comment>
    <comment ref="S50" authorId="0">
      <text>
        <r>
          <rPr>
            <b/>
            <sz val="9"/>
            <rFont val="宋体"/>
            <charset val="134"/>
          </rPr>
          <t>永荣科技:</t>
        </r>
        <r>
          <rPr>
            <sz val="9"/>
            <rFont val="宋体"/>
            <charset val="134"/>
          </rPr>
          <t xml:space="preserve">
2</t>
        </r>
      </text>
    </comment>
    <comment ref="F51" authorId="0">
      <text>
        <r>
          <rPr>
            <b/>
            <sz val="9"/>
            <rFont val="宋体"/>
            <charset val="134"/>
          </rPr>
          <t xml:space="preserve">永荣科技:  </t>
        </r>
        <r>
          <rPr>
            <sz val="9"/>
            <rFont val="宋体"/>
            <charset val="134"/>
          </rPr>
          <t xml:space="preserve">
1、17.7记197，汇200万元（预付款，保证金）
</t>
        </r>
      </text>
    </comment>
    <comment ref="P51" authorId="0">
      <text>
        <r>
          <rPr>
            <b/>
            <sz val="9"/>
            <rFont val="宋体"/>
            <charset val="134"/>
          </rPr>
          <t>永荣科技:</t>
        </r>
        <r>
          <rPr>
            <sz val="9"/>
            <rFont val="宋体"/>
            <charset val="134"/>
          </rPr>
          <t xml:space="preserve">
1</t>
        </r>
      </text>
    </comment>
    <comment ref="F52" authorId="0">
      <text>
        <r>
          <rPr>
            <b/>
            <sz val="9"/>
            <rFont val="宋体"/>
            <charset val="134"/>
          </rPr>
          <t>永荣科技:</t>
        </r>
        <r>
          <rPr>
            <sz val="9"/>
            <rFont val="宋体"/>
            <charset val="134"/>
          </rPr>
          <t xml:space="preserve">
1、17.8.18申请付款158.6万元（20%预付款）
</t>
        </r>
      </text>
    </comment>
    <comment ref="P52" authorId="0">
      <text>
        <r>
          <rPr>
            <b/>
            <sz val="9"/>
            <rFont val="宋体"/>
            <charset val="134"/>
          </rPr>
          <t>永荣科技:</t>
        </r>
        <r>
          <rPr>
            <sz val="9"/>
            <rFont val="宋体"/>
            <charset val="134"/>
          </rPr>
          <t xml:space="preserve">
1</t>
        </r>
      </text>
    </comment>
    <comment ref="F53" authorId="0">
      <text>
        <r>
          <rPr>
            <b/>
            <sz val="9"/>
            <rFont val="宋体"/>
            <charset val="134"/>
          </rPr>
          <t>永荣科技:</t>
        </r>
        <r>
          <rPr>
            <sz val="9"/>
            <rFont val="宋体"/>
            <charset val="134"/>
          </rPr>
          <t xml:space="preserve">
1、17.8.18申请247万元（20%预付款）</t>
        </r>
      </text>
    </comment>
    <comment ref="P53" authorId="0">
      <text>
        <r>
          <rPr>
            <b/>
            <sz val="9"/>
            <rFont val="宋体"/>
            <charset val="134"/>
          </rPr>
          <t>永荣科技:</t>
        </r>
        <r>
          <rPr>
            <sz val="9"/>
            <rFont val="宋体"/>
            <charset val="134"/>
          </rPr>
          <t xml:space="preserve">
1</t>
        </r>
      </text>
    </comment>
    <comment ref="F57" authorId="0">
      <text>
        <r>
          <rPr>
            <b/>
            <sz val="9"/>
            <rFont val="宋体"/>
            <charset val="134"/>
          </rPr>
          <t>永荣科技:</t>
        </r>
        <r>
          <rPr>
            <sz val="9"/>
            <rFont val="宋体"/>
            <charset val="134"/>
          </rPr>
          <t xml:space="preserve">
1、17.9.16申请70500元（30%预付款）</t>
        </r>
      </text>
    </comment>
    <comment ref="P57" authorId="0">
      <text>
        <r>
          <rPr>
            <b/>
            <sz val="9"/>
            <rFont val="宋体"/>
            <charset val="134"/>
          </rPr>
          <t>永荣科技:</t>
        </r>
        <r>
          <rPr>
            <sz val="9"/>
            <rFont val="宋体"/>
            <charset val="134"/>
          </rPr>
          <t xml:space="preserve">
1</t>
        </r>
      </text>
    </comment>
    <comment ref="F58" authorId="0">
      <text>
        <r>
          <rPr>
            <b/>
            <sz val="9"/>
            <rFont val="宋体"/>
            <charset val="134"/>
          </rPr>
          <t>永荣科技:</t>
        </r>
        <r>
          <rPr>
            <sz val="9"/>
            <rFont val="宋体"/>
            <charset val="134"/>
          </rPr>
          <t xml:space="preserve">
1、17.9.13申请13万元（20%预付款）</t>
        </r>
      </text>
    </comment>
    <comment ref="P58" authorId="0">
      <text>
        <r>
          <rPr>
            <b/>
            <sz val="9"/>
            <rFont val="宋体"/>
            <charset val="134"/>
          </rPr>
          <t>永荣科技:</t>
        </r>
        <r>
          <rPr>
            <sz val="9"/>
            <rFont val="宋体"/>
            <charset val="134"/>
          </rPr>
          <t xml:space="preserve">
1</t>
        </r>
      </text>
    </comment>
    <comment ref="F62" authorId="0">
      <text>
        <r>
          <rPr>
            <b/>
            <sz val="9"/>
            <rFont val="宋体"/>
            <charset val="134"/>
          </rPr>
          <t>永荣科技:</t>
        </r>
        <r>
          <rPr>
            <sz val="9"/>
            <rFont val="宋体"/>
            <charset val="134"/>
          </rPr>
          <t xml:space="preserve">
1、17.9.30申请16700欧元（10%预付款）
</t>
        </r>
      </text>
    </comment>
    <comment ref="I62" authorId="0">
      <text>
        <r>
          <rPr>
            <b/>
            <sz val="9"/>
            <rFont val="宋体"/>
            <charset val="134"/>
          </rPr>
          <t>永荣科技:</t>
        </r>
        <r>
          <rPr>
            <sz val="9"/>
            <rFont val="宋体"/>
            <charset val="134"/>
          </rPr>
          <t xml:space="preserve">
单位欧元
167000*7.9631</t>
        </r>
      </text>
    </comment>
    <comment ref="F63" authorId="0">
      <text>
        <r>
          <rPr>
            <b/>
            <sz val="9"/>
            <rFont val="宋体"/>
            <charset val="134"/>
          </rPr>
          <t>永荣科技:</t>
        </r>
        <r>
          <rPr>
            <sz val="9"/>
            <rFont val="宋体"/>
            <charset val="134"/>
          </rPr>
          <t xml:space="preserve">
1、17.9.14申请35万元（20%预付款）</t>
        </r>
      </text>
    </comment>
    <comment ref="P63" authorId="0">
      <text>
        <r>
          <rPr>
            <b/>
            <sz val="9"/>
            <rFont val="宋体"/>
            <charset val="134"/>
          </rPr>
          <t>永荣科技:</t>
        </r>
        <r>
          <rPr>
            <sz val="9"/>
            <rFont val="宋体"/>
            <charset val="134"/>
          </rPr>
          <t xml:space="preserve">
1</t>
        </r>
      </text>
    </comment>
    <comment ref="F66" authorId="0">
      <text>
        <r>
          <rPr>
            <b/>
            <sz val="9"/>
            <rFont val="宋体"/>
            <charset val="134"/>
          </rPr>
          <t>永荣科技:</t>
        </r>
        <r>
          <rPr>
            <sz val="9"/>
            <rFont val="宋体"/>
            <charset val="134"/>
          </rPr>
          <t xml:space="preserve">
1、17.9.12申请275.8万元（20%预付款)</t>
        </r>
      </text>
    </comment>
    <comment ref="P66" authorId="0">
      <text>
        <r>
          <rPr>
            <b/>
            <sz val="9"/>
            <rFont val="宋体"/>
            <charset val="134"/>
          </rPr>
          <t>永荣科技:</t>
        </r>
        <r>
          <rPr>
            <sz val="9"/>
            <rFont val="宋体"/>
            <charset val="134"/>
          </rPr>
          <t xml:space="preserve">
1</t>
        </r>
      </text>
    </comment>
    <comment ref="F70" authorId="0">
      <text>
        <r>
          <rPr>
            <b/>
            <sz val="9"/>
            <rFont val="宋体"/>
            <charset val="134"/>
          </rPr>
          <t>永荣科技:</t>
        </r>
        <r>
          <rPr>
            <sz val="9"/>
            <rFont val="宋体"/>
            <charset val="134"/>
          </rPr>
          <t xml:space="preserve">
1、17.9.21申请184万元（20%预付款）</t>
        </r>
      </text>
    </comment>
    <comment ref="P70" authorId="0">
      <text>
        <r>
          <rPr>
            <b/>
            <sz val="9"/>
            <rFont val="宋体"/>
            <charset val="134"/>
          </rPr>
          <t>永荣科技:</t>
        </r>
        <r>
          <rPr>
            <sz val="9"/>
            <rFont val="宋体"/>
            <charset val="134"/>
          </rPr>
          <t xml:space="preserve">
1</t>
        </r>
      </text>
    </comment>
    <comment ref="F71" authorId="0">
      <text>
        <r>
          <rPr>
            <b/>
            <sz val="9"/>
            <rFont val="宋体"/>
            <charset val="134"/>
          </rPr>
          <t>永荣科技:</t>
        </r>
        <r>
          <rPr>
            <sz val="9"/>
            <rFont val="宋体"/>
            <charset val="134"/>
          </rPr>
          <t xml:space="preserve">
1、17.9.1申请27万元（20%预付款）</t>
        </r>
      </text>
    </comment>
    <comment ref="F72" authorId="0">
      <text>
        <r>
          <rPr>
            <b/>
            <sz val="9"/>
            <rFont val="宋体"/>
            <charset val="134"/>
          </rPr>
          <t>永荣科技:</t>
        </r>
        <r>
          <rPr>
            <sz val="9"/>
            <rFont val="宋体"/>
            <charset val="134"/>
          </rPr>
          <t xml:space="preserve">
1、17.9.1申请43万元（20%预付款）</t>
        </r>
      </text>
    </comment>
    <comment ref="P72" authorId="0">
      <text>
        <r>
          <rPr>
            <b/>
            <sz val="9"/>
            <rFont val="宋体"/>
            <charset val="134"/>
          </rPr>
          <t>永荣科技:</t>
        </r>
        <r>
          <rPr>
            <sz val="9"/>
            <rFont val="宋体"/>
            <charset val="134"/>
          </rPr>
          <t xml:space="preserve">
1</t>
        </r>
      </text>
    </comment>
    <comment ref="F73" authorId="0">
      <text>
        <r>
          <rPr>
            <b/>
            <sz val="9"/>
            <rFont val="宋体"/>
            <charset val="134"/>
          </rPr>
          <t>永荣科技:</t>
        </r>
        <r>
          <rPr>
            <sz val="9"/>
            <rFont val="宋体"/>
            <charset val="134"/>
          </rPr>
          <t xml:space="preserve">
1、17.9.1申请20万元（20%预付款）</t>
        </r>
      </text>
    </comment>
    <comment ref="P73" authorId="0">
      <text>
        <r>
          <rPr>
            <b/>
            <sz val="9"/>
            <rFont val="宋体"/>
            <charset val="134"/>
          </rPr>
          <t>永荣科技:</t>
        </r>
        <r>
          <rPr>
            <sz val="9"/>
            <rFont val="宋体"/>
            <charset val="134"/>
          </rPr>
          <t xml:space="preserve">
1</t>
        </r>
      </text>
    </comment>
    <comment ref="F74" authorId="0">
      <text>
        <r>
          <rPr>
            <b/>
            <sz val="9"/>
            <rFont val="宋体"/>
            <charset val="134"/>
          </rPr>
          <t>永荣科技:</t>
        </r>
        <r>
          <rPr>
            <sz val="9"/>
            <rFont val="宋体"/>
            <charset val="134"/>
          </rPr>
          <t xml:space="preserve">
1、17.9.1申请16.2万元（20%预付款）</t>
        </r>
      </text>
    </comment>
    <comment ref="P74" authorId="0">
      <text>
        <r>
          <rPr>
            <b/>
            <sz val="9"/>
            <rFont val="宋体"/>
            <charset val="134"/>
          </rPr>
          <t>永荣科技:</t>
        </r>
        <r>
          <rPr>
            <sz val="9"/>
            <rFont val="宋体"/>
            <charset val="134"/>
          </rPr>
          <t xml:space="preserve">
1</t>
        </r>
      </text>
    </comment>
    <comment ref="F75" authorId="0">
      <text>
        <r>
          <rPr>
            <b/>
            <sz val="9"/>
            <rFont val="宋体"/>
            <charset val="134"/>
          </rPr>
          <t>永荣科技:</t>
        </r>
        <r>
          <rPr>
            <sz val="9"/>
            <rFont val="宋体"/>
            <charset val="134"/>
          </rPr>
          <t xml:space="preserve">
1、17.6记171，汇97.8万元</t>
        </r>
      </text>
    </comment>
    <comment ref="F81" authorId="0">
      <text>
        <r>
          <rPr>
            <b/>
            <sz val="9"/>
            <rFont val="宋体"/>
            <charset val="134"/>
          </rPr>
          <t>永荣科技:</t>
        </r>
        <r>
          <rPr>
            <sz val="9"/>
            <rFont val="宋体"/>
            <charset val="134"/>
          </rPr>
          <t xml:space="preserve">
1、17.9.16申请30万元（20%预付款）</t>
        </r>
      </text>
    </comment>
    <comment ref="P81" authorId="0">
      <text>
        <r>
          <rPr>
            <b/>
            <sz val="9"/>
            <rFont val="宋体"/>
            <charset val="134"/>
          </rPr>
          <t>永荣科技:</t>
        </r>
        <r>
          <rPr>
            <sz val="9"/>
            <rFont val="宋体"/>
            <charset val="134"/>
          </rPr>
          <t xml:space="preserve">
1</t>
        </r>
      </text>
    </comment>
    <comment ref="F82" authorId="0">
      <text>
        <r>
          <rPr>
            <b/>
            <sz val="9"/>
            <rFont val="宋体"/>
            <charset val="134"/>
          </rPr>
          <t>永荣科技:</t>
        </r>
        <r>
          <rPr>
            <sz val="9"/>
            <rFont val="宋体"/>
            <charset val="134"/>
          </rPr>
          <t xml:space="preserve">
1、17.9.20申请4.4万元（20%预付款）</t>
        </r>
      </text>
    </comment>
    <comment ref="P82" authorId="0">
      <text>
        <r>
          <rPr>
            <b/>
            <sz val="9"/>
            <rFont val="宋体"/>
            <charset val="134"/>
          </rPr>
          <t>永荣科技:</t>
        </r>
        <r>
          <rPr>
            <sz val="9"/>
            <rFont val="宋体"/>
            <charset val="134"/>
          </rPr>
          <t xml:space="preserve">
1</t>
        </r>
      </text>
    </comment>
    <comment ref="F85" authorId="0">
      <text>
        <r>
          <rPr>
            <b/>
            <sz val="9"/>
            <rFont val="宋体"/>
            <charset val="134"/>
          </rPr>
          <t>永荣科技:</t>
        </r>
        <r>
          <rPr>
            <sz val="9"/>
            <rFont val="宋体"/>
            <charset val="134"/>
          </rPr>
          <t xml:space="preserve">
1、17.9.26申请25.6万元（20%预付款）</t>
        </r>
      </text>
    </comment>
    <comment ref="P85" authorId="0">
      <text>
        <r>
          <rPr>
            <b/>
            <sz val="9"/>
            <rFont val="宋体"/>
            <charset val="134"/>
          </rPr>
          <t>永荣科技:</t>
        </r>
        <r>
          <rPr>
            <sz val="9"/>
            <rFont val="宋体"/>
            <charset val="134"/>
          </rPr>
          <t xml:space="preserve">
1</t>
        </r>
      </text>
    </comment>
    <comment ref="F86" authorId="0">
      <text>
        <r>
          <rPr>
            <b/>
            <sz val="9"/>
            <rFont val="宋体"/>
            <charset val="134"/>
          </rPr>
          <t>永荣科技:</t>
        </r>
        <r>
          <rPr>
            <sz val="9"/>
            <rFont val="宋体"/>
            <charset val="134"/>
          </rPr>
          <t xml:space="preserve">
1、17.9.11申请234.6万元（30%预付款）
</t>
        </r>
      </text>
    </comment>
    <comment ref="P86" authorId="0">
      <text>
        <r>
          <rPr>
            <b/>
            <sz val="9"/>
            <rFont val="宋体"/>
            <charset val="134"/>
          </rPr>
          <t>永荣科技:</t>
        </r>
        <r>
          <rPr>
            <sz val="9"/>
            <rFont val="宋体"/>
            <charset val="134"/>
          </rPr>
          <t xml:space="preserve">
1</t>
        </r>
      </text>
    </comment>
    <comment ref="F87" authorId="0">
      <text>
        <r>
          <rPr>
            <b/>
            <sz val="9"/>
            <rFont val="宋体"/>
            <charset val="134"/>
          </rPr>
          <t>永荣科技:</t>
        </r>
        <r>
          <rPr>
            <sz val="9"/>
            <rFont val="宋体"/>
            <charset val="134"/>
          </rPr>
          <t xml:space="preserve">
1、17.9.20申请69万元（60%发货款）</t>
        </r>
      </text>
    </comment>
    <comment ref="P87" authorId="0">
      <text>
        <r>
          <rPr>
            <b/>
            <sz val="9"/>
            <rFont val="宋体"/>
            <charset val="134"/>
          </rPr>
          <t>永荣科技:</t>
        </r>
        <r>
          <rPr>
            <sz val="9"/>
            <rFont val="宋体"/>
            <charset val="134"/>
          </rPr>
          <t xml:space="preserve">
1</t>
        </r>
      </text>
    </comment>
    <comment ref="F88" authorId="0">
      <text>
        <r>
          <rPr>
            <b/>
            <sz val="9"/>
            <rFont val="宋体"/>
            <charset val="134"/>
          </rPr>
          <t>永荣科技:</t>
        </r>
        <r>
          <rPr>
            <sz val="9"/>
            <rFont val="宋体"/>
            <charset val="134"/>
          </rPr>
          <t xml:space="preserve">
1、17.9.14申请30.4万元（20%预付款）</t>
        </r>
      </text>
    </comment>
    <comment ref="P88" authorId="0">
      <text>
        <r>
          <rPr>
            <b/>
            <sz val="9"/>
            <rFont val="宋体"/>
            <charset val="134"/>
          </rPr>
          <t>永荣科技:</t>
        </r>
        <r>
          <rPr>
            <sz val="9"/>
            <rFont val="宋体"/>
            <charset val="134"/>
          </rPr>
          <t xml:space="preserve">
1</t>
        </r>
      </text>
    </comment>
    <comment ref="F90" authorId="0">
      <text>
        <r>
          <rPr>
            <b/>
            <sz val="9"/>
            <rFont val="宋体"/>
            <charset val="134"/>
          </rPr>
          <t>永荣科技:</t>
        </r>
        <r>
          <rPr>
            <sz val="9"/>
            <rFont val="宋体"/>
            <charset val="134"/>
          </rPr>
          <t xml:space="preserve">
1、17.9.19申请446万元（20%预付款)</t>
        </r>
      </text>
    </comment>
    <comment ref="P90" authorId="0">
      <text>
        <r>
          <rPr>
            <b/>
            <sz val="9"/>
            <rFont val="宋体"/>
            <charset val="134"/>
          </rPr>
          <t>永荣科技:</t>
        </r>
        <r>
          <rPr>
            <sz val="9"/>
            <rFont val="宋体"/>
            <charset val="134"/>
          </rPr>
          <t xml:space="preserve">
1</t>
        </r>
      </text>
    </comment>
    <comment ref="F91" authorId="0">
      <text>
        <r>
          <rPr>
            <b/>
            <sz val="9"/>
            <rFont val="宋体"/>
            <charset val="134"/>
          </rPr>
          <t>永荣科技:</t>
        </r>
        <r>
          <rPr>
            <sz val="9"/>
            <rFont val="宋体"/>
            <charset val="134"/>
          </rPr>
          <t xml:space="preserve">
1、17.9.21申请139.6万元（20%预付款）</t>
        </r>
      </text>
    </comment>
    <comment ref="P91" authorId="0">
      <text>
        <r>
          <rPr>
            <b/>
            <sz val="9"/>
            <rFont val="宋体"/>
            <charset val="134"/>
          </rPr>
          <t>永荣科技:</t>
        </r>
        <r>
          <rPr>
            <sz val="9"/>
            <rFont val="宋体"/>
            <charset val="134"/>
          </rPr>
          <t xml:space="preserve">
1</t>
        </r>
      </text>
    </comment>
    <comment ref="F95" authorId="0">
      <text>
        <r>
          <rPr>
            <b/>
            <sz val="9"/>
            <rFont val="宋体"/>
            <charset val="134"/>
          </rPr>
          <t>永荣科技:</t>
        </r>
        <r>
          <rPr>
            <sz val="9"/>
            <rFont val="宋体"/>
            <charset val="134"/>
          </rPr>
          <t xml:space="preserve">
1、17.9.28申请218万元（20%预付款）</t>
        </r>
      </text>
    </comment>
    <comment ref="P95" authorId="0">
      <text>
        <r>
          <rPr>
            <b/>
            <sz val="9"/>
            <rFont val="宋体"/>
            <charset val="134"/>
          </rPr>
          <t>永荣科技:</t>
        </r>
        <r>
          <rPr>
            <sz val="9"/>
            <rFont val="宋体"/>
            <charset val="134"/>
          </rPr>
          <t xml:space="preserve">
1</t>
        </r>
      </text>
    </comment>
    <comment ref="F98" authorId="0">
      <text>
        <r>
          <rPr>
            <b/>
            <sz val="9"/>
            <rFont val="宋体"/>
            <charset val="134"/>
          </rPr>
          <t>永荣科技:</t>
        </r>
        <r>
          <rPr>
            <sz val="9"/>
            <rFont val="宋体"/>
            <charset val="134"/>
          </rPr>
          <t xml:space="preserve">
1、17.9.23申请1222200元（20%预付款，电汇-下浮3%）</t>
        </r>
      </text>
    </comment>
    <comment ref="I98" authorId="0">
      <text>
        <r>
          <rPr>
            <b/>
            <sz val="9"/>
            <rFont val="宋体"/>
            <charset val="134"/>
          </rPr>
          <t>永荣科技:</t>
        </r>
        <r>
          <rPr>
            <sz val="9"/>
            <rFont val="宋体"/>
            <charset val="134"/>
          </rPr>
          <t xml:space="preserve">
合同承兑630万，转账下浮3%</t>
        </r>
      </text>
    </comment>
    <comment ref="P98" authorId="0">
      <text>
        <r>
          <rPr>
            <b/>
            <sz val="9"/>
            <rFont val="宋体"/>
            <charset val="134"/>
          </rPr>
          <t>永荣科技:</t>
        </r>
        <r>
          <rPr>
            <sz val="9"/>
            <rFont val="宋体"/>
            <charset val="134"/>
          </rPr>
          <t xml:space="preserve">
1</t>
        </r>
      </text>
    </comment>
    <comment ref="F99" authorId="0">
      <text>
        <r>
          <rPr>
            <b/>
            <sz val="9"/>
            <rFont val="宋体"/>
            <charset val="134"/>
          </rPr>
          <t>永荣科技:</t>
        </r>
        <r>
          <rPr>
            <sz val="9"/>
            <rFont val="宋体"/>
            <charset val="134"/>
          </rPr>
          <t xml:space="preserve">
1、17.9.23申请210万元（20%预付款）</t>
        </r>
      </text>
    </comment>
    <comment ref="P99" authorId="0">
      <text>
        <r>
          <rPr>
            <b/>
            <sz val="9"/>
            <rFont val="宋体"/>
            <charset val="134"/>
          </rPr>
          <t>永荣科技:</t>
        </r>
        <r>
          <rPr>
            <sz val="9"/>
            <rFont val="宋体"/>
            <charset val="134"/>
          </rPr>
          <t xml:space="preserve">
1</t>
        </r>
      </text>
    </comment>
  </commentList>
</comments>
</file>

<file path=xl/comments3.xml><?xml version="1.0" encoding="utf-8"?>
<comments xmlns="http://schemas.openxmlformats.org/spreadsheetml/2006/main">
  <authors>
    <author>永荣科技</author>
  </authors>
  <commentList>
    <comment ref="P6" authorId="0">
      <text>
        <r>
          <rPr>
            <b/>
            <sz val="9"/>
            <rFont val="宋体"/>
            <charset val="134"/>
          </rPr>
          <t>永荣科技:</t>
        </r>
        <r>
          <rPr>
            <sz val="9"/>
            <rFont val="宋体"/>
            <charset val="134"/>
          </rPr>
          <t xml:space="preserve">
15.7记27,500万
15.9记30,2324万
15.12记133,2180万
16.12记187,564.3141万</t>
        </r>
      </text>
    </comment>
    <comment ref="P7" authorId="0">
      <text>
        <r>
          <rPr>
            <b/>
            <sz val="9"/>
            <rFont val="宋体"/>
            <charset val="134"/>
          </rPr>
          <t>永荣科技:</t>
        </r>
        <r>
          <rPr>
            <sz val="9"/>
            <rFont val="宋体"/>
            <charset val="134"/>
          </rPr>
          <t xml:space="preserve">
16.2记34,3.2万</t>
        </r>
      </text>
    </comment>
    <comment ref="S7" authorId="0">
      <text>
        <r>
          <rPr>
            <b/>
            <sz val="9"/>
            <rFont val="宋体"/>
            <charset val="134"/>
          </rPr>
          <t>永荣科技:</t>
        </r>
        <r>
          <rPr>
            <sz val="9"/>
            <rFont val="宋体"/>
            <charset val="134"/>
          </rPr>
          <t xml:space="preserve">
17.2记7,4.9万</t>
        </r>
      </text>
    </comment>
    <comment ref="P8" authorId="0">
      <text>
        <r>
          <rPr>
            <b/>
            <sz val="9"/>
            <rFont val="宋体"/>
            <charset val="134"/>
          </rPr>
          <t>永荣科技:</t>
        </r>
        <r>
          <rPr>
            <sz val="9"/>
            <rFont val="宋体"/>
            <charset val="134"/>
          </rPr>
          <t xml:space="preserve">
15.7记96,1200万
15.7记97,400万
15.9记73,2192万
15.10记66,608.6万
16.5记69,5702970.32元
16.12记185,586940元</t>
        </r>
      </text>
    </comment>
    <comment ref="F9" authorId="0">
      <text>
        <r>
          <rPr>
            <b/>
            <sz val="9"/>
            <rFont val="宋体"/>
            <charset val="134"/>
          </rPr>
          <t>永荣科技:</t>
        </r>
        <r>
          <rPr>
            <sz val="9"/>
            <rFont val="宋体"/>
            <charset val="134"/>
          </rPr>
          <t xml:space="preserve">
1、15.7记80，汇7万元（15年3月-5月）
2、15.8记26，汇4.8万元（15年6月-7月）
3、15.11记61，汇3.6万元（15年8月-9月）
本单已清</t>
        </r>
      </text>
    </comment>
    <comment ref="P9" authorId="0">
      <text>
        <r>
          <rPr>
            <b/>
            <sz val="9"/>
            <rFont val="宋体"/>
            <charset val="134"/>
          </rPr>
          <t>永荣科技:</t>
        </r>
        <r>
          <rPr>
            <sz val="9"/>
            <rFont val="宋体"/>
            <charset val="134"/>
          </rPr>
          <t xml:space="preserve">
1
2
3
</t>
        </r>
      </text>
    </comment>
    <comment ref="P10" authorId="0">
      <text>
        <r>
          <rPr>
            <b/>
            <sz val="9"/>
            <rFont val="宋体"/>
            <charset val="134"/>
          </rPr>
          <t>永荣科技:</t>
        </r>
        <r>
          <rPr>
            <sz val="9"/>
            <rFont val="宋体"/>
            <charset val="134"/>
          </rPr>
          <t xml:space="preserve">
15.8记29,5400万
15.8记174,5000万
15.12记130,348.277029万
15.12记131,1851.722971万
16.8记77,9426239.8元
16年12记186,5250110元
</t>
        </r>
      </text>
    </comment>
    <comment ref="P11" authorId="0">
      <text>
        <r>
          <rPr>
            <b/>
            <sz val="9"/>
            <rFont val="宋体"/>
            <charset val="134"/>
          </rPr>
          <t>永荣科技:</t>
        </r>
        <r>
          <rPr>
            <sz val="9"/>
            <rFont val="宋体"/>
            <charset val="134"/>
          </rPr>
          <t xml:space="preserve">
15.11记2600万
15.12记3200万
16.5记48,697.7万</t>
        </r>
      </text>
    </comment>
    <comment ref="P14" authorId="0">
      <text>
        <r>
          <rPr>
            <b/>
            <sz val="9"/>
            <rFont val="宋体"/>
            <charset val="134"/>
          </rPr>
          <t>永荣科技:</t>
        </r>
        <r>
          <rPr>
            <sz val="9"/>
            <rFont val="宋体"/>
            <charset val="134"/>
          </rPr>
          <t xml:space="preserve">
1
2
</t>
        </r>
      </text>
    </comment>
    <comment ref="P15" authorId="0">
      <text>
        <r>
          <rPr>
            <b/>
            <sz val="9"/>
            <rFont val="宋体"/>
            <charset val="134"/>
          </rPr>
          <t>永荣科技:</t>
        </r>
        <r>
          <rPr>
            <sz val="9"/>
            <rFont val="宋体"/>
            <charset val="134"/>
          </rPr>
          <t xml:space="preserve">
3</t>
        </r>
      </text>
    </comment>
    <comment ref="F16" authorId="0">
      <text>
        <r>
          <rPr>
            <b/>
            <sz val="9"/>
            <rFont val="宋体"/>
            <charset val="134"/>
          </rPr>
          <t>永荣科技:</t>
        </r>
        <r>
          <rPr>
            <sz val="9"/>
            <rFont val="宋体"/>
            <charset val="134"/>
          </rPr>
          <t xml:space="preserve">
1、16.6记41，汇67万元
2、参考林燕珍（累计支付109万元，累计工程款145万元）
3、17.8.8申请8万元（本次工程总量107758.2元）</t>
        </r>
      </text>
    </comment>
    <comment ref="J16" authorId="0">
      <text>
        <r>
          <rPr>
            <b/>
            <sz val="9"/>
            <rFont val="宋体"/>
            <charset val="134"/>
          </rPr>
          <t>永荣科技:</t>
        </r>
        <r>
          <rPr>
            <sz val="9"/>
            <rFont val="宋体"/>
            <charset val="134"/>
          </rPr>
          <t xml:space="preserve">
1、16.6记41，付67万
2、                （累计支付109万元，累计工程款145万元）
3、17.8.8申请8万元（本期工程款107758.2元）
</t>
        </r>
      </text>
    </comment>
    <comment ref="F17" authorId="0">
      <text>
        <r>
          <rPr>
            <b/>
            <sz val="9"/>
            <rFont val="宋体"/>
            <charset val="134"/>
          </rPr>
          <t>永荣科技:</t>
        </r>
        <r>
          <rPr>
            <sz val="9"/>
            <rFont val="宋体"/>
            <charset val="134"/>
          </rPr>
          <t xml:space="preserve">
1、15.10记65,12.5万
2、15.11记20,12.5万
3、15.11记60,13万
4、15.11记85,12.25万
5、15.12记2,0.25万
6、15.12记16,2.77万
7、15.10账号错误退0.5万
</t>
        </r>
      </text>
    </comment>
    <comment ref="P17" authorId="0">
      <text>
        <r>
          <rPr>
            <b/>
            <sz val="9"/>
            <rFont val="宋体"/>
            <charset val="134"/>
          </rPr>
          <t>永荣科技:</t>
        </r>
        <r>
          <rPr>
            <sz val="9"/>
            <rFont val="宋体"/>
            <charset val="134"/>
          </rPr>
          <t xml:space="preserve">
1
2
3
4
5
6
7
</t>
        </r>
      </text>
    </comment>
    <comment ref="F18" authorId="0">
      <text>
        <r>
          <rPr>
            <b/>
            <sz val="9"/>
            <rFont val="宋体"/>
            <charset val="134"/>
          </rPr>
          <t>永荣科技:</t>
        </r>
        <r>
          <rPr>
            <sz val="9"/>
            <rFont val="宋体"/>
            <charset val="134"/>
          </rPr>
          <t xml:space="preserve">
1、17.1记46，付9.2万元（本次工程115097元）
2、17.7.24申请7.6万元（共76650元，实付76000元，误差650元；本次工程95813元，累计210910元）
</t>
        </r>
      </text>
    </comment>
    <comment ref="P18" authorId="0">
      <text>
        <r>
          <rPr>
            <b/>
            <sz val="9"/>
            <rFont val="宋体"/>
            <charset val="134"/>
          </rPr>
          <t>永荣科技:</t>
        </r>
        <r>
          <rPr>
            <sz val="9"/>
            <rFont val="宋体"/>
            <charset val="134"/>
          </rPr>
          <t xml:space="preserve">
1
2
</t>
        </r>
      </text>
    </comment>
    <comment ref="P19" authorId="0">
      <text>
        <r>
          <rPr>
            <b/>
            <sz val="9"/>
            <rFont val="宋体"/>
            <charset val="134"/>
          </rPr>
          <t>永荣科技:</t>
        </r>
        <r>
          <rPr>
            <sz val="9"/>
            <rFont val="宋体"/>
            <charset val="134"/>
          </rPr>
          <t xml:space="preserve">
16.3记94,297.54万
16.4记53,2700万
16.7记78,3590.46万</t>
        </r>
      </text>
    </comment>
    <comment ref="F20" authorId="0">
      <text>
        <r>
          <rPr>
            <b/>
            <sz val="9"/>
            <rFont val="宋体"/>
            <charset val="134"/>
          </rPr>
          <t>永荣科技:</t>
        </r>
        <r>
          <rPr>
            <sz val="9"/>
            <rFont val="宋体"/>
            <charset val="134"/>
          </rPr>
          <t xml:space="preserve">
第一次：16.07记49，共261万元（实付253.17万，扣7.83万反向贴息）
第二次：16.09记68，共198万元（实付197.93万元，扣700罚款） 
第三次：16.12记179，共256万元（251万+5万）
第四次：17.05记86，共167万元（付167万元）
第五次：17.8.8申请付1718957（待扣水电费2220元，5-7月抄表），本期工程款2148696元，累计12466645元
第六次：17.9.16申请41.3万元（本次工程517448元，累计工程12984093元）
</t>
        </r>
      </text>
    </comment>
    <comment ref="P20" authorId="0">
      <text>
        <r>
          <rPr>
            <b/>
            <sz val="9"/>
            <rFont val="宋体"/>
            <charset val="134"/>
          </rPr>
          <t>永荣科技:</t>
        </r>
        <r>
          <rPr>
            <sz val="9"/>
            <rFont val="宋体"/>
            <charset val="134"/>
          </rPr>
          <t xml:space="preserve">
1
2
3
4
5
6
</t>
        </r>
      </text>
    </comment>
    <comment ref="F21" authorId="0">
      <text>
        <r>
          <rPr>
            <b/>
            <sz val="9"/>
            <rFont val="宋体"/>
            <charset val="134"/>
          </rPr>
          <t>永荣科技:</t>
        </r>
        <r>
          <rPr>
            <sz val="9"/>
            <rFont val="宋体"/>
            <charset val="134"/>
          </rPr>
          <t xml:space="preserve">
1、16.5记50，汇72万元
以下未核对OA</t>
        </r>
      </text>
    </comment>
    <comment ref="P21" authorId="0">
      <text>
        <r>
          <rPr>
            <b/>
            <sz val="9"/>
            <rFont val="宋体"/>
            <charset val="134"/>
          </rPr>
          <t>永荣科技:</t>
        </r>
        <r>
          <rPr>
            <sz val="9"/>
            <rFont val="宋体"/>
            <charset val="134"/>
          </rPr>
          <t xml:space="preserve">
1</t>
        </r>
      </text>
    </comment>
    <comment ref="P22" authorId="0">
      <text>
        <r>
          <rPr>
            <b/>
            <sz val="9"/>
            <rFont val="宋体"/>
            <charset val="134"/>
          </rPr>
          <t>永荣科技:</t>
        </r>
        <r>
          <rPr>
            <sz val="9"/>
            <rFont val="宋体"/>
            <charset val="134"/>
          </rPr>
          <t xml:space="preserve">
16.11记70,10万
16.6记102,127675.4元
17.1记35,30706.55元</t>
        </r>
      </text>
    </comment>
    <comment ref="P23" authorId="0">
      <text>
        <r>
          <rPr>
            <b/>
            <sz val="9"/>
            <rFont val="宋体"/>
            <charset val="134"/>
          </rPr>
          <t>永荣科技:</t>
        </r>
        <r>
          <rPr>
            <sz val="9"/>
            <rFont val="宋体"/>
            <charset val="134"/>
          </rPr>
          <t xml:space="preserve">
16.3记1,426.8万
16.6记40,437万</t>
        </r>
      </text>
    </comment>
    <comment ref="S23" authorId="0">
      <text>
        <r>
          <rPr>
            <b/>
            <sz val="9"/>
            <rFont val="宋体"/>
            <charset val="134"/>
          </rPr>
          <t>永荣科技:</t>
        </r>
        <r>
          <rPr>
            <sz val="9"/>
            <rFont val="宋体"/>
            <charset val="134"/>
          </rPr>
          <t xml:space="preserve">
17.1记43,208.16万</t>
        </r>
      </text>
    </comment>
    <comment ref="P24" authorId="0">
      <text>
        <r>
          <rPr>
            <b/>
            <sz val="9"/>
            <rFont val="宋体"/>
            <charset val="134"/>
          </rPr>
          <t>永荣科技:</t>
        </r>
        <r>
          <rPr>
            <sz val="9"/>
            <rFont val="宋体"/>
            <charset val="134"/>
          </rPr>
          <t xml:space="preserve">
16.3记84,39144</t>
        </r>
      </text>
    </comment>
    <comment ref="S24" authorId="0">
      <text>
        <r>
          <rPr>
            <b/>
            <sz val="9"/>
            <rFont val="宋体"/>
            <charset val="134"/>
          </rPr>
          <t>永荣科技:</t>
        </r>
        <r>
          <rPr>
            <sz val="9"/>
            <rFont val="宋体"/>
            <charset val="134"/>
          </rPr>
          <t xml:space="preserve">
16.11记65,8000元</t>
        </r>
      </text>
    </comment>
    <comment ref="P25" authorId="0">
      <text>
        <r>
          <rPr>
            <b/>
            <sz val="9"/>
            <rFont val="宋体"/>
            <charset val="134"/>
          </rPr>
          <t>永荣科技:</t>
        </r>
        <r>
          <rPr>
            <sz val="9"/>
            <rFont val="宋体"/>
            <charset val="134"/>
          </rPr>
          <t xml:space="preserve">
16.5记9,1万</t>
        </r>
      </text>
    </comment>
    <comment ref="F27" authorId="0">
      <text>
        <r>
          <rPr>
            <b/>
            <sz val="9"/>
            <rFont val="宋体"/>
            <charset val="134"/>
          </rPr>
          <t>永荣科技:</t>
        </r>
        <r>
          <rPr>
            <sz val="9"/>
            <rFont val="宋体"/>
            <charset val="134"/>
          </rPr>
          <t xml:space="preserve">
4、16.1记24,付36000元（15年10-11月）
5、16.5记25,付36000元（15.12-16.01月）
6、16.7记45,付36000元（16年2-3月）
7、16.8记79,付38129元（16年4-5月）
8、16.9记65,付42000元（16年6-7月）
9、17.3记56，付4.2万元（16年8-9月）
10、17.3记56，付4.2万元（16年10-11月
11、17.4记93，付4.2万元（16.11-17.01月）
12、17.5记108，付4.6万元（17年2-3月）
13、17.7申请4.6万，审核45615元（17年4-5月）
14、17.8.15申请21461元，（17年6月，待扣罚款5000元）
15、17.8.30申请19346元（17年7月）
</t>
        </r>
      </text>
    </comment>
    <comment ref="P27" authorId="0">
      <text>
        <r>
          <rPr>
            <b/>
            <sz val="9"/>
            <rFont val="宋体"/>
            <charset val="134"/>
          </rPr>
          <t>永荣科技:</t>
        </r>
        <r>
          <rPr>
            <sz val="9"/>
            <rFont val="宋体"/>
            <charset val="134"/>
          </rPr>
          <t xml:space="preserve">
4
5
6
7
8
9
10
11
12
13
14
15</t>
        </r>
      </text>
    </comment>
    <comment ref="P28" authorId="0">
      <text>
        <r>
          <rPr>
            <b/>
            <sz val="9"/>
            <rFont val="宋体"/>
            <charset val="134"/>
          </rPr>
          <t>永荣科技:</t>
        </r>
        <r>
          <rPr>
            <sz val="9"/>
            <rFont val="宋体"/>
            <charset val="134"/>
          </rPr>
          <t xml:space="preserve">
第1次：2016年9月记69付159.9万元（实付155.103万元，4.797万元未反向贴息）</t>
        </r>
      </text>
    </comment>
    <comment ref="S28" authorId="0">
      <text>
        <r>
          <rPr>
            <b/>
            <sz val="9"/>
            <rFont val="宋体"/>
            <charset val="134"/>
          </rPr>
          <t>永荣科技:</t>
        </r>
        <r>
          <rPr>
            <sz val="9"/>
            <rFont val="宋体"/>
            <charset val="134"/>
          </rPr>
          <t xml:space="preserve">
第2次：16.12记174,159万</t>
        </r>
      </text>
    </comment>
    <comment ref="V28" authorId="0">
      <text>
        <r>
          <rPr>
            <b/>
            <sz val="9"/>
            <rFont val="宋体"/>
            <charset val="134"/>
          </rPr>
          <t>永荣科技:</t>
        </r>
        <r>
          <rPr>
            <sz val="9"/>
            <rFont val="宋体"/>
            <charset val="134"/>
          </rPr>
          <t xml:space="preserve">
第3次：
2017年1月记32付159万元（实付1516208.16元，扣反向贴息46893.04元，违规、水电费26898.8元）
</t>
        </r>
      </text>
    </comment>
    <comment ref="Y28" authorId="0">
      <text>
        <r>
          <rPr>
            <b/>
            <sz val="9"/>
            <rFont val="宋体"/>
            <charset val="134"/>
          </rPr>
          <t>永荣科技:</t>
        </r>
        <r>
          <rPr>
            <sz val="9"/>
            <rFont val="宋体"/>
            <charset val="134"/>
          </rPr>
          <t xml:space="preserve">
第4次：2017年1月记31付100万元
第5次：2017年6月记151付59万元</t>
        </r>
      </text>
    </comment>
    <comment ref="I30" authorId="0">
      <text>
        <r>
          <rPr>
            <b/>
            <sz val="9"/>
            <rFont val="宋体"/>
            <charset val="134"/>
          </rPr>
          <t>永荣科技:</t>
        </r>
        <r>
          <rPr>
            <sz val="9"/>
            <rFont val="宋体"/>
            <charset val="134"/>
          </rPr>
          <t xml:space="preserve">
合同金额2076000</t>
        </r>
      </text>
    </comment>
    <comment ref="P30" authorId="0">
      <text>
        <r>
          <rPr>
            <b/>
            <sz val="9"/>
            <rFont val="宋体"/>
            <charset val="134"/>
          </rPr>
          <t>永荣科技:</t>
        </r>
        <r>
          <rPr>
            <sz val="9"/>
            <rFont val="宋体"/>
            <charset val="134"/>
          </rPr>
          <t xml:space="preserve">
16.9记67，30万
16.10记45,30万
16.12记170,14.6355万
</t>
        </r>
      </text>
    </comment>
    <comment ref="P31" authorId="0">
      <text>
        <r>
          <rPr>
            <b/>
            <sz val="9"/>
            <rFont val="宋体"/>
            <charset val="134"/>
          </rPr>
          <t>永荣科技:</t>
        </r>
        <r>
          <rPr>
            <sz val="9"/>
            <rFont val="宋体"/>
            <charset val="134"/>
          </rPr>
          <t xml:space="preserve">
2017.1记46付19.4万元
2017.7.24申请7.4万元</t>
        </r>
      </text>
    </comment>
    <comment ref="F32" authorId="0">
      <text>
        <r>
          <rPr>
            <b/>
            <sz val="9"/>
            <rFont val="宋体"/>
            <charset val="134"/>
          </rPr>
          <t>永荣科技:</t>
        </r>
        <r>
          <rPr>
            <sz val="9"/>
            <rFont val="宋体"/>
            <charset val="134"/>
          </rPr>
          <t xml:space="preserve">
1、按老叶记录
本单已清
</t>
        </r>
      </text>
    </comment>
    <comment ref="I32" authorId="0">
      <text>
        <r>
          <rPr>
            <b/>
            <sz val="9"/>
            <rFont val="宋体"/>
            <charset val="134"/>
          </rPr>
          <t>永荣科技:</t>
        </r>
        <r>
          <rPr>
            <sz val="9"/>
            <rFont val="宋体"/>
            <charset val="134"/>
          </rPr>
          <t xml:space="preserve">
合同金额53340</t>
        </r>
      </text>
    </comment>
    <comment ref="P32" authorId="0">
      <text>
        <r>
          <rPr>
            <b/>
            <sz val="9"/>
            <rFont val="宋体"/>
            <charset val="134"/>
          </rPr>
          <t>永荣科技:</t>
        </r>
        <r>
          <rPr>
            <sz val="9"/>
            <rFont val="宋体"/>
            <charset val="134"/>
          </rPr>
          <t xml:space="preserve">
1</t>
        </r>
      </text>
    </comment>
    <comment ref="I33" authorId="0">
      <text>
        <r>
          <rPr>
            <b/>
            <sz val="9"/>
            <rFont val="宋体"/>
            <charset val="134"/>
          </rPr>
          <t>永荣科技:</t>
        </r>
        <r>
          <rPr>
            <sz val="9"/>
            <rFont val="宋体"/>
            <charset val="134"/>
          </rPr>
          <t xml:space="preserve">
合同金额947400元</t>
        </r>
      </text>
    </comment>
    <comment ref="P33" authorId="0">
      <text>
        <r>
          <rPr>
            <b/>
            <sz val="9"/>
            <rFont val="宋体"/>
            <charset val="134"/>
          </rPr>
          <t>永荣科技:</t>
        </r>
        <r>
          <rPr>
            <sz val="9"/>
            <rFont val="宋体"/>
            <charset val="134"/>
          </rPr>
          <t xml:space="preserve">
按老叶记录</t>
        </r>
      </text>
    </comment>
    <comment ref="S33" authorId="0">
      <text>
        <r>
          <rPr>
            <b/>
            <sz val="9"/>
            <rFont val="宋体"/>
            <charset val="134"/>
          </rPr>
          <t>永荣科技:</t>
        </r>
        <r>
          <rPr>
            <sz val="9"/>
            <rFont val="宋体"/>
            <charset val="134"/>
          </rPr>
          <t xml:space="preserve">
按老叶记录</t>
        </r>
      </text>
    </comment>
    <comment ref="P34" authorId="0">
      <text>
        <r>
          <rPr>
            <b/>
            <sz val="9"/>
            <rFont val="宋体"/>
            <charset val="134"/>
          </rPr>
          <t>永荣科技:</t>
        </r>
        <r>
          <rPr>
            <sz val="9"/>
            <rFont val="宋体"/>
            <charset val="134"/>
          </rPr>
          <t xml:space="preserve">
17.1记34,51万
17.2记44,43.86万</t>
        </r>
      </text>
    </comment>
    <comment ref="F35" authorId="0">
      <text>
        <r>
          <rPr>
            <b/>
            <sz val="9"/>
            <rFont val="宋体"/>
            <charset val="134"/>
          </rPr>
          <t>永荣科技:</t>
        </r>
        <r>
          <rPr>
            <sz val="9"/>
            <rFont val="宋体"/>
            <charset val="134"/>
          </rPr>
          <t xml:space="preserve">
1、待查（付80%货款）
2、17.8.18申请15770.5元（10%验收款）
</t>
        </r>
      </text>
    </comment>
    <comment ref="P35" authorId="0">
      <text>
        <r>
          <rPr>
            <b/>
            <sz val="9"/>
            <rFont val="宋体"/>
            <charset val="134"/>
          </rPr>
          <t>永荣科技:</t>
        </r>
        <r>
          <rPr>
            <sz val="9"/>
            <rFont val="宋体"/>
            <charset val="134"/>
          </rPr>
          <t xml:space="preserve">
1</t>
        </r>
      </text>
    </comment>
    <comment ref="S35" authorId="0">
      <text>
        <r>
          <rPr>
            <b/>
            <sz val="9"/>
            <rFont val="宋体"/>
            <charset val="134"/>
          </rPr>
          <t>永荣科技:</t>
        </r>
        <r>
          <rPr>
            <sz val="9"/>
            <rFont val="宋体"/>
            <charset val="134"/>
          </rPr>
          <t xml:space="preserve">
2</t>
        </r>
      </text>
    </comment>
    <comment ref="P36" authorId="0">
      <text>
        <r>
          <rPr>
            <b/>
            <sz val="9"/>
            <rFont val="宋体"/>
            <charset val="134"/>
          </rPr>
          <t>永荣科技:</t>
        </r>
        <r>
          <rPr>
            <sz val="9"/>
            <rFont val="宋体"/>
            <charset val="134"/>
          </rPr>
          <t xml:space="preserve">
16.12记169,41.4万
16.12记171,41.4万
16.12记172,41.4万
17.1记33,57.96万</t>
        </r>
      </text>
    </comment>
    <comment ref="F37" authorId="0">
      <text>
        <r>
          <rPr>
            <b/>
            <sz val="9"/>
            <rFont val="宋体"/>
            <charset val="134"/>
          </rPr>
          <t>永荣科技:</t>
        </r>
        <r>
          <rPr>
            <sz val="9"/>
            <rFont val="宋体"/>
            <charset val="134"/>
          </rPr>
          <t xml:space="preserve">
1、17.7.25申请45.6万元（共471600元，实付45600元，扣HSE保证金0.8万元，扣水电费3180元，材料浪费3650元，误差770元；本次工程589502元）</t>
        </r>
      </text>
    </comment>
    <comment ref="P37" authorId="0">
      <text>
        <r>
          <rPr>
            <b/>
            <sz val="9"/>
            <rFont val="宋体"/>
            <charset val="134"/>
          </rPr>
          <t>永荣科技:</t>
        </r>
        <r>
          <rPr>
            <sz val="9"/>
            <rFont val="宋体"/>
            <charset val="134"/>
          </rPr>
          <t xml:space="preserve">
1</t>
        </r>
      </text>
    </comment>
    <comment ref="P38" authorId="0">
      <text>
        <r>
          <rPr>
            <b/>
            <sz val="9"/>
            <rFont val="宋体"/>
            <charset val="134"/>
          </rPr>
          <t>永荣科技:</t>
        </r>
        <r>
          <rPr>
            <sz val="9"/>
            <rFont val="宋体"/>
            <charset val="134"/>
          </rPr>
          <t xml:space="preserve">
17.4记21,3589元
17.6记14,21105元</t>
        </r>
      </text>
    </comment>
    <comment ref="P39" authorId="0">
      <text>
        <r>
          <rPr>
            <b/>
            <sz val="9"/>
            <rFont val="宋体"/>
            <charset val="134"/>
          </rPr>
          <t>永荣科技:</t>
        </r>
        <r>
          <rPr>
            <sz val="9"/>
            <rFont val="宋体"/>
            <charset val="134"/>
          </rPr>
          <t xml:space="preserve">
17.1记41,149369.16元</t>
        </r>
      </text>
    </comment>
    <comment ref="P41" authorId="0">
      <text>
        <r>
          <rPr>
            <b/>
            <sz val="9"/>
            <rFont val="宋体"/>
            <charset val="134"/>
          </rPr>
          <t>永荣科技:</t>
        </r>
        <r>
          <rPr>
            <sz val="9"/>
            <rFont val="宋体"/>
            <charset val="134"/>
          </rPr>
          <t xml:space="preserve">
17.2记28付39507元（反贴息收入1222.92元）
</t>
        </r>
      </text>
    </comment>
    <comment ref="F42" authorId="0">
      <text>
        <r>
          <rPr>
            <b/>
            <sz val="9"/>
            <rFont val="宋体"/>
            <charset val="134"/>
          </rPr>
          <t>永荣科技:</t>
        </r>
        <r>
          <rPr>
            <sz val="9"/>
            <rFont val="宋体"/>
            <charset val="134"/>
          </rPr>
          <t xml:space="preserve">
1、17.7.30申请付款14万元（工程款总量177693.95元）</t>
        </r>
      </text>
    </comment>
    <comment ref="I42" authorId="0">
      <text>
        <r>
          <rPr>
            <b/>
            <sz val="9"/>
            <rFont val="宋体"/>
            <charset val="134"/>
          </rPr>
          <t>永荣科技:</t>
        </r>
        <r>
          <rPr>
            <sz val="9"/>
            <rFont val="宋体"/>
            <charset val="134"/>
          </rPr>
          <t xml:space="preserve">
合同暂定金额187451元
</t>
        </r>
      </text>
    </comment>
    <comment ref="P42" authorId="0">
      <text>
        <r>
          <rPr>
            <b/>
            <sz val="9"/>
            <rFont val="宋体"/>
            <charset val="134"/>
          </rPr>
          <t>永荣科技:</t>
        </r>
        <r>
          <rPr>
            <sz val="9"/>
            <rFont val="宋体"/>
            <charset val="134"/>
          </rPr>
          <t xml:space="preserve">
1</t>
        </r>
      </text>
    </comment>
    <comment ref="P43" authorId="0">
      <text>
        <r>
          <rPr>
            <b/>
            <sz val="9"/>
            <rFont val="宋体"/>
            <charset val="134"/>
          </rPr>
          <t>永荣科技:</t>
        </r>
        <r>
          <rPr>
            <sz val="9"/>
            <rFont val="宋体"/>
            <charset val="134"/>
          </rPr>
          <t xml:space="preserve">
2</t>
        </r>
      </text>
    </comment>
    <comment ref="S43" authorId="0">
      <text>
        <r>
          <rPr>
            <b/>
            <sz val="9"/>
            <rFont val="宋体"/>
            <charset val="134"/>
          </rPr>
          <t>永荣科技:</t>
        </r>
        <r>
          <rPr>
            <sz val="9"/>
            <rFont val="宋体"/>
            <charset val="134"/>
          </rPr>
          <t xml:space="preserve">
2</t>
        </r>
      </text>
    </comment>
    <comment ref="P44" authorId="0">
      <text>
        <r>
          <rPr>
            <b/>
            <sz val="9"/>
            <rFont val="宋体"/>
            <charset val="134"/>
          </rPr>
          <t>永荣科技:</t>
        </r>
        <r>
          <rPr>
            <sz val="9"/>
            <rFont val="宋体"/>
            <charset val="134"/>
          </rPr>
          <t xml:space="preserve">
1</t>
        </r>
      </text>
    </comment>
    <comment ref="S44" authorId="0">
      <text>
        <r>
          <rPr>
            <b/>
            <sz val="9"/>
            <rFont val="宋体"/>
            <charset val="134"/>
          </rPr>
          <t>永荣科技:</t>
        </r>
        <r>
          <rPr>
            <sz val="9"/>
            <rFont val="宋体"/>
            <charset val="134"/>
          </rPr>
          <t xml:space="preserve">
2
</t>
        </r>
      </text>
    </comment>
    <comment ref="P45" authorId="0">
      <text>
        <r>
          <rPr>
            <b/>
            <sz val="9"/>
            <rFont val="宋体"/>
            <charset val="134"/>
          </rPr>
          <t>永荣科技:</t>
        </r>
        <r>
          <rPr>
            <sz val="9"/>
            <rFont val="宋体"/>
            <charset val="134"/>
          </rPr>
          <t xml:space="preserve">
1
</t>
        </r>
      </text>
    </comment>
    <comment ref="S45" authorId="0">
      <text>
        <r>
          <rPr>
            <b/>
            <sz val="9"/>
            <rFont val="宋体"/>
            <charset val="134"/>
          </rPr>
          <t>永荣科技:</t>
        </r>
        <r>
          <rPr>
            <sz val="9"/>
            <rFont val="宋体"/>
            <charset val="134"/>
          </rPr>
          <t xml:space="preserve">
3</t>
        </r>
      </text>
    </comment>
    <comment ref="P46" authorId="0">
      <text>
        <r>
          <rPr>
            <b/>
            <sz val="9"/>
            <rFont val="宋体"/>
            <charset val="134"/>
          </rPr>
          <t>永荣科技:</t>
        </r>
        <r>
          <rPr>
            <sz val="9"/>
            <rFont val="宋体"/>
            <charset val="134"/>
          </rPr>
          <t xml:space="preserve">
3</t>
        </r>
      </text>
    </comment>
    <comment ref="S46" authorId="0">
      <text>
        <r>
          <rPr>
            <b/>
            <sz val="9"/>
            <rFont val="宋体"/>
            <charset val="134"/>
          </rPr>
          <t>永荣科技:</t>
        </r>
        <r>
          <rPr>
            <sz val="9"/>
            <rFont val="宋体"/>
            <charset val="134"/>
          </rPr>
          <t xml:space="preserve">
3、本次工程款共2262297.2元
3</t>
        </r>
      </text>
    </comment>
    <comment ref="P47" authorId="0">
      <text>
        <r>
          <rPr>
            <b/>
            <sz val="9"/>
            <rFont val="宋体"/>
            <charset val="134"/>
          </rPr>
          <t>永荣科技:</t>
        </r>
        <r>
          <rPr>
            <sz val="9"/>
            <rFont val="宋体"/>
            <charset val="134"/>
          </rPr>
          <t xml:space="preserve">
2</t>
        </r>
      </text>
    </comment>
    <comment ref="S47" authorId="0">
      <text>
        <r>
          <rPr>
            <b/>
            <sz val="9"/>
            <rFont val="宋体"/>
            <charset val="134"/>
          </rPr>
          <t>永荣科技:</t>
        </r>
        <r>
          <rPr>
            <sz val="9"/>
            <rFont val="宋体"/>
            <charset val="134"/>
          </rPr>
          <t xml:space="preserve">
2</t>
        </r>
      </text>
    </comment>
    <comment ref="F51" authorId="0">
      <text>
        <r>
          <rPr>
            <b/>
            <sz val="9"/>
            <rFont val="宋体"/>
            <charset val="134"/>
          </rPr>
          <t>永荣科技:</t>
        </r>
        <r>
          <rPr>
            <sz val="9"/>
            <rFont val="宋体"/>
            <charset val="134"/>
          </rPr>
          <t xml:space="preserve">
1、17.6记156，汇360万元（共360.43448元，实汇360万元，尾差4344.8元放着；本次完工450.5431万元，累计完工450.5431万元）
2、17.7.27申请428.2万元（共428.257328万元，实汇406.3957万元，扣HSE保证金18万元，扣水电费38043元，尾差573.28元放着；本次完工535.32166万元，累计完工985.86476万元）
3、17.8.14申请179万元（共180.983776元，实汇179万元，扣水电费19531元，尾差306.76元放着；本次完工226.22972万元，累计完工1212.09448万元）</t>
        </r>
      </text>
    </comment>
    <comment ref="J51" authorId="0">
      <text>
        <r>
          <rPr>
            <b/>
            <sz val="9"/>
            <rFont val="宋体"/>
            <charset val="134"/>
          </rPr>
          <t>永荣科技:</t>
        </r>
        <r>
          <rPr>
            <sz val="9"/>
            <rFont val="宋体"/>
            <charset val="134"/>
          </rPr>
          <t xml:space="preserve">
1、17.6记156，付360万元
2、17.7.27审批428.2万元
3、17.8.15申请付179万元（本次工程款2262297.2元，扣水电费19531元）</t>
        </r>
      </text>
    </comment>
    <comment ref="P52" authorId="0">
      <text>
        <r>
          <rPr>
            <b/>
            <sz val="9"/>
            <rFont val="宋体"/>
            <charset val="134"/>
          </rPr>
          <t>永荣科技:</t>
        </r>
        <r>
          <rPr>
            <sz val="9"/>
            <rFont val="宋体"/>
            <charset val="134"/>
          </rPr>
          <t xml:space="preserve">
17.4记81,64425.44元</t>
        </r>
      </text>
    </comment>
    <comment ref="F53" authorId="0">
      <text>
        <r>
          <rPr>
            <b/>
            <sz val="9"/>
            <rFont val="宋体"/>
            <charset val="134"/>
          </rPr>
          <t xml:space="preserve">永荣科技:                   80%支付
</t>
        </r>
        <r>
          <rPr>
            <sz val="9"/>
            <rFont val="宋体"/>
            <charset val="134"/>
          </rPr>
          <t>1、17.9.26申请106400元</t>
        </r>
      </text>
    </comment>
    <comment ref="S53" authorId="0">
      <text>
        <r>
          <rPr>
            <b/>
            <sz val="9"/>
            <rFont val="宋体"/>
            <charset val="134"/>
          </rPr>
          <t>永荣科技:</t>
        </r>
        <r>
          <rPr>
            <sz val="9"/>
            <rFont val="宋体"/>
            <charset val="134"/>
          </rPr>
          <t xml:space="preserve">
1</t>
        </r>
      </text>
    </comment>
    <comment ref="P54" authorId="0">
      <text>
        <r>
          <rPr>
            <b/>
            <sz val="9"/>
            <rFont val="宋体"/>
            <charset val="134"/>
          </rPr>
          <t>永荣科技:</t>
        </r>
        <r>
          <rPr>
            <sz val="9"/>
            <rFont val="宋体"/>
            <charset val="134"/>
          </rPr>
          <t xml:space="preserve">
17.3记87， 1095万</t>
        </r>
      </text>
    </comment>
    <comment ref="S54" authorId="0">
      <text>
        <r>
          <rPr>
            <b/>
            <sz val="9"/>
            <rFont val="宋体"/>
            <charset val="134"/>
          </rPr>
          <t>永荣科技:</t>
        </r>
        <r>
          <rPr>
            <sz val="9"/>
            <rFont val="宋体"/>
            <charset val="134"/>
          </rPr>
          <t xml:space="preserve">
2017.7.21审批</t>
        </r>
      </text>
    </comment>
    <comment ref="P55" authorId="0">
      <text>
        <r>
          <rPr>
            <b/>
            <sz val="9"/>
            <rFont val="宋体"/>
            <charset val="134"/>
          </rPr>
          <t>永荣科技:</t>
        </r>
        <r>
          <rPr>
            <sz val="9"/>
            <rFont val="宋体"/>
            <charset val="134"/>
          </rPr>
          <t xml:space="preserve">
2017.7.21审批</t>
        </r>
      </text>
    </comment>
    <comment ref="P59" authorId="0">
      <text>
        <r>
          <rPr>
            <b/>
            <sz val="9"/>
            <rFont val="宋体"/>
            <charset val="134"/>
          </rPr>
          <t xml:space="preserve">永荣科技:
</t>
        </r>
        <r>
          <rPr>
            <sz val="9"/>
            <rFont val="宋体"/>
            <charset val="134"/>
          </rPr>
          <t>17.5记112， 26.4万</t>
        </r>
      </text>
    </comment>
    <comment ref="S59" authorId="0">
      <text>
        <r>
          <rPr>
            <b/>
            <sz val="9"/>
            <rFont val="宋体"/>
            <charset val="134"/>
          </rPr>
          <t>永荣科技:</t>
        </r>
        <r>
          <rPr>
            <sz val="9"/>
            <rFont val="宋体"/>
            <charset val="134"/>
          </rPr>
          <t xml:space="preserve">
17.7.19审批</t>
        </r>
      </text>
    </comment>
    <comment ref="F60" authorId="0">
      <text>
        <r>
          <rPr>
            <b/>
            <sz val="9"/>
            <rFont val="宋体"/>
            <charset val="134"/>
          </rPr>
          <t>永荣科技:</t>
        </r>
        <r>
          <rPr>
            <sz val="9"/>
            <rFont val="宋体"/>
            <charset val="134"/>
          </rPr>
          <t xml:space="preserve">
1、17年4月记90，付150万元
2、17年4月记94，付75万元
3、17年5月记96，付217万元/4
4、17年6月记170，付108.5万元
5、17年7月记237，付154.484036万元
本单已清
</t>
        </r>
      </text>
    </comment>
    <comment ref="I60" authorId="0">
      <text>
        <r>
          <rPr>
            <b/>
            <sz val="9"/>
            <rFont val="宋体"/>
            <charset val="134"/>
          </rPr>
          <t>永荣科技:</t>
        </r>
        <r>
          <rPr>
            <sz val="9"/>
            <rFont val="宋体"/>
            <charset val="134"/>
          </rPr>
          <t xml:space="preserve">
合同金额7675000元</t>
        </r>
      </text>
    </comment>
    <comment ref="P60" authorId="0">
      <text>
        <r>
          <rPr>
            <b/>
            <sz val="9"/>
            <rFont val="宋体"/>
            <charset val="134"/>
          </rPr>
          <t>永荣科技:</t>
        </r>
        <r>
          <rPr>
            <sz val="9"/>
            <rFont val="宋体"/>
            <charset val="134"/>
          </rPr>
          <t xml:space="preserve">
1
2
3
4
5
</t>
        </r>
      </text>
    </comment>
    <comment ref="F61" authorId="0">
      <text>
        <r>
          <rPr>
            <b/>
            <sz val="9"/>
            <rFont val="宋体"/>
            <charset val="134"/>
          </rPr>
          <t>永荣科技:</t>
        </r>
        <r>
          <rPr>
            <sz val="9"/>
            <rFont val="宋体"/>
            <charset val="134"/>
          </rPr>
          <t xml:space="preserve">
1、17.7记228，汇77.8432万元（共85.6万元万元，扣HSE保证金5万，扣罚款500元，水电费27068元；本次工程总价1071226.56元）
2、17.8.3申请755000-21056元（共75.5万元，扣水电费21056元；本次工程总价943725元，累计2014951.56元）
3、17.9.6申请778600-21452元（共77.86万元，扣水电费21452元；本次工程总价973338元，累计2988289.56元）
</t>
        </r>
      </text>
    </comment>
    <comment ref="P61" authorId="0">
      <text>
        <r>
          <rPr>
            <b/>
            <sz val="9"/>
            <rFont val="宋体"/>
            <charset val="134"/>
          </rPr>
          <t>永荣科技:</t>
        </r>
        <r>
          <rPr>
            <sz val="9"/>
            <rFont val="宋体"/>
            <charset val="134"/>
          </rPr>
          <t xml:space="preserve">
1
2
</t>
        </r>
      </text>
    </comment>
    <comment ref="F62" authorId="0">
      <text>
        <r>
          <rPr>
            <b/>
            <sz val="9"/>
            <rFont val="宋体"/>
            <charset val="134"/>
          </rPr>
          <t>永荣科技:</t>
        </r>
        <r>
          <rPr>
            <sz val="9"/>
            <rFont val="宋体"/>
            <charset val="134"/>
          </rPr>
          <t xml:space="preserve">
1、17.7.21申请付115万元（未扣除HSE保证金6.8万元，未扣除水电费37602元,；此次工程量价款1437774元）
2、17.8.3申请付194.3万元（本次工程量2430036.67元，累计工程量3867810.67元）</t>
        </r>
      </text>
    </comment>
    <comment ref="P62" authorId="0">
      <text>
        <r>
          <rPr>
            <b/>
            <sz val="9"/>
            <rFont val="宋体"/>
            <charset val="134"/>
          </rPr>
          <t xml:space="preserve">永荣科技:
1
</t>
        </r>
        <r>
          <rPr>
            <sz val="9"/>
            <rFont val="宋体"/>
            <charset val="134"/>
          </rPr>
          <t xml:space="preserve">2
</t>
        </r>
      </text>
    </comment>
    <comment ref="F63" authorId="0">
      <text>
        <r>
          <rPr>
            <b/>
            <sz val="9"/>
            <rFont val="宋体"/>
            <charset val="134"/>
          </rPr>
          <t>永荣科技:</t>
        </r>
        <r>
          <rPr>
            <sz val="9"/>
            <rFont val="宋体"/>
            <charset val="134"/>
          </rPr>
          <t xml:space="preserve">
1、17年5月记76，付61.8728万元；5月2日收货3916米*158元/米=61.8728（结算，之后涨价）
2、17年5月记78，付169万元；5月4日收货10029米*169元/米
3、17年6月记179，付84.5万元；6月2日收货6961米*169元/米
4、17年7月记223，付169万元；7月10日收货13490米*169元/米
5、17年7月21日申请169万元；7月16日收货12727米*169元/米
6、17年7月27日申请169万元；7月26日收货5912米*169元/米
7、17年8月8日申请169万元；8月3日收货8547米*169元/米（累计57666米）
8、17.8.22申请1873196元；8.10收货8418米*169元/米
本单已清</t>
        </r>
      </text>
    </comment>
    <comment ref="I63" authorId="0">
      <text>
        <r>
          <rPr>
            <b/>
            <sz val="9"/>
            <rFont val="宋体"/>
            <charset val="134"/>
          </rPr>
          <t>永荣科技:</t>
        </r>
        <r>
          <rPr>
            <sz val="9"/>
            <rFont val="宋体"/>
            <charset val="134"/>
          </rPr>
          <t xml:space="preserve">
合同金额1183万元</t>
        </r>
      </text>
    </comment>
    <comment ref="P63" authorId="0">
      <text>
        <r>
          <rPr>
            <b/>
            <sz val="9"/>
            <rFont val="宋体"/>
            <charset val="134"/>
          </rPr>
          <t xml:space="preserve">永荣科技:
</t>
        </r>
        <r>
          <rPr>
            <sz val="9"/>
            <rFont val="宋体"/>
            <charset val="134"/>
          </rPr>
          <t xml:space="preserve">1
2
3
4
5
6
7
8
</t>
        </r>
      </text>
    </comment>
    <comment ref="I64" authorId="0">
      <text>
        <r>
          <rPr>
            <b/>
            <sz val="9"/>
            <rFont val="宋体"/>
            <charset val="134"/>
          </rPr>
          <t>永荣科技:</t>
        </r>
        <r>
          <rPr>
            <sz val="9"/>
            <rFont val="宋体"/>
            <charset val="134"/>
          </rPr>
          <t xml:space="preserve">
原合同25000
退13台电度表13*155=2015元
运费360元
金额变更=25000-2015+360=23345元</t>
        </r>
      </text>
    </comment>
    <comment ref="F65" authorId="0">
      <text>
        <r>
          <rPr>
            <b/>
            <sz val="9"/>
            <rFont val="宋体"/>
            <charset val="134"/>
          </rPr>
          <t>永荣科技:</t>
        </r>
        <r>
          <rPr>
            <sz val="9"/>
            <rFont val="宋体"/>
            <charset val="134"/>
          </rPr>
          <t xml:space="preserve">
1、17.4.24付87.5万元（6321米*175元/米=110.6175万元）
2、17.5.3付87.5万元（4496米*175元/米=78.68万元）
3、17.5.22付87.5万元（7896米*175元/米=138.18万元）
4、17.9.12申请116.935万元（2969米*175元/米=51.9575万元） 
本单已清</t>
        </r>
      </text>
    </comment>
    <comment ref="I65" authorId="0">
      <text>
        <r>
          <rPr>
            <b/>
            <sz val="9"/>
            <rFont val="宋体"/>
            <charset val="134"/>
          </rPr>
          <t>永荣科技:</t>
        </r>
        <r>
          <rPr>
            <sz val="9"/>
            <rFont val="宋体"/>
            <charset val="134"/>
          </rPr>
          <t xml:space="preserve">
合同875万元，本单已清</t>
        </r>
      </text>
    </comment>
    <comment ref="P65" authorId="0">
      <text>
        <r>
          <rPr>
            <b/>
            <sz val="9"/>
            <rFont val="宋体"/>
            <charset val="134"/>
          </rPr>
          <t>永荣科技:</t>
        </r>
        <r>
          <rPr>
            <sz val="9"/>
            <rFont val="宋体"/>
            <charset val="134"/>
          </rPr>
          <t xml:space="preserve">
1
2
3
4
</t>
        </r>
      </text>
    </comment>
    <comment ref="I66" authorId="0">
      <text>
        <r>
          <rPr>
            <b/>
            <sz val="9"/>
            <rFont val="宋体"/>
            <charset val="134"/>
          </rPr>
          <t>永荣科技:</t>
        </r>
        <r>
          <rPr>
            <sz val="9"/>
            <rFont val="宋体"/>
            <charset val="134"/>
          </rPr>
          <t xml:space="preserve">
暂定</t>
        </r>
      </text>
    </comment>
    <comment ref="J66" authorId="0">
      <text>
        <r>
          <rPr>
            <b/>
            <sz val="9"/>
            <rFont val="宋体"/>
            <charset val="134"/>
          </rPr>
          <t>永荣科技:</t>
        </r>
        <r>
          <rPr>
            <sz val="9"/>
            <rFont val="宋体"/>
            <charset val="134"/>
          </rPr>
          <t xml:space="preserve">
水电费乙方承担：水费4元/吨，电费1元/度</t>
        </r>
      </text>
    </comment>
    <comment ref="F67" authorId="0">
      <text>
        <r>
          <rPr>
            <b/>
            <sz val="9"/>
            <rFont val="宋体"/>
            <charset val="134"/>
          </rPr>
          <t>永荣科技:</t>
        </r>
        <r>
          <rPr>
            <sz val="9"/>
            <rFont val="宋体"/>
            <charset val="134"/>
          </rPr>
          <t xml:space="preserve">
1、17.4记95，汇83.5万元
2、17.5记79，汇83.5万元
3、17.5记77，汇83.5万元
4、17.6记166，汇83.5万元
5、17.6记166-1，付83.5万元
6、17.7记187，汇83.5万元
7、17.8.15申请545910元（1761米*310元/米）
</t>
        </r>
      </text>
    </comment>
    <comment ref="I67" authorId="0">
      <text>
        <r>
          <rPr>
            <b/>
            <sz val="9"/>
            <rFont val="宋体"/>
            <charset val="134"/>
          </rPr>
          <t>永荣科技:</t>
        </r>
        <r>
          <rPr>
            <sz val="9"/>
            <rFont val="宋体"/>
            <charset val="134"/>
          </rPr>
          <t xml:space="preserve">
合同501万元</t>
        </r>
      </text>
    </comment>
    <comment ref="P67" authorId="0">
      <text>
        <r>
          <rPr>
            <b/>
            <sz val="9"/>
            <rFont val="宋体"/>
            <charset val="134"/>
          </rPr>
          <t>永荣科技:</t>
        </r>
        <r>
          <rPr>
            <sz val="9"/>
            <rFont val="宋体"/>
            <charset val="134"/>
          </rPr>
          <t xml:space="preserve">
1
2
3
4
5
6
7
</t>
        </r>
      </text>
    </comment>
    <comment ref="P68" authorId="0">
      <text>
        <r>
          <rPr>
            <b/>
            <sz val="9"/>
            <rFont val="宋体"/>
            <charset val="134"/>
          </rPr>
          <t>永荣科技:</t>
        </r>
        <r>
          <rPr>
            <sz val="9"/>
            <rFont val="宋体"/>
            <charset val="134"/>
          </rPr>
          <t xml:space="preserve">
2017.6.24因临时用电不规范，违反我公司HSE管理，罚款2000元，在第一次付款中扣除。
2017年7月21日因吊装作业未设置警戒区，以及指挥人员无证操作，罚款2000元。</t>
        </r>
      </text>
    </comment>
    <comment ref="AS68" authorId="0">
      <text>
        <r>
          <rPr>
            <b/>
            <sz val="9"/>
            <rFont val="宋体"/>
            <charset val="134"/>
          </rPr>
          <t>永荣科技:</t>
        </r>
        <r>
          <rPr>
            <sz val="9"/>
            <rFont val="宋体"/>
            <charset val="134"/>
          </rPr>
          <t xml:space="preserve">
1、17.6.24罚款2000元
2、17.7.21罚款2000元</t>
        </r>
      </text>
    </comment>
    <comment ref="I69" authorId="0">
      <text>
        <r>
          <rPr>
            <b/>
            <sz val="9"/>
            <rFont val="宋体"/>
            <charset val="134"/>
          </rPr>
          <t>永荣科技:</t>
        </r>
        <r>
          <rPr>
            <sz val="9"/>
            <rFont val="宋体"/>
            <charset val="134"/>
          </rPr>
          <t xml:space="preserve">
暂定</t>
        </r>
      </text>
    </comment>
    <comment ref="AS69" authorId="0">
      <text>
        <r>
          <rPr>
            <b/>
            <sz val="9"/>
            <rFont val="宋体"/>
            <charset val="134"/>
          </rPr>
          <t>永荣科技:</t>
        </r>
        <r>
          <rPr>
            <sz val="9"/>
            <rFont val="宋体"/>
            <charset val="134"/>
          </rPr>
          <t xml:space="preserve">
1、17.7.26罚款2000元</t>
        </r>
      </text>
    </comment>
    <comment ref="F70" authorId="0">
      <text>
        <r>
          <rPr>
            <b/>
            <sz val="9"/>
            <rFont val="宋体"/>
            <charset val="134"/>
          </rPr>
          <t>永荣科技:</t>
        </r>
        <r>
          <rPr>
            <sz val="9"/>
            <rFont val="宋体"/>
            <charset val="134"/>
          </rPr>
          <t xml:space="preserve">
1、17.8.4申请86.3万元
</t>
        </r>
      </text>
    </comment>
    <comment ref="P70" authorId="0">
      <text>
        <r>
          <rPr>
            <b/>
            <sz val="9"/>
            <rFont val="宋体"/>
            <charset val="134"/>
          </rPr>
          <t>永荣科技:</t>
        </r>
        <r>
          <rPr>
            <sz val="9"/>
            <rFont val="宋体"/>
            <charset val="134"/>
          </rPr>
          <t xml:space="preserve">
1</t>
        </r>
      </text>
    </comment>
    <comment ref="F71" authorId="0">
      <text>
        <r>
          <rPr>
            <b/>
            <sz val="9"/>
            <rFont val="宋体"/>
            <charset val="134"/>
          </rPr>
          <t>永荣科技:</t>
        </r>
        <r>
          <rPr>
            <sz val="9"/>
            <rFont val="宋体"/>
            <charset val="134"/>
          </rPr>
          <t xml:space="preserve">
1、17.9.27申请80240元（17年7月-8月监理费）</t>
        </r>
      </text>
    </comment>
    <comment ref="P71" authorId="0">
      <text>
        <r>
          <rPr>
            <b/>
            <sz val="9"/>
            <rFont val="宋体"/>
            <charset val="134"/>
          </rPr>
          <t>永荣科技:</t>
        </r>
        <r>
          <rPr>
            <sz val="9"/>
            <rFont val="宋体"/>
            <charset val="134"/>
          </rPr>
          <t xml:space="preserve">
1</t>
        </r>
      </text>
    </comment>
    <comment ref="F72" authorId="0">
      <text>
        <r>
          <rPr>
            <b/>
            <sz val="9"/>
            <rFont val="宋体"/>
            <charset val="134"/>
          </rPr>
          <t>永荣科技:</t>
        </r>
        <r>
          <rPr>
            <sz val="9"/>
            <rFont val="宋体"/>
            <charset val="134"/>
          </rPr>
          <t xml:space="preserve">
2、17.6记186，汇108.5万元（本次5870米*217元/米=1273790元）
3、17.8.15申请84.6083万元（本次3029米*217元/米=657293元）
本单已清</t>
        </r>
      </text>
    </comment>
    <comment ref="P72" authorId="0">
      <text>
        <r>
          <rPr>
            <b/>
            <sz val="9"/>
            <rFont val="宋体"/>
            <charset val="134"/>
          </rPr>
          <t>永荣科技:</t>
        </r>
        <r>
          <rPr>
            <sz val="9"/>
            <rFont val="宋体"/>
            <charset val="134"/>
          </rPr>
          <t xml:space="preserve">
2
3</t>
        </r>
      </text>
    </comment>
    <comment ref="F73" authorId="0">
      <text>
        <r>
          <rPr>
            <b/>
            <sz val="9"/>
            <rFont val="宋体"/>
            <charset val="134"/>
          </rPr>
          <t>永荣科技:</t>
        </r>
        <r>
          <rPr>
            <sz val="9"/>
            <rFont val="宋体"/>
            <charset val="134"/>
          </rPr>
          <t xml:space="preserve">
1、17.5.3汇88万元（参考陈凤）
2、17.5.9汇88万元（参考陈凤）
3、17.5.15汇88万元（参考陈凤）
4、17.5.15汇88万元（参考陈凤）
5、17.7.25申请88万元（参考陈凤）
6、17.8.3申请88万元（本次6086米*176元/米=107.1136万元） 目前六次已累计到货32132米
7、17.9.22申请703824元（本次1867米*176元/米=328592元）累计33999米 
已清</t>
        </r>
      </text>
    </comment>
    <comment ref="I73" authorId="0">
      <text>
        <r>
          <rPr>
            <b/>
            <sz val="9"/>
            <rFont val="宋体"/>
            <charset val="134"/>
          </rPr>
          <t>永荣科技:</t>
        </r>
        <r>
          <rPr>
            <sz val="9"/>
            <rFont val="宋体"/>
            <charset val="134"/>
          </rPr>
          <t xml:space="preserve">
合同金额880万元</t>
        </r>
      </text>
    </comment>
    <comment ref="P73" authorId="0">
      <text>
        <r>
          <rPr>
            <b/>
            <sz val="9"/>
            <rFont val="宋体"/>
            <charset val="134"/>
          </rPr>
          <t xml:space="preserve">永荣科技:
</t>
        </r>
        <r>
          <rPr>
            <sz val="9"/>
            <rFont val="宋体"/>
            <charset val="134"/>
          </rPr>
          <t>1
2
3
4
5
6
7</t>
        </r>
      </text>
    </comment>
    <comment ref="P74" authorId="0">
      <text>
        <r>
          <rPr>
            <b/>
            <sz val="9"/>
            <rFont val="宋体"/>
            <charset val="134"/>
          </rPr>
          <t>永荣科技:</t>
        </r>
        <r>
          <rPr>
            <sz val="9"/>
            <rFont val="宋体"/>
            <charset val="134"/>
          </rPr>
          <t xml:space="preserve">
17.4记91,71875元</t>
        </r>
      </text>
    </comment>
    <comment ref="F77" authorId="0">
      <text>
        <r>
          <rPr>
            <b/>
            <sz val="9"/>
            <rFont val="宋体"/>
            <charset val="134"/>
          </rPr>
          <t xml:space="preserve">永荣科技:           按80%支付
</t>
        </r>
        <r>
          <rPr>
            <sz val="9"/>
            <rFont val="宋体"/>
            <charset val="134"/>
          </rPr>
          <t>1、17.7.29申请84509元（5月-6月监理费，本次服务费共105636元）
2、17.8.15申请68775元（7月监理费，本次服务费共85969元）</t>
        </r>
      </text>
    </comment>
    <comment ref="P77" authorId="0">
      <text>
        <r>
          <rPr>
            <b/>
            <sz val="9"/>
            <rFont val="宋体"/>
            <charset val="134"/>
          </rPr>
          <t xml:space="preserve">永荣科技:      
</t>
        </r>
        <r>
          <rPr>
            <sz val="9"/>
            <rFont val="宋体"/>
            <charset val="134"/>
          </rPr>
          <t xml:space="preserve">1
2
</t>
        </r>
      </text>
    </comment>
    <comment ref="F78" authorId="0">
      <text>
        <r>
          <rPr>
            <b/>
            <sz val="9"/>
            <rFont val="宋体"/>
            <charset val="134"/>
          </rPr>
          <t>永荣科技:</t>
        </r>
        <r>
          <rPr>
            <sz val="9"/>
            <rFont val="宋体"/>
            <charset val="134"/>
          </rPr>
          <t xml:space="preserve">
1、17.6记150，汇161万元(5233米*322元/米=168.5026万元）      其中短桩606米    
2、17.7记144，汇161万元（4979米*322元/米=160.3238万元）     其中短桩1431米 
3、17.7记167，汇161万元（5156米*322元/米=166.0232万元）      其中短桩898米
4、17.8记215，汇161万元（5166米*322元/米=166.3452万元）       其中短桩1231米
5、17.8.22申请汇款62.9424万元（1288米*322元/米=41.4736万元）  其中短桩154米
另外短桩4320米，收费（4320-21822*10%）*20元/米=42740元    6-8米桩属于短桩 加价20元/米（送总米数10%免费）
本合同合计：31822米*322元/米+42740元=7069424元
本单已清
</t>
        </r>
      </text>
    </comment>
    <comment ref="I78" authorId="0">
      <text>
        <r>
          <rPr>
            <b/>
            <sz val="9"/>
            <rFont val="宋体"/>
            <charset val="134"/>
          </rPr>
          <t>永荣科技:</t>
        </r>
        <r>
          <rPr>
            <sz val="9"/>
            <rFont val="宋体"/>
            <charset val="134"/>
          </rPr>
          <t xml:space="preserve">
合同金额708.4万元</t>
        </r>
      </text>
    </comment>
    <comment ref="P78" authorId="0">
      <text>
        <r>
          <rPr>
            <b/>
            <sz val="9"/>
            <rFont val="宋体"/>
            <charset val="134"/>
          </rPr>
          <t>永荣科技:</t>
        </r>
        <r>
          <rPr>
            <sz val="9"/>
            <rFont val="宋体"/>
            <charset val="134"/>
          </rPr>
          <t xml:space="preserve">
1
2
3
4
5</t>
        </r>
      </text>
    </comment>
    <comment ref="F79" authorId="0">
      <text>
        <r>
          <rPr>
            <b/>
            <sz val="9"/>
            <rFont val="宋体"/>
            <charset val="134"/>
          </rPr>
          <t>永荣科技:</t>
        </r>
        <r>
          <rPr>
            <sz val="9"/>
            <rFont val="宋体"/>
            <charset val="134"/>
          </rPr>
          <t xml:space="preserve">
1、17.8记202，汇259486.9元</t>
        </r>
      </text>
    </comment>
    <comment ref="P79" authorId="0">
      <text>
        <r>
          <rPr>
            <b/>
            <sz val="9"/>
            <rFont val="宋体"/>
            <charset val="134"/>
          </rPr>
          <t>永荣科技:</t>
        </r>
        <r>
          <rPr>
            <sz val="9"/>
            <rFont val="宋体"/>
            <charset val="134"/>
          </rPr>
          <t xml:space="preserve">
1</t>
        </r>
      </text>
    </comment>
    <comment ref="F80" authorId="0">
      <text>
        <r>
          <rPr>
            <b/>
            <sz val="9"/>
            <rFont val="宋体"/>
            <charset val="134"/>
          </rPr>
          <t>永荣科技:</t>
        </r>
        <r>
          <rPr>
            <sz val="9"/>
            <rFont val="宋体"/>
            <charset val="134"/>
          </rPr>
          <t xml:space="preserve">
1、17.8.18申请79674元
本单已清</t>
        </r>
      </text>
    </comment>
    <comment ref="I80" authorId="0">
      <text>
        <r>
          <rPr>
            <b/>
            <sz val="9"/>
            <rFont val="宋体"/>
            <charset val="134"/>
          </rPr>
          <t>永荣科技:</t>
        </r>
        <r>
          <rPr>
            <sz val="9"/>
            <rFont val="宋体"/>
            <charset val="134"/>
          </rPr>
          <t xml:space="preserve">
合同87920</t>
        </r>
      </text>
    </comment>
    <comment ref="P80" authorId="0">
      <text>
        <r>
          <rPr>
            <b/>
            <sz val="9"/>
            <rFont val="宋体"/>
            <charset val="134"/>
          </rPr>
          <t xml:space="preserve">永荣科技:
</t>
        </r>
        <r>
          <rPr>
            <sz val="9"/>
            <rFont val="宋体"/>
            <charset val="134"/>
          </rPr>
          <t>1</t>
        </r>
      </text>
    </comment>
    <comment ref="F81" authorId="0">
      <text>
        <r>
          <rPr>
            <b/>
            <sz val="9"/>
            <rFont val="宋体"/>
            <charset val="134"/>
          </rPr>
          <t xml:space="preserve">永荣科技:                    80%支付
</t>
        </r>
        <r>
          <rPr>
            <sz val="9"/>
            <rFont val="宋体"/>
            <charset val="134"/>
          </rPr>
          <t xml:space="preserve">1、17.9.25申请190420元（本次服务238025元，累计238025元）
</t>
        </r>
      </text>
    </comment>
    <comment ref="P81" authorId="0">
      <text>
        <r>
          <rPr>
            <b/>
            <sz val="9"/>
            <rFont val="宋体"/>
            <charset val="134"/>
          </rPr>
          <t>永荣科技:</t>
        </r>
        <r>
          <rPr>
            <sz val="9"/>
            <rFont val="宋体"/>
            <charset val="134"/>
          </rPr>
          <t xml:space="preserve">
1</t>
        </r>
      </text>
    </comment>
    <comment ref="F101" authorId="0">
      <text>
        <r>
          <rPr>
            <b/>
            <sz val="9"/>
            <rFont val="宋体"/>
            <charset val="134"/>
          </rPr>
          <t>永荣科技:</t>
        </r>
        <r>
          <rPr>
            <sz val="9"/>
            <rFont val="宋体"/>
            <charset val="134"/>
          </rPr>
          <t xml:space="preserve">
1、17.9.7申请248.4万元（实付230.8964万元，扣HSE保证金17万元，扣水电费5036元；本次工程3105356.04元）  本次保证金和水电费忘记扣 下次再补扣</t>
        </r>
      </text>
    </comment>
    <comment ref="F117" authorId="0">
      <text>
        <r>
          <rPr>
            <b/>
            <sz val="9"/>
            <rFont val="宋体"/>
            <charset val="134"/>
          </rPr>
          <t>永荣科技:</t>
        </r>
        <r>
          <rPr>
            <sz val="9"/>
            <rFont val="宋体"/>
            <charset val="134"/>
          </rPr>
          <t xml:space="preserve">
1、17.9.5申请156.3万元（申请156.3万元，待扣HSE保证金17万元，水电费7602元；本次蓝图1954393元，累计1954393元）
2、17.9.21申请313.5万元（申请313.5万元，待扣水电费53865元；本次蓝图3919004元，累计5873397元）</t>
        </r>
      </text>
    </comment>
    <comment ref="P117" authorId="0">
      <text>
        <r>
          <rPr>
            <b/>
            <sz val="9"/>
            <rFont val="宋体"/>
            <charset val="134"/>
          </rPr>
          <t>永荣科技:</t>
        </r>
        <r>
          <rPr>
            <sz val="9"/>
            <rFont val="宋体"/>
            <charset val="134"/>
          </rPr>
          <t xml:space="preserve">
1</t>
        </r>
      </text>
    </comment>
    <comment ref="S117" authorId="0">
      <text>
        <r>
          <rPr>
            <b/>
            <sz val="9"/>
            <rFont val="宋体"/>
            <charset val="134"/>
          </rPr>
          <t>永荣科技:</t>
        </r>
        <r>
          <rPr>
            <sz val="9"/>
            <rFont val="宋体"/>
            <charset val="134"/>
          </rPr>
          <t xml:space="preserve">
2</t>
        </r>
      </text>
    </comment>
    <comment ref="F118" authorId="0">
      <text>
        <r>
          <rPr>
            <b/>
            <sz val="9"/>
            <rFont val="宋体"/>
            <charset val="134"/>
          </rPr>
          <t>永荣科技:</t>
        </r>
        <r>
          <rPr>
            <sz val="9"/>
            <rFont val="宋体"/>
            <charset val="134"/>
          </rPr>
          <t xml:space="preserve">
1、17.9.29申请6万元
本单已清</t>
        </r>
      </text>
    </comment>
    <comment ref="P118" authorId="0">
      <text>
        <r>
          <rPr>
            <b/>
            <sz val="9"/>
            <rFont val="宋体"/>
            <charset val="134"/>
          </rPr>
          <t>永荣科技:</t>
        </r>
        <r>
          <rPr>
            <sz val="9"/>
            <rFont val="宋体"/>
            <charset val="134"/>
          </rPr>
          <t xml:space="preserve">
1</t>
        </r>
      </text>
    </comment>
    <comment ref="P120" authorId="0">
      <text>
        <r>
          <rPr>
            <b/>
            <sz val="9"/>
            <rFont val="宋体"/>
            <charset val="134"/>
          </rPr>
          <t>永荣科技:</t>
        </r>
        <r>
          <rPr>
            <sz val="9"/>
            <rFont val="宋体"/>
            <charset val="134"/>
          </rPr>
          <t xml:space="preserve">
17.6记159,40万</t>
        </r>
      </text>
    </comment>
    <comment ref="F121" authorId="0">
      <text>
        <r>
          <rPr>
            <b/>
            <sz val="9"/>
            <rFont val="宋体"/>
            <charset val="134"/>
          </rPr>
          <t>永荣科技:</t>
        </r>
        <r>
          <rPr>
            <sz val="9"/>
            <rFont val="宋体"/>
            <charset val="134"/>
          </rPr>
          <t xml:space="preserve">
1、17.8.21申请汇款10万元
本单已清</t>
        </r>
      </text>
    </comment>
    <comment ref="P121" authorId="0">
      <text>
        <r>
          <rPr>
            <b/>
            <sz val="9"/>
            <rFont val="宋体"/>
            <charset val="134"/>
          </rPr>
          <t>永荣科技:</t>
        </r>
        <r>
          <rPr>
            <sz val="9"/>
            <rFont val="宋体"/>
            <charset val="134"/>
          </rPr>
          <t xml:space="preserve">
1</t>
        </r>
      </text>
    </comment>
    <comment ref="F122" authorId="0">
      <text>
        <r>
          <rPr>
            <b/>
            <sz val="9"/>
            <rFont val="宋体"/>
            <charset val="134"/>
          </rPr>
          <t>永荣科技:</t>
        </r>
        <r>
          <rPr>
            <sz val="9"/>
            <rFont val="宋体"/>
            <charset val="134"/>
          </rPr>
          <t xml:space="preserve">
1、17.8.31申请5.6万元
本单已清</t>
        </r>
      </text>
    </comment>
    <comment ref="F123" authorId="0">
      <text>
        <r>
          <rPr>
            <b/>
            <sz val="9"/>
            <rFont val="宋体"/>
            <charset val="134"/>
          </rPr>
          <t>永荣科技:</t>
        </r>
        <r>
          <rPr>
            <sz val="9"/>
            <rFont val="宋体"/>
            <charset val="134"/>
          </rPr>
          <t xml:space="preserve">
1、17.8.3申请49000元
本合同已清
</t>
        </r>
      </text>
    </comment>
    <comment ref="P123" authorId="0">
      <text>
        <r>
          <rPr>
            <b/>
            <sz val="9"/>
            <rFont val="宋体"/>
            <charset val="134"/>
          </rPr>
          <t>永荣科技:</t>
        </r>
        <r>
          <rPr>
            <sz val="9"/>
            <rFont val="宋体"/>
            <charset val="134"/>
          </rPr>
          <t xml:space="preserve">
1</t>
        </r>
      </text>
    </comment>
    <comment ref="F124" authorId="0">
      <text>
        <r>
          <rPr>
            <b/>
            <sz val="9"/>
            <rFont val="宋体"/>
            <charset val="134"/>
          </rPr>
          <t>永荣科技:</t>
        </r>
        <r>
          <rPr>
            <sz val="9"/>
            <rFont val="宋体"/>
            <charset val="134"/>
          </rPr>
          <t xml:space="preserve">
1、17.8记204，汇6000元
本单已清</t>
        </r>
      </text>
    </comment>
    <comment ref="P124" authorId="0">
      <text>
        <r>
          <rPr>
            <b/>
            <sz val="9"/>
            <rFont val="宋体"/>
            <charset val="134"/>
          </rPr>
          <t>永荣科技:</t>
        </r>
        <r>
          <rPr>
            <sz val="9"/>
            <rFont val="宋体"/>
            <charset val="134"/>
          </rPr>
          <t xml:space="preserve">
1</t>
        </r>
      </text>
    </comment>
    <comment ref="F125" authorId="0">
      <text>
        <r>
          <rPr>
            <b/>
            <sz val="9"/>
            <rFont val="宋体"/>
            <charset val="134"/>
          </rPr>
          <t>永荣科技:</t>
        </r>
        <r>
          <rPr>
            <sz val="9"/>
            <rFont val="宋体"/>
            <charset val="134"/>
          </rPr>
          <t xml:space="preserve">
1、17.8.15申请44560元
本合同已清</t>
        </r>
      </text>
    </comment>
    <comment ref="P125" authorId="0">
      <text>
        <r>
          <rPr>
            <b/>
            <sz val="9"/>
            <rFont val="宋体"/>
            <charset val="134"/>
          </rPr>
          <t>永荣科技:</t>
        </r>
        <r>
          <rPr>
            <sz val="9"/>
            <rFont val="宋体"/>
            <charset val="134"/>
          </rPr>
          <t xml:space="preserve">
1</t>
        </r>
      </text>
    </comment>
    <comment ref="F128" authorId="0">
      <text>
        <r>
          <rPr>
            <b/>
            <sz val="9"/>
            <rFont val="宋体"/>
            <charset val="134"/>
          </rPr>
          <t>永荣科技:</t>
        </r>
        <r>
          <rPr>
            <sz val="9"/>
            <rFont val="宋体"/>
            <charset val="134"/>
          </rPr>
          <t xml:space="preserve">
1、17.8.21申请汇款1344758.2元（10%预付款）
</t>
        </r>
      </text>
    </comment>
    <comment ref="M128" authorId="0">
      <text>
        <r>
          <rPr>
            <b/>
            <sz val="9"/>
            <rFont val="宋体"/>
            <charset val="134"/>
          </rPr>
          <t>永荣科技:</t>
        </r>
        <r>
          <rPr>
            <sz val="9"/>
            <rFont val="宋体"/>
            <charset val="134"/>
          </rPr>
          <t xml:space="preserve">
转账支付合同金额为：13245868.27元（降低1.5%）</t>
        </r>
      </text>
    </comment>
    <comment ref="P128" authorId="0">
      <text>
        <r>
          <rPr>
            <b/>
            <sz val="9"/>
            <rFont val="宋体"/>
            <charset val="134"/>
          </rPr>
          <t>永荣科技:</t>
        </r>
        <r>
          <rPr>
            <sz val="9"/>
            <rFont val="宋体"/>
            <charset val="134"/>
          </rPr>
          <t xml:space="preserve">
1</t>
        </r>
      </text>
    </comment>
    <comment ref="F129" authorId="0">
      <text>
        <r>
          <rPr>
            <b/>
            <sz val="9"/>
            <rFont val="宋体"/>
            <charset val="134"/>
          </rPr>
          <t>永荣科技:</t>
        </r>
        <r>
          <rPr>
            <sz val="9"/>
            <rFont val="宋体"/>
            <charset val="134"/>
          </rPr>
          <t xml:space="preserve">
1、17.8.31申请166万元（8.24收货10533米*166元/米)</t>
        </r>
      </text>
    </comment>
    <comment ref="F144" authorId="0">
      <text>
        <r>
          <rPr>
            <b/>
            <sz val="9"/>
            <rFont val="宋体"/>
            <charset val="134"/>
          </rPr>
          <t xml:space="preserve">永荣科技:             工程价款80%支付
</t>
        </r>
        <r>
          <rPr>
            <sz val="9"/>
            <rFont val="宋体"/>
            <charset val="134"/>
          </rPr>
          <t>1、17.9.25申请57.8万元（待扣水电费8624元，HSE保证金21万元；本次工程723247元，累计723247元）</t>
        </r>
      </text>
    </comment>
    <comment ref="P144" authorId="0">
      <text>
        <r>
          <rPr>
            <b/>
            <sz val="9"/>
            <rFont val="宋体"/>
            <charset val="134"/>
          </rPr>
          <t>永荣科技:</t>
        </r>
        <r>
          <rPr>
            <sz val="9"/>
            <rFont val="宋体"/>
            <charset val="134"/>
          </rPr>
          <t xml:space="preserve">
1</t>
        </r>
      </text>
    </comment>
    <comment ref="F146" authorId="0">
      <text>
        <r>
          <rPr>
            <b/>
            <sz val="9"/>
            <rFont val="宋体"/>
            <charset val="134"/>
          </rPr>
          <t>永荣科技:</t>
        </r>
        <r>
          <rPr>
            <sz val="9"/>
            <rFont val="宋体"/>
            <charset val="134"/>
          </rPr>
          <t xml:space="preserve">
1、17.9.21申请205.1万元（申请205.1万元，待扣HSE18万元，水电费2884元；本次工程2563693.21元）
</t>
        </r>
      </text>
    </comment>
    <comment ref="P146" authorId="0">
      <text>
        <r>
          <rPr>
            <b/>
            <sz val="9"/>
            <rFont val="宋体"/>
            <charset val="134"/>
          </rPr>
          <t>永荣科技:</t>
        </r>
        <r>
          <rPr>
            <sz val="9"/>
            <rFont val="宋体"/>
            <charset val="134"/>
          </rPr>
          <t xml:space="preserve">
1</t>
        </r>
      </text>
    </comment>
    <comment ref="F149" authorId="0">
      <text>
        <r>
          <rPr>
            <b/>
            <sz val="9"/>
            <rFont val="宋体"/>
            <charset val="134"/>
          </rPr>
          <t>永荣科技:</t>
        </r>
        <r>
          <rPr>
            <sz val="9"/>
            <rFont val="宋体"/>
            <charset val="134"/>
          </rPr>
          <t xml:space="preserve">
1、17.9.26申请100万元（预付款）</t>
        </r>
      </text>
    </comment>
    <comment ref="F157" authorId="0">
      <text>
        <r>
          <rPr>
            <b/>
            <sz val="9"/>
            <rFont val="宋体"/>
            <charset val="134"/>
          </rPr>
          <t>永荣科技:</t>
        </r>
        <r>
          <rPr>
            <sz val="9"/>
            <rFont val="宋体"/>
            <charset val="134"/>
          </rPr>
          <t xml:space="preserve">
1、17.9.15申请131万元（20%预付款)
2、17.9.15申请393万元（60%发货款）</t>
        </r>
      </text>
    </comment>
    <comment ref="P157" authorId="0">
      <text>
        <r>
          <rPr>
            <b/>
            <sz val="9"/>
            <rFont val="宋体"/>
            <charset val="134"/>
          </rPr>
          <t>永荣科技:</t>
        </r>
        <r>
          <rPr>
            <sz val="9"/>
            <rFont val="宋体"/>
            <charset val="134"/>
          </rPr>
          <t xml:space="preserve">
1</t>
        </r>
      </text>
    </comment>
    <comment ref="S157" authorId="0">
      <text>
        <r>
          <rPr>
            <b/>
            <sz val="9"/>
            <rFont val="宋体"/>
            <charset val="134"/>
          </rPr>
          <t>永荣科技:</t>
        </r>
        <r>
          <rPr>
            <sz val="9"/>
            <rFont val="宋体"/>
            <charset val="134"/>
          </rPr>
          <t xml:space="preserve">
2</t>
        </r>
      </text>
    </comment>
    <comment ref="F158" authorId="0">
      <text>
        <r>
          <rPr>
            <b/>
            <sz val="9"/>
            <rFont val="宋体"/>
            <charset val="134"/>
          </rPr>
          <t>永荣科技:</t>
        </r>
        <r>
          <rPr>
            <sz val="9"/>
            <rFont val="宋体"/>
            <charset val="134"/>
          </rPr>
          <t xml:space="preserve">
1、17.9.22申请504630.53元（20%预付款）
2、17.9.22申请1513891.58元（60%发货款）</t>
        </r>
      </text>
    </comment>
    <comment ref="P158" authorId="0">
      <text>
        <r>
          <rPr>
            <b/>
            <sz val="9"/>
            <rFont val="宋体"/>
            <charset val="134"/>
          </rPr>
          <t>永荣科技:</t>
        </r>
        <r>
          <rPr>
            <sz val="9"/>
            <rFont val="宋体"/>
            <charset val="134"/>
          </rPr>
          <t xml:space="preserve">
1</t>
        </r>
      </text>
    </comment>
    <comment ref="S158" authorId="0">
      <text>
        <r>
          <rPr>
            <b/>
            <sz val="9"/>
            <rFont val="宋体"/>
            <charset val="134"/>
          </rPr>
          <t>永荣科技:</t>
        </r>
        <r>
          <rPr>
            <sz val="9"/>
            <rFont val="宋体"/>
            <charset val="134"/>
          </rPr>
          <t xml:space="preserve">
2</t>
        </r>
      </text>
    </comment>
    <comment ref="F160" authorId="0">
      <text>
        <r>
          <rPr>
            <b/>
            <sz val="9"/>
            <rFont val="宋体"/>
            <charset val="134"/>
          </rPr>
          <t>永荣科技:</t>
        </r>
        <r>
          <rPr>
            <sz val="9"/>
            <rFont val="宋体"/>
            <charset val="134"/>
          </rPr>
          <t xml:space="preserve">
1、17.9.19申请35万元（20%预付款）</t>
        </r>
      </text>
    </comment>
    <comment ref="P160" authorId="0">
      <text>
        <r>
          <rPr>
            <b/>
            <sz val="9"/>
            <rFont val="宋体"/>
            <charset val="134"/>
          </rPr>
          <t>永荣科技:</t>
        </r>
        <r>
          <rPr>
            <sz val="9"/>
            <rFont val="宋体"/>
            <charset val="134"/>
          </rPr>
          <t xml:space="preserve">
1</t>
        </r>
      </text>
    </comment>
  </commentList>
</comments>
</file>

<file path=xl/comments4.xml><?xml version="1.0" encoding="utf-8"?>
<comments xmlns="http://schemas.openxmlformats.org/spreadsheetml/2006/main">
  <authors>
    <author>永荣科技</author>
  </authors>
  <commentList>
    <comment ref="P6" authorId="0">
      <text>
        <r>
          <rPr>
            <b/>
            <sz val="9"/>
            <rFont val="宋体"/>
            <charset val="134"/>
          </rPr>
          <t>永荣科技:</t>
        </r>
        <r>
          <rPr>
            <sz val="9"/>
            <rFont val="宋体"/>
            <charset val="134"/>
          </rPr>
          <t xml:space="preserve">
2014-12记2</t>
        </r>
      </text>
    </comment>
    <comment ref="S6" authorId="0">
      <text>
        <r>
          <rPr>
            <b/>
            <sz val="9"/>
            <rFont val="宋体"/>
            <charset val="134"/>
          </rPr>
          <t>永荣科技:</t>
        </r>
        <r>
          <rPr>
            <sz val="9"/>
            <rFont val="宋体"/>
            <charset val="134"/>
          </rPr>
          <t xml:space="preserve">
16.4记1,60万</t>
        </r>
      </text>
    </comment>
    <comment ref="V6" authorId="0">
      <text>
        <r>
          <rPr>
            <b/>
            <sz val="9"/>
            <rFont val="宋体"/>
            <charset val="134"/>
          </rPr>
          <t>永荣科技:</t>
        </r>
        <r>
          <rPr>
            <sz val="9"/>
            <rFont val="宋体"/>
            <charset val="134"/>
          </rPr>
          <t xml:space="preserve">
16.6记36,30万</t>
        </r>
      </text>
    </comment>
    <comment ref="P7" authorId="0">
      <text>
        <r>
          <rPr>
            <b/>
            <sz val="9"/>
            <rFont val="宋体"/>
            <charset val="134"/>
          </rPr>
          <t>永荣科技:</t>
        </r>
        <r>
          <rPr>
            <sz val="9"/>
            <rFont val="宋体"/>
            <charset val="134"/>
          </rPr>
          <t xml:space="preserve">
15.2记15
</t>
        </r>
      </text>
    </comment>
    <comment ref="S7" authorId="0">
      <text>
        <r>
          <rPr>
            <b/>
            <sz val="9"/>
            <rFont val="宋体"/>
            <charset val="134"/>
          </rPr>
          <t>永荣科技:</t>
        </r>
        <r>
          <rPr>
            <sz val="9"/>
            <rFont val="宋体"/>
            <charset val="134"/>
          </rPr>
          <t xml:space="preserve">
17.2记8,10万</t>
        </r>
      </text>
    </comment>
    <comment ref="P8" authorId="0">
      <text>
        <r>
          <rPr>
            <b/>
            <sz val="9"/>
            <rFont val="宋体"/>
            <charset val="134"/>
          </rPr>
          <t>永荣科技:</t>
        </r>
        <r>
          <rPr>
            <sz val="9"/>
            <rFont val="宋体"/>
            <charset val="134"/>
          </rPr>
          <t xml:space="preserve">
15.2记25</t>
        </r>
      </text>
    </comment>
    <comment ref="S8" authorId="0">
      <text>
        <r>
          <rPr>
            <b/>
            <sz val="9"/>
            <rFont val="宋体"/>
            <charset val="134"/>
          </rPr>
          <t>永荣科技:</t>
        </r>
        <r>
          <rPr>
            <sz val="9"/>
            <rFont val="宋体"/>
            <charset val="134"/>
          </rPr>
          <t xml:space="preserve">
16.7记20,27.5万</t>
        </r>
      </text>
    </comment>
    <comment ref="S10" authorId="0">
      <text>
        <r>
          <rPr>
            <b/>
            <sz val="9"/>
            <rFont val="宋体"/>
            <charset val="134"/>
          </rPr>
          <t>永荣科技:</t>
        </r>
        <r>
          <rPr>
            <sz val="9"/>
            <rFont val="宋体"/>
            <charset val="134"/>
          </rPr>
          <t xml:space="preserve">
15.3记12</t>
        </r>
      </text>
    </comment>
    <comment ref="V10" authorId="0">
      <text>
        <r>
          <rPr>
            <b/>
            <sz val="9"/>
            <rFont val="宋体"/>
            <charset val="134"/>
          </rPr>
          <t>永荣科技:</t>
        </r>
        <r>
          <rPr>
            <sz val="9"/>
            <rFont val="宋体"/>
            <charset val="134"/>
          </rPr>
          <t xml:space="preserve">
17.3记36,5.2万</t>
        </r>
      </text>
    </comment>
    <comment ref="P12" authorId="0">
      <text>
        <r>
          <rPr>
            <b/>
            <sz val="9"/>
            <rFont val="宋体"/>
            <charset val="134"/>
          </rPr>
          <t>永荣科技:</t>
        </r>
        <r>
          <rPr>
            <sz val="9"/>
            <rFont val="宋体"/>
            <charset val="134"/>
          </rPr>
          <t xml:space="preserve">
15.8记15付4笔：
13740314元
6151360元
3075680元
7789446元
</t>
        </r>
      </text>
    </comment>
    <comment ref="P13" authorId="0">
      <text>
        <r>
          <rPr>
            <b/>
            <sz val="9"/>
            <rFont val="宋体"/>
            <charset val="134"/>
          </rPr>
          <t>永荣科技:</t>
        </r>
        <r>
          <rPr>
            <sz val="9"/>
            <rFont val="宋体"/>
            <charset val="134"/>
          </rPr>
          <t xml:space="preserve">
同上119编号</t>
        </r>
      </text>
    </comment>
    <comment ref="I14" authorId="0">
      <text>
        <r>
          <rPr>
            <b/>
            <sz val="9"/>
            <rFont val="宋体"/>
            <charset val="134"/>
          </rPr>
          <t>永荣科技:</t>
        </r>
        <r>
          <rPr>
            <sz val="9"/>
            <rFont val="宋体"/>
            <charset val="134"/>
          </rPr>
          <t xml:space="preserve">
原合同2500万元
删除双氧水装置，环己酮装置共计306万元
合同金额变更=2500-306=2194万元</t>
        </r>
      </text>
    </comment>
    <comment ref="P14" authorId="0">
      <text>
        <r>
          <rPr>
            <b/>
            <sz val="9"/>
            <rFont val="宋体"/>
            <charset val="134"/>
          </rPr>
          <t>永荣科技:</t>
        </r>
        <r>
          <rPr>
            <sz val="9"/>
            <rFont val="宋体"/>
            <charset val="134"/>
          </rPr>
          <t xml:space="preserve">
15.7记37,3704879.76元
16.6记70,45120.24元</t>
        </r>
      </text>
    </comment>
    <comment ref="S14" authorId="0">
      <text>
        <r>
          <rPr>
            <b/>
            <sz val="9"/>
            <rFont val="宋体"/>
            <charset val="134"/>
          </rPr>
          <t>永荣科技:</t>
        </r>
        <r>
          <rPr>
            <sz val="9"/>
            <rFont val="宋体"/>
            <charset val="134"/>
          </rPr>
          <t xml:space="preserve">
16.6记73,612.5万
17.2记41,262.5万
17.6记155,125万</t>
        </r>
      </text>
    </comment>
    <comment ref="P15" authorId="0">
      <text>
        <r>
          <rPr>
            <b/>
            <sz val="9"/>
            <rFont val="宋体"/>
            <charset val="134"/>
          </rPr>
          <t>永荣科技:</t>
        </r>
        <r>
          <rPr>
            <sz val="9"/>
            <rFont val="宋体"/>
            <charset val="134"/>
          </rPr>
          <t xml:space="preserve">
共付5笔：
15.6记23,1249万
15.6记41,1351万
15.7记14,1100万
15.7记14,1500万
15.7记66,1047万</t>
        </r>
      </text>
    </comment>
    <comment ref="P16" authorId="0">
      <text>
        <r>
          <rPr>
            <b/>
            <sz val="9"/>
            <rFont val="宋体"/>
            <charset val="134"/>
          </rPr>
          <t>永荣科技:</t>
        </r>
        <r>
          <rPr>
            <sz val="9"/>
            <rFont val="宋体"/>
            <charset val="134"/>
          </rPr>
          <t xml:space="preserve">
15.8记30  5万+5万</t>
        </r>
      </text>
    </comment>
    <comment ref="K19" authorId="0">
      <text>
        <r>
          <rPr>
            <b/>
            <sz val="9"/>
            <rFont val="宋体"/>
            <charset val="134"/>
          </rPr>
          <t>永荣科技:</t>
        </r>
        <r>
          <rPr>
            <sz val="9"/>
            <rFont val="宋体"/>
            <charset val="134"/>
          </rPr>
          <t xml:space="preserve">
海峡股权交易中心（福建）有限公司</t>
        </r>
      </text>
    </comment>
    <comment ref="P19" authorId="0">
      <text>
        <r>
          <rPr>
            <b/>
            <sz val="9"/>
            <rFont val="宋体"/>
            <charset val="134"/>
          </rPr>
          <t>永荣科技:</t>
        </r>
        <r>
          <rPr>
            <sz val="9"/>
            <rFont val="宋体"/>
            <charset val="134"/>
          </rPr>
          <t xml:space="preserve">
16.5记27,29810.6元
16.6记42,59406195.17元
16.5记10,3003380元</t>
        </r>
      </text>
    </comment>
    <comment ref="K20" authorId="0">
      <text>
        <r>
          <rPr>
            <b/>
            <sz val="9"/>
            <rFont val="宋体"/>
            <charset val="134"/>
          </rPr>
          <t>永荣科技:</t>
        </r>
        <r>
          <rPr>
            <sz val="9"/>
            <rFont val="宋体"/>
            <charset val="134"/>
          </rPr>
          <t xml:space="preserve">
海峡股权交易中心（福建）有限公司</t>
        </r>
      </text>
    </comment>
    <comment ref="F21" authorId="0">
      <text>
        <r>
          <rPr>
            <b/>
            <sz val="9"/>
            <rFont val="宋体"/>
            <charset val="134"/>
          </rPr>
          <t>永荣科技:</t>
        </r>
        <r>
          <rPr>
            <sz val="9"/>
            <rFont val="宋体"/>
            <charset val="134"/>
          </rPr>
          <t xml:space="preserve">
1、17.5记113，汇2.8万元
2、17.6记144，汇7万元
本单已清</t>
        </r>
      </text>
    </comment>
    <comment ref="P21" authorId="0">
      <text>
        <r>
          <rPr>
            <b/>
            <sz val="9"/>
            <rFont val="宋体"/>
            <charset val="134"/>
          </rPr>
          <t>永荣科技:</t>
        </r>
        <r>
          <rPr>
            <sz val="9"/>
            <rFont val="宋体"/>
            <charset val="134"/>
          </rPr>
          <t xml:space="preserve">
1</t>
        </r>
      </text>
    </comment>
    <comment ref="S21" authorId="0">
      <text>
        <r>
          <rPr>
            <b/>
            <sz val="9"/>
            <rFont val="宋体"/>
            <charset val="134"/>
          </rPr>
          <t>永荣科技:</t>
        </r>
        <r>
          <rPr>
            <sz val="9"/>
            <rFont val="宋体"/>
            <charset val="134"/>
          </rPr>
          <t xml:space="preserve">
2</t>
        </r>
      </text>
    </comment>
    <comment ref="F22" authorId="0">
      <text>
        <r>
          <rPr>
            <b/>
            <sz val="9"/>
            <rFont val="宋体"/>
            <charset val="134"/>
          </rPr>
          <t>永荣科技:</t>
        </r>
        <r>
          <rPr>
            <sz val="9"/>
            <rFont val="宋体"/>
            <charset val="134"/>
          </rPr>
          <t xml:space="preserve">
1、17.7.27申请963591.64元（5月工资364553.64元，6月工资599038元）
2、17.8.24申请670791.7元（7月工资670791.7元）
3、17.9.12申请695408.5元（8月份工资）</t>
        </r>
      </text>
    </comment>
    <comment ref="P22" authorId="0">
      <text>
        <r>
          <rPr>
            <b/>
            <sz val="9"/>
            <rFont val="宋体"/>
            <charset val="134"/>
          </rPr>
          <t>永荣科技:</t>
        </r>
        <r>
          <rPr>
            <sz val="9"/>
            <rFont val="宋体"/>
            <charset val="134"/>
          </rPr>
          <t xml:space="preserve">
1
2
3</t>
        </r>
      </text>
    </comment>
    <comment ref="I23" authorId="0">
      <text>
        <r>
          <rPr>
            <b/>
            <sz val="9"/>
            <rFont val="宋体"/>
            <charset val="134"/>
          </rPr>
          <t>永荣科技:</t>
        </r>
        <r>
          <rPr>
            <sz val="9"/>
            <rFont val="宋体"/>
            <charset val="134"/>
          </rPr>
          <t xml:space="preserve">
含手续费等592841.17元</t>
        </r>
      </text>
    </comment>
    <comment ref="F24" authorId="0">
      <text>
        <r>
          <rPr>
            <b/>
            <sz val="9"/>
            <rFont val="宋体"/>
            <charset val="134"/>
          </rPr>
          <t>永荣科技:</t>
        </r>
        <r>
          <rPr>
            <sz val="9"/>
            <rFont val="宋体"/>
            <charset val="134"/>
          </rPr>
          <t xml:space="preserve">
1、17年之前支付800万元，但不计入30亿概算中</t>
        </r>
      </text>
    </comment>
    <comment ref="I24" authorId="0">
      <text>
        <r>
          <rPr>
            <b/>
            <sz val="9"/>
            <rFont val="宋体"/>
            <charset val="134"/>
          </rPr>
          <t>永荣科技:</t>
        </r>
        <r>
          <rPr>
            <sz val="9"/>
            <rFont val="宋体"/>
            <charset val="134"/>
          </rPr>
          <t xml:space="preserve">
原合同2000万元
合同半路终止
锦江石化转永荣科技
永荣科技支付800万，不放在30亿概算中</t>
        </r>
      </text>
    </comment>
    <comment ref="P24" authorId="0">
      <text>
        <r>
          <rPr>
            <b/>
            <sz val="9"/>
            <rFont val="宋体"/>
            <charset val="134"/>
          </rPr>
          <t>永荣科技:</t>
        </r>
        <r>
          <rPr>
            <sz val="9"/>
            <rFont val="宋体"/>
            <charset val="134"/>
          </rPr>
          <t xml:space="preserve">
1</t>
        </r>
      </text>
    </comment>
    <comment ref="F25" authorId="0">
      <text>
        <r>
          <rPr>
            <b/>
            <sz val="9"/>
            <rFont val="宋体"/>
            <charset val="134"/>
          </rPr>
          <t>永荣科技:</t>
        </r>
        <r>
          <rPr>
            <sz val="9"/>
            <rFont val="宋体"/>
            <charset val="134"/>
          </rPr>
          <t xml:space="preserve">
1、合同总价2800万元，锦江石化转永荣科技，支付1200万元</t>
        </r>
      </text>
    </comment>
    <comment ref="I25" authorId="0">
      <text>
        <r>
          <rPr>
            <b/>
            <sz val="9"/>
            <rFont val="宋体"/>
            <charset val="134"/>
          </rPr>
          <t>永荣科技:</t>
        </r>
        <r>
          <rPr>
            <sz val="9"/>
            <rFont val="宋体"/>
            <charset val="134"/>
          </rPr>
          <t xml:space="preserve">
合同总价2800万元
锦江石化转永荣科技1120万元
</t>
        </r>
      </text>
    </comment>
    <comment ref="P25" authorId="0">
      <text>
        <r>
          <rPr>
            <b/>
            <sz val="9"/>
            <rFont val="宋体"/>
            <charset val="134"/>
          </rPr>
          <t>永荣科技:</t>
        </r>
        <r>
          <rPr>
            <sz val="9"/>
            <rFont val="宋体"/>
            <charset val="134"/>
          </rPr>
          <t xml:space="preserve">
1</t>
        </r>
      </text>
    </comment>
    <comment ref="P26" authorId="0">
      <text>
        <r>
          <rPr>
            <b/>
            <sz val="9"/>
            <rFont val="宋体"/>
            <charset val="134"/>
          </rPr>
          <t>永荣科技:</t>
        </r>
        <r>
          <rPr>
            <sz val="9"/>
            <rFont val="宋体"/>
            <charset val="134"/>
          </rPr>
          <t xml:space="preserve">
政府补贴</t>
        </r>
      </text>
    </comment>
    <comment ref="I29" authorId="0">
      <text>
        <r>
          <rPr>
            <b/>
            <sz val="9"/>
            <rFont val="宋体"/>
            <charset val="134"/>
          </rPr>
          <t>永荣科技:</t>
        </r>
        <r>
          <rPr>
            <sz val="9"/>
            <rFont val="宋体"/>
            <charset val="134"/>
          </rPr>
          <t xml:space="preserve">
本合同金额23000元
加2016年之前未收集到合同34988元</t>
        </r>
      </text>
    </comment>
    <comment ref="P29" authorId="0">
      <text>
        <r>
          <rPr>
            <b/>
            <sz val="9"/>
            <rFont val="宋体"/>
            <charset val="134"/>
          </rPr>
          <t>永荣科技:</t>
        </r>
        <r>
          <rPr>
            <sz val="9"/>
            <rFont val="宋体"/>
            <charset val="134"/>
          </rPr>
          <t xml:space="preserve">
2017年1月记45付57988元</t>
        </r>
      </text>
    </comment>
    <comment ref="P30" authorId="0">
      <text>
        <r>
          <rPr>
            <b/>
            <sz val="9"/>
            <rFont val="宋体"/>
            <charset val="134"/>
          </rPr>
          <t>永荣科技:</t>
        </r>
        <r>
          <rPr>
            <sz val="9"/>
            <rFont val="宋体"/>
            <charset val="134"/>
          </rPr>
          <t xml:space="preserve">
2016年支付</t>
        </r>
      </text>
    </comment>
    <comment ref="P31" authorId="0">
      <text>
        <r>
          <rPr>
            <b/>
            <sz val="9"/>
            <rFont val="宋体"/>
            <charset val="134"/>
          </rPr>
          <t>永荣科技:</t>
        </r>
        <r>
          <rPr>
            <sz val="9"/>
            <rFont val="宋体"/>
            <charset val="134"/>
          </rPr>
          <t xml:space="preserve">
2016年支付
</t>
        </r>
      </text>
    </comment>
    <comment ref="P35" authorId="0">
      <text>
        <r>
          <rPr>
            <b/>
            <sz val="9"/>
            <rFont val="宋体"/>
            <charset val="134"/>
          </rPr>
          <t>永荣科技:</t>
        </r>
        <r>
          <rPr>
            <sz val="9"/>
            <rFont val="宋体"/>
            <charset val="134"/>
          </rPr>
          <t xml:space="preserve">
16.8记45,2572.8元</t>
        </r>
      </text>
    </comment>
    <comment ref="S35" authorId="0">
      <text>
        <r>
          <rPr>
            <b/>
            <sz val="9"/>
            <rFont val="宋体"/>
            <charset val="134"/>
          </rPr>
          <t>永荣科技:</t>
        </r>
        <r>
          <rPr>
            <sz val="9"/>
            <rFont val="宋体"/>
            <charset val="134"/>
          </rPr>
          <t xml:space="preserve">
16.8记46,23155.2元</t>
        </r>
      </text>
    </comment>
    <comment ref="P36" authorId="0">
      <text>
        <r>
          <rPr>
            <b/>
            <sz val="9"/>
            <rFont val="宋体"/>
            <charset val="134"/>
          </rPr>
          <t>永荣科技:</t>
        </r>
        <r>
          <rPr>
            <sz val="9"/>
            <rFont val="宋体"/>
            <charset val="134"/>
          </rPr>
          <t xml:space="preserve">
2017年5月记99付200850元
2017年6月记113付2960元
合计共付203810元
</t>
        </r>
      </text>
    </comment>
    <comment ref="P38" authorId="0">
      <text>
        <r>
          <rPr>
            <b/>
            <sz val="9"/>
            <rFont val="宋体"/>
            <charset val="134"/>
          </rPr>
          <t>永荣科技:</t>
        </r>
        <r>
          <rPr>
            <sz val="9"/>
            <rFont val="宋体"/>
            <charset val="134"/>
          </rPr>
          <t xml:space="preserve">
2017年5月记118共付201430元
35245+155135+11050（副总裁办公桌无合同）</t>
        </r>
      </text>
    </comment>
    <comment ref="P40" authorId="0">
      <text>
        <r>
          <rPr>
            <b/>
            <sz val="9"/>
            <rFont val="宋体"/>
            <charset val="134"/>
          </rPr>
          <t>永荣科技:</t>
        </r>
        <r>
          <rPr>
            <sz val="9"/>
            <rFont val="宋体"/>
            <charset val="134"/>
          </rPr>
          <t xml:space="preserve">
2017年5月记118共付201430元
35245+155135+11050（副总裁办公桌无合同）
</t>
        </r>
      </text>
    </comment>
    <comment ref="P41" authorId="0">
      <text>
        <r>
          <rPr>
            <b/>
            <sz val="9"/>
            <rFont val="宋体"/>
            <charset val="134"/>
          </rPr>
          <t>永荣科技:</t>
        </r>
        <r>
          <rPr>
            <sz val="9"/>
            <rFont val="宋体"/>
            <charset val="134"/>
          </rPr>
          <t xml:space="preserve">
2017年5月记99付200850元
2017年6月记113付2960元
合计共付203810元</t>
        </r>
      </text>
    </comment>
    <comment ref="I42" authorId="0">
      <text>
        <r>
          <rPr>
            <b/>
            <sz val="9"/>
            <rFont val="宋体"/>
            <charset val="134"/>
          </rPr>
          <t>永荣科技:</t>
        </r>
        <r>
          <rPr>
            <sz val="9"/>
            <rFont val="宋体"/>
            <charset val="134"/>
          </rPr>
          <t xml:space="preserve">
本合同金额45990元
加佳能打印机16940元，无合同，请购单2017020010
加电脑4台11800元，无合同。请购单2017020046
加2017年6月记113凭证2960元，无合同</t>
        </r>
      </text>
    </comment>
    <comment ref="P42" authorId="0">
      <text>
        <r>
          <rPr>
            <b/>
            <sz val="9"/>
            <rFont val="宋体"/>
            <charset val="134"/>
          </rPr>
          <t>永荣科技:</t>
        </r>
        <r>
          <rPr>
            <sz val="9"/>
            <rFont val="宋体"/>
            <charset val="134"/>
          </rPr>
          <t xml:space="preserve">
2017年5月记99付200850元
2017年6月记113付2960元
合计共付203810元
</t>
        </r>
      </text>
    </comment>
    <comment ref="F43" authorId="0">
      <text>
        <r>
          <rPr>
            <b/>
            <sz val="9"/>
            <rFont val="宋体"/>
            <charset val="134"/>
          </rPr>
          <t>永荣科技:</t>
        </r>
        <r>
          <rPr>
            <sz val="9"/>
            <rFont val="宋体"/>
            <charset val="134"/>
          </rPr>
          <t xml:space="preserve">
1、17.6记104，汇87600元
本单已清</t>
        </r>
      </text>
    </comment>
    <comment ref="P43" authorId="0">
      <text>
        <r>
          <rPr>
            <b/>
            <sz val="9"/>
            <rFont val="宋体"/>
            <charset val="134"/>
          </rPr>
          <t>永荣科技:</t>
        </r>
        <r>
          <rPr>
            <sz val="9"/>
            <rFont val="宋体"/>
            <charset val="134"/>
          </rPr>
          <t xml:space="preserve">
1</t>
        </r>
      </text>
    </comment>
    <comment ref="P48" authorId="0">
      <text>
        <r>
          <rPr>
            <b/>
            <sz val="9"/>
            <rFont val="宋体"/>
            <charset val="134"/>
          </rPr>
          <t>永荣科技:</t>
        </r>
        <r>
          <rPr>
            <sz val="9"/>
            <rFont val="宋体"/>
            <charset val="134"/>
          </rPr>
          <t xml:space="preserve">
2017年7月记82，付49800</t>
        </r>
      </text>
    </comment>
    <comment ref="F66" authorId="0">
      <text>
        <r>
          <rPr>
            <b/>
            <sz val="9"/>
            <rFont val="宋体"/>
            <charset val="134"/>
          </rPr>
          <t>永荣科技:</t>
        </r>
        <r>
          <rPr>
            <sz val="9"/>
            <rFont val="宋体"/>
            <charset val="134"/>
          </rPr>
          <t xml:space="preserve">
1、17.10.9申请30.5万元</t>
        </r>
      </text>
    </comment>
    <comment ref="P66" authorId="0">
      <text>
        <r>
          <rPr>
            <b/>
            <sz val="9"/>
            <rFont val="宋体"/>
            <charset val="134"/>
          </rPr>
          <t>永荣科技:</t>
        </r>
        <r>
          <rPr>
            <sz val="9"/>
            <rFont val="宋体"/>
            <charset val="134"/>
          </rPr>
          <t xml:space="preserve">
1</t>
        </r>
      </text>
    </comment>
  </commentList>
</comments>
</file>

<file path=xl/sharedStrings.xml><?xml version="1.0" encoding="utf-8"?>
<sst xmlns="http://schemas.openxmlformats.org/spreadsheetml/2006/main" count="1527">
  <si>
    <t>福建永荣科技有限公司</t>
  </si>
  <si>
    <t>合</t>
  </si>
  <si>
    <t>同</t>
  </si>
  <si>
    <t>执</t>
  </si>
  <si>
    <t>行</t>
  </si>
  <si>
    <t>表</t>
  </si>
  <si>
    <t>合同交接截至</t>
  </si>
  <si>
    <t>付款登记截至</t>
  </si>
  <si>
    <t>合同执行情况汇总表</t>
  </si>
  <si>
    <t>合同交接截至：</t>
  </si>
  <si>
    <t>付款登记截至：</t>
  </si>
  <si>
    <t>合同执行情况份数</t>
  </si>
  <si>
    <t>序号</t>
  </si>
  <si>
    <t>合同类型</t>
  </si>
  <si>
    <t>合同份数</t>
  </si>
  <si>
    <t>合同总金额</t>
  </si>
  <si>
    <t>已付款金额</t>
  </si>
  <si>
    <t>未付款金额</t>
  </si>
  <si>
    <t>付款完成率</t>
  </si>
  <si>
    <t>已完毕</t>
  </si>
  <si>
    <t>未完毕</t>
  </si>
  <si>
    <t>数据核对</t>
  </si>
  <si>
    <t>EPC合同</t>
  </si>
  <si>
    <t>设备合同</t>
  </si>
  <si>
    <t>工程合同</t>
  </si>
  <si>
    <t>其他合同</t>
  </si>
  <si>
    <t>合计</t>
  </si>
  <si>
    <t>核对</t>
  </si>
  <si>
    <t>备注1：土地费永荣共付13243.28万元，其中I期12510万元，II期733.28万元。政府已补贴9780万元，合同、付款金额按13243.28万元录入，（30亿概算，政府补贴9780万元，未扣减概算中）</t>
  </si>
  <si>
    <t>备注2：软基处理永荣共付31163.24万元，其中政府补贴已到账21000万元，未到账4732万元。合同、付款金额按31163.24万元录入（30亿概算，政府已补贴21000万元，未扣减概算中）</t>
  </si>
  <si>
    <t>备注3：排污权交易永荣共付6243.938577万元（60万吨己内酰胺），本次一期工程20万吨，合同金额、付款金额按2081.31万元录入（30亿概算，按20万吨分摊2081.31万元计入概算中）</t>
  </si>
  <si>
    <t xml:space="preserve"> </t>
  </si>
  <si>
    <t>截至</t>
  </si>
  <si>
    <t>投资款到账合计：</t>
  </si>
  <si>
    <t>政府补贴到账合计：</t>
  </si>
  <si>
    <t>合同(30亿概算）付款合计：</t>
  </si>
  <si>
    <t>排污费（不在30亿概算中）付款合计：</t>
  </si>
  <si>
    <t>合同、付款金额与I期30亿概算比对</t>
  </si>
  <si>
    <t>明细</t>
  </si>
  <si>
    <t>合同金额</t>
  </si>
  <si>
    <t>合同付款金额</t>
  </si>
  <si>
    <t>小计</t>
  </si>
  <si>
    <t>合同金额：</t>
  </si>
  <si>
    <t>减：土地费II期733.28万，政府补贴9780万</t>
  </si>
  <si>
    <t>减：软基政府补贴已到账2.1亿、未到账4732万</t>
  </si>
  <si>
    <t>减：排污权（60-20）万吨4162.6万元</t>
  </si>
  <si>
    <t>合计（I期20万吨己内酰胺概算）</t>
  </si>
  <si>
    <t>付款 情况</t>
  </si>
  <si>
    <t>纸质合同查询编号</t>
  </si>
  <si>
    <t>合同付款执行情况跟踪表汇总（导入）</t>
  </si>
  <si>
    <t>节点明细（导入）</t>
  </si>
  <si>
    <t>付款及节点情况合计</t>
  </si>
  <si>
    <t>合同编号</t>
  </si>
  <si>
    <t>请购单编号</t>
  </si>
  <si>
    <t>签订时间</t>
  </si>
  <si>
    <t>采购内容</t>
  </si>
  <si>
    <t>供应商</t>
  </si>
  <si>
    <t>装置名称</t>
  </si>
  <si>
    <t>支付方式</t>
  </si>
  <si>
    <t>节点1</t>
  </si>
  <si>
    <t>节点2</t>
  </si>
  <si>
    <t>节点3</t>
  </si>
  <si>
    <t>节点4</t>
  </si>
  <si>
    <t>节点5</t>
  </si>
  <si>
    <t>节点6</t>
  </si>
  <si>
    <t>节点7</t>
  </si>
  <si>
    <t>节点8</t>
  </si>
  <si>
    <t>已付款合计</t>
  </si>
  <si>
    <t>未付款合计</t>
  </si>
  <si>
    <t>节点合计</t>
  </si>
  <si>
    <t>节点与合同金额比对</t>
  </si>
  <si>
    <t>节点条件</t>
  </si>
  <si>
    <t>节点金额</t>
  </si>
  <si>
    <t>已申请付款金额</t>
  </si>
  <si>
    <t>汇总合计</t>
  </si>
  <si>
    <t>-</t>
  </si>
  <si>
    <t>电汇</t>
  </si>
  <si>
    <t>东洋概算表</t>
  </si>
  <si>
    <t>装置核对</t>
  </si>
  <si>
    <t>采购合同付款执行情况跟踪表（EPC合同）</t>
  </si>
  <si>
    <t>节点明细（EPC合同）</t>
  </si>
  <si>
    <t>HSE保证金</t>
  </si>
  <si>
    <t>是否已收</t>
  </si>
  <si>
    <t>已录</t>
  </si>
  <si>
    <t>已核对</t>
  </si>
  <si>
    <t>YRKJEPC-170001</t>
  </si>
  <si>
    <t>2017010004</t>
  </si>
  <si>
    <t>工程设计费（动力站EPC工程，含部分冷凝回收）</t>
  </si>
  <si>
    <t>中国联合工程公司</t>
  </si>
  <si>
    <t>动力站装置</t>
  </si>
  <si>
    <t>6个月承兑汇汇票70%/电汇30%</t>
  </si>
  <si>
    <t>预付款10%（合同生效收到承包人履约保函，预付款保函，预付款和等额的专票明细分项报价清单后支付5%，三个月后支付5%材料和设备款）</t>
  </si>
  <si>
    <t>预付款（基础设计经发包人审查合格并收取相关资料后支付至40%）</t>
  </si>
  <si>
    <t>预付款（提供全部详细设计文件和工程设计费全额专票后支付至65%）</t>
  </si>
  <si>
    <t>完成中间交接后的28天内，支付至70%</t>
  </si>
  <si>
    <t>联动试车运行合格后28天内，承包人提供试车合格部分材料及工程设备费用全额专票后支付至合同价的80%</t>
  </si>
  <si>
    <t>完成交工验收后28天内，支付至合同的90%</t>
  </si>
  <si>
    <t>完成竣工验收后28天内，支付至合同价的95%</t>
  </si>
  <si>
    <t>质保金5%，二年</t>
  </si>
  <si>
    <t>物资采购费（动力站EPC工程，含部分冷凝回收）</t>
  </si>
  <si>
    <t>预付款（按月申请支付，发货款付至当月发货材料的40%，验收合格后支付至验收材料的50%，）</t>
  </si>
  <si>
    <t>预付款（设备安装后支付至安装完成材料的65%）</t>
  </si>
  <si>
    <t>建筑、安装工程费（动力站EPC工程，含部分冷凝回收）</t>
  </si>
  <si>
    <t>预付款（无）</t>
  </si>
  <si>
    <t>预付款（按月支付已完成工程量的60%）</t>
  </si>
  <si>
    <t>技术服务费（动力站EPC工程，含部分冷凝回收）</t>
  </si>
  <si>
    <t>无</t>
  </si>
  <si>
    <t>资料归档培训等完成一次性支付至95%</t>
  </si>
  <si>
    <t>其他费（动力站EPC工程，含部分冷凝回收）</t>
  </si>
  <si>
    <t>安全措施费（动力站EPC工程，含部分冷凝回收）</t>
  </si>
  <si>
    <t>动力站EPC工程，含部分冷凝回收  合计</t>
  </si>
  <si>
    <t>78.8万元</t>
  </si>
  <si>
    <t>已收</t>
  </si>
  <si>
    <t>YRKJEPC-170002</t>
  </si>
  <si>
    <t>2016120034</t>
  </si>
  <si>
    <t>工程勘察设计费（设计费300万+专利费1000万）</t>
  </si>
  <si>
    <t>湖南省工业设备安装有限公司</t>
  </si>
  <si>
    <t>双氧水装置</t>
  </si>
  <si>
    <t>6个月承兑汇汇票/电汇下浮1.5%</t>
  </si>
  <si>
    <t>预付款（审查合格并收取相关资料后支付至40%）</t>
  </si>
  <si>
    <t>预付款（提供全部详细设计文件后支付至65%）</t>
  </si>
  <si>
    <t>完成中间交接后支付至70%</t>
  </si>
  <si>
    <t>投料试车生产出合格产品，支付至合同总价80%，如果交接满90天，因发包人原因仍无法产出合格产品</t>
  </si>
  <si>
    <t>完成交工验收，支付至90%</t>
  </si>
  <si>
    <t>完成竣工验收后，支付至95%</t>
  </si>
  <si>
    <t>质量保证金5%，一年</t>
  </si>
  <si>
    <t>工程设备及材料费</t>
  </si>
  <si>
    <t>预付款（根据审核的施工图设备材料清单进行采购，发货款后支付至当月发货的40%）</t>
  </si>
  <si>
    <t>预付款（安装完成的材料及工程设备费用的65%）</t>
  </si>
  <si>
    <t>建筑工程费 60%</t>
  </si>
  <si>
    <t>预付款（按月度支付已完成进度款的60%）</t>
  </si>
  <si>
    <t>预付款（中间交接支付至65%）</t>
  </si>
  <si>
    <t>安装工程费 60%</t>
  </si>
  <si>
    <t>技术服务费（调试及开车费）95%</t>
  </si>
  <si>
    <t>按实际发生支付（95%比例）</t>
  </si>
  <si>
    <t>按实际发生支付（剩余5%比例）</t>
  </si>
  <si>
    <t>技术服务费（验收费用）95%</t>
  </si>
  <si>
    <t>技术服务费（设备采购技术服务费）80%</t>
  </si>
  <si>
    <t>按实际发生支付（80%比例）</t>
  </si>
  <si>
    <t>按实际发生支付（剩余20%比例）</t>
  </si>
  <si>
    <t>技术服务费（设备监造费用）80%</t>
  </si>
  <si>
    <t>技术服务费（培训费用）95%</t>
  </si>
  <si>
    <t>其他费用（特种设备取证费用）95%</t>
  </si>
  <si>
    <t>其他费用（压力容器、压力管道监检费）95%</t>
  </si>
  <si>
    <t>其他费用（第三方检测费用）95%</t>
  </si>
  <si>
    <t>其他费用（工程保险费） 95%</t>
  </si>
  <si>
    <t>其他费用（管理费用） 80%</t>
  </si>
  <si>
    <t>其他费用（财务费用） 80%</t>
  </si>
  <si>
    <t>安全生产、文明施工费（安全防护用品） 100%</t>
  </si>
  <si>
    <t>按实际发生支付（100%比例）</t>
  </si>
  <si>
    <t>安全生产、文明施工费（安全防护措施费用）100%</t>
  </si>
  <si>
    <t>安全生产、文明施工费（应急救援）100%</t>
  </si>
  <si>
    <t>安全生产、文明施工费（现场防火措施）100%</t>
  </si>
  <si>
    <t>安全生产、文明施工费（临时设施费）80%</t>
  </si>
  <si>
    <t>安全生产、文明施工费（文明施工费）100%</t>
  </si>
  <si>
    <t>双氧水EPC设置   合计</t>
  </si>
  <si>
    <t>40万元</t>
  </si>
  <si>
    <t>YRKJEPC-170003</t>
  </si>
  <si>
    <t>2016120035</t>
  </si>
  <si>
    <t>工程勘察设计费（硫酸装置EPC)</t>
  </si>
  <si>
    <t xml:space="preserve">上海奥格利环保工程有限公司/浙江工程设计有限公司/浙江工业设备安装集团有限公司</t>
  </si>
  <si>
    <t>硫酸装置</t>
  </si>
  <si>
    <t>所有支付均为6个月承兑汇票，如采用现金转账，扣除付款金额的2%</t>
  </si>
  <si>
    <t>预付款（承包人提供设备采购合同，预付款10%）</t>
  </si>
  <si>
    <t>预付款（基础设计审查合格后并收取相关资料后支付至40%）</t>
  </si>
  <si>
    <t>设备安装后支付至80%（提供全部详细设计文件后支付至80%）</t>
  </si>
  <si>
    <t>投料试车生产出合格产品，支付至合同总价85%，如果交接满90天，因发包人原因仍无法产出合格产品</t>
  </si>
  <si>
    <t>完成竣工验收，支付至合同总价90%，若中间交接满6个月或者投料试车满3个月因发包人原因，仍无法完成交工验收的，视为完成交工验收，发包人支付至合同总价的90%</t>
  </si>
  <si>
    <t>完成竣工验收，支付至合同总价95%</t>
  </si>
  <si>
    <t>质量保修金为合同总价5%，质保期为工程交工验收后12个月或装置出合格产品后18个月，以先到期为准，进入质保期，承包人开12个月合同总价5%的质量保函后，发包人支付质保金。</t>
  </si>
  <si>
    <t>材料及工程设备采购费（硫酸装置EPC)</t>
  </si>
  <si>
    <t>预付款（发货款付至50%）</t>
  </si>
  <si>
    <t>预付款（到货验收合格后支付至70%）</t>
  </si>
  <si>
    <t>设备安装后支付至80%</t>
  </si>
  <si>
    <t>备品备件费（硫酸装置EPC)</t>
  </si>
  <si>
    <t>土建工程费（硫酸装置EPC)</t>
  </si>
  <si>
    <t>预付款（按月度、进度支付至已发生工程款70%）</t>
  </si>
  <si>
    <t>设备、管道、电仪安装费（硫酸装置EPC)</t>
  </si>
  <si>
    <t>材料及工程设备采购费（硫酸装置EPC)  合计</t>
  </si>
  <si>
    <t>YRKJEPC-170004</t>
  </si>
  <si>
    <t>2017010038</t>
  </si>
  <si>
    <t>工程勘察设计费（空分制氮装置EPC，不含土建)</t>
  </si>
  <si>
    <t>杭州福斯达深冷装备股份有限公司/济宁市化工设计院唐山分院/江苏天目建设集团有限公司</t>
  </si>
  <si>
    <t>空分制氮装置</t>
  </si>
  <si>
    <t>6个月承兑汇汇票/电汇无下浮</t>
  </si>
  <si>
    <t>预付款15%（10%履约保函；发包人收到承包人开具的本合同总价15%之银行预付款保函（保函有效期为2018年2月1日）以及本合同总价15%的增值税专用发票后，30天内付款）</t>
  </si>
  <si>
    <t>发包人见证承包人已完成压缩机和冷箱制造（或实物采购），且收到合同总价35%的发票后，30天内支付</t>
  </si>
  <si>
    <t>压缩机及冷箱到货后一个月内完成初验或货到现场二个月内，收到20%增值税专用发票</t>
  </si>
  <si>
    <t>1、发包人完成全部空分设备安装、投料试车合格承包人完成全部空分设备安装三个月后；2、10%增值税专用发票</t>
  </si>
  <si>
    <t>1、交工验收合格或承包人完成试车3个月内，2、10%增值税专用发票</t>
  </si>
  <si>
    <t>竣工验收或者交工验收后12个月后，承包人收到承包人开具本合同总价10%增值税发票</t>
  </si>
  <si>
    <t>质保金；完成竣工验收24个月，或者交工验收36个月（以条件先到者为准）</t>
  </si>
  <si>
    <t>工程设备费（空分制氮装置EPC，不含土建)</t>
  </si>
  <si>
    <t>1、交工验收合格或承包人完成试车3个月内，2、11%增值税专用发票</t>
  </si>
  <si>
    <t>竣工验收或者交工验收后12个月后，承包人收到承包人开具本合同总价11%增值税发票</t>
  </si>
  <si>
    <t>备品备件费（空分制氮装置EPC，不含土建)</t>
  </si>
  <si>
    <t>1、交工验收合格或承包人完成试车3个月内，2、12%增值税专用发票</t>
  </si>
  <si>
    <t>竣工验收或者交工验收后12个月后，承包人收到承包人开具本合同总价12%增值税发票</t>
  </si>
  <si>
    <t>安装工程费（空分制氮装置EPC，不含土建)</t>
  </si>
  <si>
    <t>1、交工验收合格或承包人完成试车3个月内，2、13%增值税专用发票</t>
  </si>
  <si>
    <t>竣工验收或者交工验收后12个月后，承包人收到承包人开具本合同总价13%增值税发票</t>
  </si>
  <si>
    <t>技术服务费（空分制氮装置EPC，不含土建)</t>
  </si>
  <si>
    <t>1、交工验收合格或承包人完成试车3个月内，2、14%增值税专用发票</t>
  </si>
  <si>
    <t>竣工验收或者交工验收后12个月后，承包人收到承包人开具本合同总价14%增值税发票</t>
  </si>
  <si>
    <t>其他费用（空分制氮装置EPC，不含土建)</t>
  </si>
  <si>
    <t>1、交工验收合格或承包人完成试车3个月内，2、15%增值税专用发票</t>
  </si>
  <si>
    <t>竣工验收或者交工验收后12个月后，承包人收到承包人开具本合同总价15%增值税发票</t>
  </si>
  <si>
    <t>安全措施费（空分制氮装置EPC，不含土建)</t>
  </si>
  <si>
    <t>1、交工验收合格或承包人完成试车3个月内，2、16%增值税专用发票</t>
  </si>
  <si>
    <t>竣工验收或者交工验收后12个月后，承包人收到承包人开具本合同总价16%增值税发票</t>
  </si>
  <si>
    <t>空分制氮装置EPC（不含土建施工）  合计</t>
  </si>
  <si>
    <t>YRKJEPC-170005</t>
  </si>
  <si>
    <t>工程勘察设计费（甲醇制氢装置EPC）</t>
  </si>
  <si>
    <t>长岭炼化岳阳工程设计有限公司/四川同盛科技有限责任公司/中国化学工程第四建设有限公司</t>
  </si>
  <si>
    <t>甲醇制氢装置</t>
  </si>
  <si>
    <t>6个月承兑汇汇票</t>
  </si>
  <si>
    <t>预付款（预付该项总金额的10%）</t>
  </si>
  <si>
    <t>预付款（基础设计审查合格并收取相关资料后支付至40%）</t>
  </si>
  <si>
    <t>完成中间交接，支付至70%</t>
  </si>
  <si>
    <t>投料试车生产出合格产品，支付至合同总价80%</t>
  </si>
  <si>
    <t>完成竣工验收，支付至95%</t>
  </si>
  <si>
    <t>5%质保金，验收后一年支付</t>
  </si>
  <si>
    <t>设备采购费（甲醇制氢装置EPC）</t>
  </si>
  <si>
    <t>预付款（提供设备采购合同，支付10%）</t>
  </si>
  <si>
    <t>预付款（发货付至40%）</t>
  </si>
  <si>
    <t>预付款（到货验收合格付至50%，设备安装后支付至65%）</t>
  </si>
  <si>
    <t>安装费（甲醇制氢装置EPC）</t>
  </si>
  <si>
    <t>预付款（按月度、进度款支付已发生工程款的60%）</t>
  </si>
  <si>
    <t>材料费（甲醇制氢装置EPC）</t>
  </si>
  <si>
    <t>技术服务费（甲醇制氢装置EPC）</t>
  </si>
  <si>
    <t>安全措施费（甲醇制氢装置EPC）</t>
  </si>
  <si>
    <t>甲醇制氢装置EPC</t>
  </si>
  <si>
    <t>AG-KJ-20170003</t>
  </si>
  <si>
    <t>工程设备及材料费、备品备件费</t>
  </si>
  <si>
    <t>苏州科环环保科技有限公司/湖南新金诚建设工程有限公司</t>
  </si>
  <si>
    <t>污水处理场</t>
  </si>
  <si>
    <t>6个月承兑汇汇票/电汇下浮3%</t>
  </si>
  <si>
    <t>安装工程费</t>
  </si>
  <si>
    <t>6个月承兑汇汇票/电汇下浮4%</t>
  </si>
  <si>
    <t>土建工程费</t>
  </si>
  <si>
    <t>6个月承兑汇汇票/电汇下浮5%</t>
  </si>
  <si>
    <t>技术服务费</t>
  </si>
  <si>
    <t>6个月承兑汇汇票/电汇下浮6%</t>
  </si>
  <si>
    <t>其他费用</t>
  </si>
  <si>
    <t>6个月承兑汇汇票/电汇下浮7%</t>
  </si>
  <si>
    <t>安全生产、文明施工费</t>
  </si>
  <si>
    <t>6个月承兑汇汇票/电汇下浮8%</t>
  </si>
  <si>
    <t>污水处理场PC</t>
  </si>
  <si>
    <t>6个月承兑汇汇票/电汇下浮9%</t>
  </si>
  <si>
    <t>合同付款执行情况跟踪表汇总（设备合同）</t>
  </si>
  <si>
    <t>节点明细（设备合同）</t>
  </si>
  <si>
    <t>YRSHEQ-150004</t>
  </si>
  <si>
    <t>低压配电柜11台</t>
  </si>
  <si>
    <t>福州福大自动化科技有限公司</t>
  </si>
  <si>
    <t>承兑汇票</t>
  </si>
  <si>
    <t>货到交货地点验收合格支付95%</t>
  </si>
  <si>
    <t>5%质保金</t>
  </si>
  <si>
    <t>物-X150302430号</t>
  </si>
  <si>
    <t>油变10台、分界式断路器1台</t>
  </si>
  <si>
    <t>莆田亿力电力物资有限公司</t>
  </si>
  <si>
    <t>5%质保金1年</t>
  </si>
  <si>
    <t>备-X150302430号</t>
  </si>
  <si>
    <t>低压开关箱10面，综合计量箱2面</t>
  </si>
  <si>
    <t>福建莆田荔源电气设备有限公司</t>
  </si>
  <si>
    <t>物-X150302430号-1</t>
  </si>
  <si>
    <t>油变2台</t>
  </si>
  <si>
    <t>装载机三清保养及维修工具一批</t>
  </si>
  <si>
    <t>泉州市超越机电设备有限公司</t>
  </si>
  <si>
    <t>验收合格收到全额发票支付</t>
  </si>
  <si>
    <t>YRKJEQ-170002</t>
  </si>
  <si>
    <t>离心机（同锦江香港合同一份）</t>
  </si>
  <si>
    <t>安德里茨克玛有限公司</t>
  </si>
  <si>
    <t>英文未知</t>
  </si>
  <si>
    <t>YRKJEQ-170003</t>
  </si>
  <si>
    <t>2017010003</t>
  </si>
  <si>
    <t>16吨高喷消防车共2辆</t>
  </si>
  <si>
    <t>陕西银河消防科技装备股份有限公司</t>
  </si>
  <si>
    <t>安全环保部</t>
  </si>
  <si>
    <t>6个月承兑汇票</t>
  </si>
  <si>
    <t>承揽人提交完整车辆资料（含上牌照资料）经定作人确认；提交合同总价100%车辆购置专用发票后，十个工作日内付货物全款的90%验收合格款，每延迟一日，定作人按合同总价的0.3%计算承揽人支付违约金。</t>
  </si>
  <si>
    <t>本合同总金额的10%留作质量保证金，满一年后十个工作日付清，每延迟一日，定作人按合同总价的0.3%计算承揽人支付违约金。</t>
  </si>
  <si>
    <t>YRKJEQ-170001</t>
  </si>
  <si>
    <t>2016080002</t>
  </si>
  <si>
    <t>液氨球罐（原概算4台改成2台，含设计费等）</t>
  </si>
  <si>
    <t>荆门宏图特种飞行器制造有限公司</t>
  </si>
  <si>
    <t xml:space="preserve">    </t>
  </si>
  <si>
    <t>乙方提供预付款等额的银行保函后10个工作日，支付20%预付款</t>
  </si>
  <si>
    <t>乙方提供收款收据，全额17%专票等额的银行保函后10个工作日支付50%发货款</t>
  </si>
  <si>
    <t>取得监检证后支付30%验收款</t>
  </si>
  <si>
    <t>YRKJEQ-170007</t>
  </si>
  <si>
    <t>2016090032</t>
  </si>
  <si>
    <t>硫铵干燥系统 成套设备</t>
  </si>
  <si>
    <t>山东天力能源股份有限公司</t>
  </si>
  <si>
    <t>乙方提供10%合同金额的银行履约保函，预付款等额的银行保函和对应款的收据后10个工作日支付20%预付款</t>
  </si>
  <si>
    <t>甲方初步验收合格后，收到乙方60%合同金额的银行保函，对应款项收据以及全额的17%专票后7日内支付60%提货款</t>
  </si>
  <si>
    <t>安装调试验收合格后支付10%验收款</t>
  </si>
  <si>
    <t>质量保质期满后支付10%的质量保证金</t>
  </si>
  <si>
    <t>YRKJEQ-170008</t>
  </si>
  <si>
    <t>2017010030</t>
  </si>
  <si>
    <t>聚结器2台（第一聚结器、第二聚结器）</t>
  </si>
  <si>
    <t>张家港市常洁机械有限公司</t>
  </si>
  <si>
    <t>收到乙方全额的17%专票，货到交货点后15个工作日支付80%货款</t>
  </si>
  <si>
    <t>验收合格或货到现场6个月后支付10%验收款</t>
  </si>
  <si>
    <t>质保期满6个月后支付质保金5%</t>
  </si>
  <si>
    <t>质保期满24个月后支付5%</t>
  </si>
  <si>
    <t>YRKJEQ-170005</t>
  </si>
  <si>
    <t>2016110032</t>
  </si>
  <si>
    <t>板式换热器5台(叔丁醇循环冷却器1台+结晶器冷凝器4台)</t>
  </si>
  <si>
    <t>阿法拉伐（上海）技术有限公司</t>
  </si>
  <si>
    <t>氨肟化装置1台3.6万元，硫铵装置4台136.2万元</t>
  </si>
  <si>
    <t>乙方开具有效期为发货后30天内，合同总价20%预付款保函和本合同20%总价之财务收据后15个工作日内，甲方支付20%预付款。10%的履约保函</t>
  </si>
  <si>
    <t>乙方开具有效期为发货后30天内，本合同总价70%发货款保函和本合同100%总价之17%增值税专用发票、以及本合同标的物对应完整资料后15个工作日内，甲方支付70%发货款。</t>
  </si>
  <si>
    <t>YRKJEQ-170009</t>
  </si>
  <si>
    <t>2016110028</t>
  </si>
  <si>
    <t>水蒸汽喷射真空系统</t>
  </si>
  <si>
    <t>浙江杭真能源科技股份有限公司</t>
  </si>
  <si>
    <t>氨肟化装置3套10.02万元，己内酰胺精装置5套79.88万元</t>
  </si>
  <si>
    <t>乙方开具有效期至2017年9月30日10%的预付款保函和预付款保函，合同总价10%增值税专用发票</t>
  </si>
  <si>
    <t>货物到达交货地点后，甲方收到本合同总价的90%的增值税专用发票，以及本合同标的物对应完整资料后15个工作日内，甲方支付70%</t>
  </si>
  <si>
    <t>货物到达甲方现场验收合格或货到现场6个月（以两者先到为准）乙方开具有效期为货物到货之日起24个月、本合同总价10%的质量保函后15个工作日，甲方支付20%验收款</t>
  </si>
  <si>
    <t>YRKJEQ-170010</t>
  </si>
  <si>
    <t>氨肟化装置塔内件</t>
  </si>
  <si>
    <t>岳阳恒忠机械工程技术有限公司</t>
  </si>
  <si>
    <t>氨肟化装置195万元</t>
  </si>
  <si>
    <t>甲方收到乙方开具有效期为到货后30天内合同金额的20%预付款保函，合同20%的17%专票后的15个工作日支付20%预付款</t>
  </si>
  <si>
    <t>甲方确认满足发货条件，收到合同金额30%的17%专票后15个工作日，支付30%发货款</t>
  </si>
  <si>
    <t>货物到达甲方验收合格，收到合同金额的50%专票后15个工作日支付20%到货款</t>
  </si>
  <si>
    <t>三个月内验收或到货后6个月，支付20%验收合格款</t>
  </si>
  <si>
    <t>质保期24个月后15个工作日支付10%</t>
  </si>
  <si>
    <t>YRKJEQ-170011</t>
  </si>
  <si>
    <t>塔装置内件共8套</t>
  </si>
  <si>
    <t>北洋国家精馏技术工程发展有限公司</t>
  </si>
  <si>
    <t>乙方货物制造完成，甲方人员在乙方工厂清点验货无误，并收到60%的专票（17%）后15个工作日支付60%发货款</t>
  </si>
  <si>
    <t>货物到达甲方指定地点后一个月内验收并收到40%专票（17%）的15个工作日内支付30%货款</t>
  </si>
  <si>
    <t>10%总价作质保金，在24个月质保期满后15个工作日内支付</t>
  </si>
  <si>
    <t>YRKJEQ-170031</t>
  </si>
  <si>
    <t>环己酮塔内件设计及制造（二标段）</t>
  </si>
  <si>
    <t>乙方具备发货条件通知甲方确认满足要求，收到全额17%专票及完整资料后支付60%发货款；共14万履约保证金，到货1哦天后退还</t>
  </si>
  <si>
    <t>货到到达甲方验收合格后15个工作日支付30%</t>
  </si>
  <si>
    <t>10%质保金，验收合格后12个月支付</t>
  </si>
  <si>
    <t>YRKJEQ-170012</t>
  </si>
  <si>
    <t>化工流程泵共83台</t>
  </si>
  <si>
    <t>江苏双达泵阀集团有限公司</t>
  </si>
  <si>
    <t>氨肟化装置24台共358.922万元，己内酰胺精装置59台共130.078万元</t>
  </si>
  <si>
    <t>6个月承兑汇票，如采用现金转账，扣除付款金额的2%</t>
  </si>
  <si>
    <t>乙方开具有效期为货到后30天内、本合同总价20%预付款保函和本合同20%总价之17%增值税专用发票后15个工作日内，甲方支付20%预付款。</t>
  </si>
  <si>
    <t>乙方生产的本合同标的物具备发货条件并通知甲方人员确认满足要求，以及收到本合同30%的17%增值税专用发票，以及本合同标的物对应完整资料后15个工作日，甲方支付30%发货款。</t>
  </si>
  <si>
    <t>货物到达甲方指定地点初验合格且甲方收到乙方提交的本合同50%总价之17%增值税专用发票后，15个工作日内支付20%到货款。</t>
  </si>
  <si>
    <t>货物到达甲方现场三个月内验收或货到现场6个月内（以条件先到者为准）甲方在15个工作日内支付20%验收合格款。</t>
  </si>
  <si>
    <t>本合同10%总价留作质保金，验收合格后18个月或货到现场24个月（以条件先到者为准）后15个工作日内支付</t>
  </si>
  <si>
    <t>YRKJEQ-170004</t>
  </si>
  <si>
    <t>2017010002</t>
  </si>
  <si>
    <t>氨肟化反应分离釜设备购置费3套</t>
  </si>
  <si>
    <t>河北美邦工程科技股份有限公司</t>
  </si>
  <si>
    <t>氨肟化装置（氨肟化装置金属膜反应分离系统1套）</t>
  </si>
  <si>
    <t>电汇或6个月承汇</t>
  </si>
  <si>
    <t>设备购置费的10%作为预付款，作为合同生效款，收到对方正式收据的15个工作日内支付</t>
  </si>
  <si>
    <t>设备制作完毕，具备发货条件，在收到正式收据后，在15个工作日向对方支付30%作为提货款</t>
  </si>
  <si>
    <t>在收到专票17%的发票，按照有关标准检验合格后15个工作日支付30%设备购置费</t>
  </si>
  <si>
    <t>在安装完成、单体试车合格、联动调试性能考核合格、化工投料运行正常，收到正式收据后15个工作日，支付20%的设备购置费</t>
  </si>
  <si>
    <t>设备购置费10%作为质保金，在质保期后30工作日，收到正式收据后支付</t>
  </si>
  <si>
    <t>内置金属膜氨肟化工艺专利许可授权费1套</t>
  </si>
  <si>
    <t>在提供该批合同项下标的物的设计条件资料30个工作日内，在收到服务类专票（6%）后全额支付</t>
  </si>
  <si>
    <t>内置金属膜氨肟化反应分离系统工艺包许可费1套</t>
  </si>
  <si>
    <t>内置金属膜氨肟化反应分离系统工艺包许可使用费的100%作为验收款，在收到服务类专票（6%）后支付</t>
  </si>
  <si>
    <t>分子筛选催化剂采购费用70吨（送分子筛催化剂24吨）</t>
  </si>
  <si>
    <t>催化剂购置费的10%作为预付款，送6吨催化剂，装置初装催化剂时免费送至工厂</t>
  </si>
  <si>
    <t>出卖人分5批送货，每批17.6吨，在收到17.6吨货物及17%专票后30日内支付</t>
  </si>
  <si>
    <t>氨肟化反应分离系统</t>
  </si>
  <si>
    <t>YRKJEQ-170006</t>
  </si>
  <si>
    <t>2016110024</t>
  </si>
  <si>
    <t>降膜蒸发器（第二叔丁醇回收塔再沸器）</t>
  </si>
  <si>
    <t>无锡化工装备股份有限公司</t>
  </si>
  <si>
    <t>乙方开具有效期至货物到达交货地点后15个工作日预付款等额的保函和等额的17%专票后15个工作日支付20%预付款</t>
  </si>
  <si>
    <t>甲方相关人员检验及收到80%专票后15个工作日，支付60%发货款，乙方收到发货款安排发货</t>
  </si>
  <si>
    <t>货物到达甲方验收合格后2个月或货到现场后6个月，乙方开具到货后24个月质量保函后15个工作日，支付10%验收款</t>
  </si>
  <si>
    <t>本合同的10%为质量保函，验收合格后18个月或货到现场24个月后，甲方退还乙方</t>
  </si>
  <si>
    <t>YRKJEQ-170013</t>
  </si>
  <si>
    <t>己萃塔1台</t>
  </si>
  <si>
    <t>长沙博能科技发展有限公司</t>
  </si>
  <si>
    <t>己内酰胺精制装置500万元</t>
  </si>
  <si>
    <t>乙方开具有效期为货到后30天内（2017年11月30日）、本合同总价20%预付款保函和本合同20%总价之乙方财务收据后5个工作日内，甲方支付20%预付款</t>
  </si>
  <si>
    <t>本合同标的物生产完成具备发货条件、甲方人员在乙方现场确认无误，且收到乙方提交的本合同100%总价之17%增值税专用发票后15个工作日内，甲方支付40%发货款。</t>
  </si>
  <si>
    <t>货物到达甲方指定地点后一个月内初验合格或货到现场1个月后（以条件先到者为准），甲方在15个工作日内支付10%到货款。</t>
  </si>
  <si>
    <t>货物到达甲方指定地点后一个月内初验收或货到现场1个月后（以条件先到者为准）甲方在15个工作日内支付10%验收合格款。</t>
  </si>
  <si>
    <t>本合同10%总价留作质保金，在24个月质保期满后15个工作日内支付</t>
  </si>
  <si>
    <t>YRKJEQ-170014</t>
  </si>
  <si>
    <t>晶浆泵及配件一批</t>
  </si>
  <si>
    <t>昆明嘉和科技股份有限公司</t>
  </si>
  <si>
    <t>6个月承兑汇票，电汇的话按153万元算</t>
  </si>
  <si>
    <t>甲方接到货物后，收到乙方提供的20%预付款保函，并收到等额的专票后支付20%货款。乙方提供10%履约保函</t>
  </si>
  <si>
    <t>收到乙方提供的30%发货款保函，甲方至乙方工厂初步检验合格后，并收到等额的专票后支付30%的货款</t>
  </si>
  <si>
    <t>甲方收到货物，并收到等额的专票后，支付30%的货款</t>
  </si>
  <si>
    <t>甲方验收合格后，并收到乙方等额的专票后支付10%的验收款</t>
  </si>
  <si>
    <t>10%作为质保金，质保期满后并收到乙方等额的专票后支付10%货款</t>
  </si>
  <si>
    <t>YRKJEQ-170015</t>
  </si>
  <si>
    <t>磁力泵及配件</t>
  </si>
  <si>
    <t>丹东克隆集团有限责任公司</t>
  </si>
  <si>
    <t>甲方收到乙方提供的20%预付款保函，乙方提供10%履约保函</t>
  </si>
  <si>
    <t>甲方收到货物后支付20%的货款</t>
  </si>
  <si>
    <t>甲方验收合格后，并收到乙方90%的专票后支付20%的验收款</t>
  </si>
  <si>
    <t>YRKJEQ-170016</t>
  </si>
  <si>
    <t>压缩机与汽轮机1套</t>
  </si>
  <si>
    <t>上海晗益流体设备有限公司</t>
  </si>
  <si>
    <t>双氧水装置1846万元</t>
  </si>
  <si>
    <t>买方应于收到卖方递交的合同总额20%的以买方为受益人的银行预付款保函后15个工作日内向卖方以电汇方式支付合同总额20%</t>
  </si>
  <si>
    <t>余款80%于收到卖方递交的合同总金额5%的以买方为受益人的银行质量保函，及全额增值税发票后，在交货前壹个月以电汇全部付清</t>
  </si>
  <si>
    <t>YRKJEQ-170018</t>
  </si>
  <si>
    <t>环己酮装置哈氏合金设备24台</t>
  </si>
  <si>
    <t>上海勃冠自动化设备有限公司</t>
  </si>
  <si>
    <t>环己酮装置</t>
  </si>
  <si>
    <t>合同签订后1周内卖方向买方提交本合同总价20%财务收据后15天内，买方向卖方支付合同总价的20%</t>
  </si>
  <si>
    <t>合同签订后4个月内买方见证卖方进度（见证三分技术协议）中丙方已签订的哈式合金板材订购合同、复合板订购合同、哈式合金内盘管订购合同、主要锻件订购合同、减速机订购合同、机械密封订购合同、以上均为无价格原始合同，且收到卖方支付本合同总价40%的进度款</t>
  </si>
  <si>
    <t>本合同全部设备生产制造完成，并由三方技术协议中丙方提交完整对应资料，买方受到卖方提交本合同总价100%增值税专用发票以及本合同总价5%的质量保函（质量保函失效期为2020年5月9日）后15天内，支付合同总价40%的发货款</t>
  </si>
  <si>
    <t>卖方收到买方发货款后3天内将本合同货物全部发出，并对出厂全部货物购买对应运输保险</t>
  </si>
  <si>
    <t>YRKJEQ-170019</t>
  </si>
  <si>
    <t>洗涤塔塔内件</t>
  </si>
  <si>
    <t>长沙市弘达石化设备有限公司</t>
  </si>
  <si>
    <t>甲方至乙方工厂清点验货无误后，收到乙方30%的银行保函，并收到17%专票后15个工作日内支付</t>
  </si>
  <si>
    <t>甲方验收合格后，15个工作日内支付60%的货款</t>
  </si>
  <si>
    <t>10%的货款作为质保金，验收合格后18个月后支付</t>
  </si>
  <si>
    <t>YRKJEQ-170024</t>
  </si>
  <si>
    <t>第一批过滤器</t>
  </si>
  <si>
    <t>上海泽尔石化设备有限公司</t>
  </si>
  <si>
    <t>乙方工厂初步验收后支付60%作为发货款。乙方提供10%的履约保证金</t>
  </si>
  <si>
    <t>甲方验收合格后，且受到全额的增值税发票，30个工作日内支付30%的货款。</t>
  </si>
  <si>
    <t>本合同的10%作为质量包装呢赶紧，自验收合格后18个月后支付</t>
  </si>
  <si>
    <t>YRKJEQ-170022</t>
  </si>
  <si>
    <t>氢气压缩机共4台</t>
  </si>
  <si>
    <t>杭州杭氧压缩机有限公司</t>
  </si>
  <si>
    <t>环己酮装置1420万元</t>
  </si>
  <si>
    <t>合同签订15个工作日，收到等额17%专票及预付保函后15个工作日，支付20%预付款。10%履约保证金</t>
  </si>
  <si>
    <t>货到甲方现场，提供全额专票，一个月内支付40%货款，退回预付款保函</t>
  </si>
  <si>
    <t>验收合格后，一个月内支付30%验收款</t>
  </si>
  <si>
    <t>10%质保金，货到现场后满18个月付清</t>
  </si>
  <si>
    <t>YRKJEQ-170023</t>
  </si>
  <si>
    <t>循环水泵及配件P-85301D配套</t>
  </si>
  <si>
    <t>湖南湘电长沙水泵有限公司</t>
  </si>
  <si>
    <t>循环水场290万元</t>
  </si>
  <si>
    <t>甲方到乙方现场确认无误后，收到17%等额专票，15个工作日内支付40%发货款</t>
  </si>
  <si>
    <t>甲方收到货物，并验收合格后收到全额的专票后，支付30%的验收款</t>
  </si>
  <si>
    <t>10%质保金，质满期满后无息支付</t>
  </si>
  <si>
    <t>YRKJEQ-170021</t>
  </si>
  <si>
    <t>硫铵自动包装线</t>
  </si>
  <si>
    <t>无锡力马化工机械有限公司</t>
  </si>
  <si>
    <t>硫铵装置</t>
  </si>
  <si>
    <t>收到乙方有效期2018年3月1日合同20%预付保函和20%财务收据后15个工作日内支付20%预付款</t>
  </si>
  <si>
    <t>甲方到乙方现场确认无误后，收到17%全额专票，15个工作日内支付40%发货款</t>
  </si>
  <si>
    <t>货物到达甲方清点无误，收到6个月（有效期2018年9月1日）履约保函后，15个工作日内支付30%货款</t>
  </si>
  <si>
    <t>10%总价作为质保金，验收合格后12个月保期满后15个工作日支付</t>
  </si>
  <si>
    <t>YRKJEQ-170029</t>
  </si>
  <si>
    <t>液环真空泵共9台</t>
  </si>
  <si>
    <t>广东肯富来泵业股份有限公司</t>
  </si>
  <si>
    <t>己内酰胺装置3台39.9万元，环己酮肟化装置2台221.9万，硫氨装置4台88.2万元</t>
  </si>
  <si>
    <t>甲方收到乙方30%的预付款保函（有限期2017.12.30）以及本合同的30%专票（17%）后15个工作日支付30%货款</t>
  </si>
  <si>
    <t>甲方在乙方现场确认无误，且受到乙方70%的专票后，15个工作日内支付40%的货款</t>
  </si>
  <si>
    <t>货物到达甲方，并收到乙方合同总价10%的质量保函后的15个工作日，支付30%的验收款</t>
  </si>
  <si>
    <t>YRKJEQ-170033</t>
  </si>
  <si>
    <t>3台导热油炉</t>
  </si>
  <si>
    <t>常州综研加热炉有限公司</t>
  </si>
  <si>
    <t>环己酮装置120万，甲醇制氢装置240万</t>
  </si>
  <si>
    <t>甲方收到乙方合同的20%预付款保函（2018.1.2）以及本合同20%的财务收据后15个工作日，支付20%货款。</t>
  </si>
  <si>
    <t>甲方在乙方现场确认无误，且受到乙方100%的专票后，15个工作日内支付30%的货款</t>
  </si>
  <si>
    <t>货物到达甲方，安装验收合格后6个月后15个工作日内，支付30%的验收款</t>
  </si>
  <si>
    <t>本合同的10%作为质保金，验收合格12个月质保期后的15个工作日内支付</t>
  </si>
  <si>
    <t>YRKJEQ-170032</t>
  </si>
  <si>
    <t>立式斜流泵</t>
  </si>
  <si>
    <t>湖南耐普泵业股份有限公司</t>
  </si>
  <si>
    <t>甲方收到乙方合同的20%预付款保函，（2017.12.20）以及本合同20%的专票（17%）后15个工作日，支付20%货款。乙方提供10%履约保函</t>
  </si>
  <si>
    <t>YRKJEQ-170038</t>
  </si>
  <si>
    <t>4台气动隔膜泵</t>
  </si>
  <si>
    <t>上海边锋泵业制造有限公司</t>
  </si>
  <si>
    <t>氨肟化装置2360元，环己酮装置2388元，己内酰胺装置3249元</t>
  </si>
  <si>
    <t>乙方收到甲方全部货款后7天内将货物发出甲方附近物流点，7天后寄出17%增值税发票</t>
  </si>
  <si>
    <t>YRKJEQ-170024-1</t>
  </si>
  <si>
    <t>过滤器3台及增补技术协议</t>
  </si>
  <si>
    <t>在乙方工厂初步验收后支付合同金额的60%为发货款。乙方提供10%的履约保证金</t>
  </si>
  <si>
    <t>甲方接收货物验收合格安装调试合格后30个工作日，收到全额的增值税发票后，支付30%货款</t>
  </si>
  <si>
    <t>10%质量保证金，验收合格后满18月后支付</t>
  </si>
  <si>
    <t>YRKJEQ-170040</t>
  </si>
  <si>
    <t>8台磁力泵</t>
  </si>
  <si>
    <t>杭州大路实业有限公司</t>
  </si>
  <si>
    <t>己内酰胺装置30万元</t>
  </si>
  <si>
    <t>6个月承兑汇票，不接受反向贴息</t>
  </si>
  <si>
    <t>到乙方工厂检验合格后，签发发货同意书，收到等额的17%专票后15个工作日支付60%发货款</t>
  </si>
  <si>
    <t>甲方收到调试合格报告及足额的发票后15个工作日支付30%调试款</t>
  </si>
  <si>
    <t>10%质量保证金，验收合格后12个月或到货香肠18个月支付</t>
  </si>
  <si>
    <t>YRKJEQ-170042</t>
  </si>
  <si>
    <t>原水净化系统及附属设备1套</t>
  </si>
  <si>
    <t>江苏一环集团有限公司</t>
  </si>
  <si>
    <t>原水净化系统</t>
  </si>
  <si>
    <t>6个月承兑汇票/现金不下浮</t>
  </si>
  <si>
    <t>甲方收到核定的调试合格报告及全额的专票后15个工作日，支付30%调试款</t>
  </si>
  <si>
    <t>YRKJEQ-170030</t>
  </si>
  <si>
    <t>环己酮塔内件设计及制造（一标段）</t>
  </si>
  <si>
    <t>湖北洪湖化工机械总厂</t>
  </si>
  <si>
    <t>YRKJEQ-170041</t>
  </si>
  <si>
    <t>混合器、消音器共10台</t>
  </si>
  <si>
    <t>氨肟化装置12.6万元，己内酰胺装置1.9万元</t>
  </si>
  <si>
    <t>甲方验收合格后，15个工作日内支付30%的货款</t>
  </si>
  <si>
    <t>YRKJEQ-170046</t>
  </si>
  <si>
    <t>板框式压滤机1台</t>
  </si>
  <si>
    <t>浙江隆源环境科技有限公司</t>
  </si>
  <si>
    <t>氨肟化装置18万元</t>
  </si>
  <si>
    <t>到乙方工厂检验货物合格后，签发发货同意书，收到等额的17%专票后15个工作日支付60%发货款</t>
  </si>
  <si>
    <t>甲方核定的调试合格报告及足额的发票后支付30%的验收款</t>
  </si>
  <si>
    <t>10%作质量保证金，货物验收合格后12个月后的15个工作日支付</t>
  </si>
  <si>
    <t>YRKJEQ-170051</t>
  </si>
  <si>
    <t>环己酮装置卧式多级离心泵共4台</t>
  </si>
  <si>
    <t>YRKJEQ-170045</t>
  </si>
  <si>
    <t>3T柴油叉车</t>
  </si>
  <si>
    <t>林德（中国）叉车有限公司</t>
  </si>
  <si>
    <t>合同签订后预付30%</t>
  </si>
  <si>
    <t>验收合格，收到全额专票，后15个工作日支付70%</t>
  </si>
  <si>
    <t>YRKJEQ-170002-1</t>
  </si>
  <si>
    <t>2台离心机</t>
  </si>
  <si>
    <t>锦江（香港）有限公司</t>
  </si>
  <si>
    <t>电汇/信用证</t>
  </si>
  <si>
    <t>合同签署2个工作周内，支付20%预付款，电汇</t>
  </si>
  <si>
    <t>开出货运单据后支付80%，信用证</t>
  </si>
  <si>
    <t>JMFJYR20170707</t>
  </si>
  <si>
    <t>贵金属海绵钯300KG</t>
  </si>
  <si>
    <t>庄信万丰（上海）催化剂有限公司</t>
  </si>
  <si>
    <t>首个定价日前支付200万元定金</t>
  </si>
  <si>
    <t>按期间支付货款</t>
  </si>
  <si>
    <t>YRKJEQ-170061</t>
  </si>
  <si>
    <t>4台水合反应器 环己醇第一第二反应器</t>
  </si>
  <si>
    <t>龙杰机械装备（太仓）有限公司</t>
  </si>
  <si>
    <t>6个月承兑汇票/电汇下浮3%</t>
  </si>
  <si>
    <t>甲方收到乙方合同的20%预付款保函以及本合同20%的财务收据后15个工作日，支付20%货款。</t>
  </si>
  <si>
    <t>YRKJEQ-170060</t>
  </si>
  <si>
    <t>18台非标容器（蒸发塔、再沸塔）</t>
  </si>
  <si>
    <t>己内酰胺装置</t>
  </si>
  <si>
    <t>6个月承兑汇票/电汇金额1200万元</t>
  </si>
  <si>
    <t>YRKJEQ-170020</t>
  </si>
  <si>
    <t>1台不可拆螺旋板式换热器</t>
  </si>
  <si>
    <t>兰州兰洛炼化高新装备股份有限公司</t>
  </si>
  <si>
    <t>6个月承兑汇票/电汇不下浮</t>
  </si>
  <si>
    <t>甲方收到乙方100%专票，初步到货验收合格后15个工作日，支付70%货款（乙方支付的1万元保证金退回）</t>
  </si>
  <si>
    <t>甲方在开车验收合格后支付20%验收合格款</t>
  </si>
  <si>
    <t>质量保证金10%，验收合格12个月或到货现场18个月支付</t>
  </si>
  <si>
    <t>YRKJEQ-170039</t>
  </si>
  <si>
    <t>93台离心泵</t>
  </si>
  <si>
    <t>6个月承兑汇票/电汇按358万元算</t>
  </si>
  <si>
    <t>YRKJEQ-170044</t>
  </si>
  <si>
    <t>起重设备（葫芦7台）</t>
  </si>
  <si>
    <t>河南豫中起重集团有限公司</t>
  </si>
  <si>
    <t>6个月承兑汇票/接受反向贴息</t>
  </si>
  <si>
    <t>甲方收到乙方100%专票，初步到货验收合格后15个工作日，支付70%货款</t>
  </si>
  <si>
    <t>YRKJEQ-170047</t>
  </si>
  <si>
    <t>4台罗茨风机</t>
  </si>
  <si>
    <t>山东省章丘鼓风机股份有限公司</t>
  </si>
  <si>
    <t>6个月承兑汇票/不接受反向贴息</t>
  </si>
  <si>
    <t>甲方收到乙方30%的预付款保函以及本合同的30%专票（17%）后15个工作日支付30%货款</t>
  </si>
  <si>
    <t>甲方在乙方现场确认无误，且受到乙方70%的专票后，15个工作日内支付60%的货款</t>
  </si>
  <si>
    <t>YRKJEQ-170050</t>
  </si>
  <si>
    <t>气动角阀</t>
  </si>
  <si>
    <t>萨姆森控制设备（中国）有限公司</t>
  </si>
  <si>
    <t>6个月承兑汇票/电汇无说明</t>
  </si>
  <si>
    <t>甲方收到乙方20%的预付款保函以及本合同的20%专票（17%）后15个工作日支付20%货款</t>
  </si>
  <si>
    <t>甲方收到核定的调试合格报告及全额的专票后15个工作日，支付40%调试款（10%质量保函）</t>
  </si>
  <si>
    <t>YRKJEQ-170052</t>
  </si>
  <si>
    <t>废气、废液焚烧装置1套</t>
  </si>
  <si>
    <t>天津晟成环境技术发展有限公司</t>
  </si>
  <si>
    <t>甲方授权人到乙方清点并检查货物合格后，签发发货同意书，收到60%专票后15个工作日，支付60%发货款</t>
  </si>
  <si>
    <t>YRKJEQ-170059</t>
  </si>
  <si>
    <t>板式换热器3套</t>
  </si>
  <si>
    <t>甲方接到货物后，收到乙方提供的20%预付款保函，并收到等额的专票后支付20%货款。乙方提供20%履约保函</t>
  </si>
  <si>
    <t>甲方到乙方现场确认无误后，收到17%全额专票，15个工作日内支付80%发货款</t>
  </si>
  <si>
    <t>YRKJEQ-170062</t>
  </si>
  <si>
    <t>汽车衡2台</t>
  </si>
  <si>
    <t>福建科达衡器有限公司</t>
  </si>
  <si>
    <t>甲方初步验收合格后，收到60%专票，10个工作日支付60%货款</t>
  </si>
  <si>
    <t>YRKJEQ-170063</t>
  </si>
  <si>
    <t>釜底角阀12台</t>
  </si>
  <si>
    <t>香港思科特工业技术有限公司</t>
  </si>
  <si>
    <t>信用证</t>
  </si>
  <si>
    <t>甲方收到乙方10%的预付款保函以及本合同的10%履约保函后15个工作日支付10%预付款</t>
  </si>
  <si>
    <t>发货前两个月开证</t>
  </si>
  <si>
    <t>YRKJEQ-170064</t>
  </si>
  <si>
    <t>在线分析仪</t>
  </si>
  <si>
    <t>深圳市博控实业有限公司</t>
  </si>
  <si>
    <t>YRKJEQ-170035</t>
  </si>
  <si>
    <t>69台屏蔽泵</t>
  </si>
  <si>
    <t>厦门予中化工有限公司</t>
  </si>
  <si>
    <t>6个月承兑汇票/电汇不贴息</t>
  </si>
  <si>
    <t>甲方收到乙方20%收据15个工作日支付预付款20%</t>
  </si>
  <si>
    <t>甲方提供全额专票，交货期内一个月支付75%发货款</t>
  </si>
  <si>
    <t>开车调试验收合格后，一个月内支付3%验收款</t>
  </si>
  <si>
    <t>2%质保金，验收合格12个月或到货现场18个月</t>
  </si>
  <si>
    <t>YRKJEQ-170058</t>
  </si>
  <si>
    <t>釜液循环前置换热器6台</t>
  </si>
  <si>
    <t>北京广夏环能科技股份有限公司</t>
  </si>
  <si>
    <t>6个月承兑汇票/电汇总降2.1万元</t>
  </si>
  <si>
    <t>甲方授权人到乙方清点并检查货物合格后，签发发货同意书，收到60%专票后15个工作日，支付60%发货款  10%履约保函</t>
  </si>
  <si>
    <t>甲方核定的调试合格报告及足额的发票后付30%的验收款</t>
  </si>
  <si>
    <t>10%质保金，验收合格12个月或到货现场18个月</t>
  </si>
  <si>
    <t>YRKJEQ-170066</t>
  </si>
  <si>
    <t>过滤器</t>
  </si>
  <si>
    <t>甲方收到乙方20%的预付款保函以及本合同的20%收据后15个工作日支付20%预付款</t>
  </si>
  <si>
    <t xml:space="preserve">甲方授权人到乙方清点并检查货物合格后，签发发货同意书，收到60%专票后15个工作日，支付40%发货款  </t>
  </si>
  <si>
    <t>甲方收到核定的调试合格报告后15个工作日，支付30%调试款</t>
  </si>
  <si>
    <t>YRKJEQ-170070</t>
  </si>
  <si>
    <t>冷凝水除油除铁装置</t>
  </si>
  <si>
    <t>南京碧盾环保科技股份有限公司</t>
  </si>
  <si>
    <t>甲方收到乙方10%的预付款保函以及本合同的10%专票后15个工作日支付10%预付款</t>
  </si>
  <si>
    <t xml:space="preserve">甲方授权人到乙方清点并检查货物合格后，签发发货同意书，收到50%专票后15个工作日，支付50%发货款  </t>
  </si>
  <si>
    <t>YRKJEQ-170074</t>
  </si>
  <si>
    <t>鹤管</t>
  </si>
  <si>
    <t>连云港和昌机械有限公司</t>
  </si>
  <si>
    <t>10%质保金，验收合格12个月或到货现场19个月</t>
  </si>
  <si>
    <t>YRKJEQ-170076</t>
  </si>
  <si>
    <t>2017070058/59</t>
  </si>
  <si>
    <t>环己酮非标包1、非标包2</t>
  </si>
  <si>
    <t>中核动力设备有限公司</t>
  </si>
  <si>
    <t>甲方收到乙方20%的预付款保函以及本合同的20%收据后15个工作日支付20%预付款 10%履约保函</t>
  </si>
  <si>
    <t xml:space="preserve">甲方授权人到乙方清点并检查货物合格后，签发发货同意书，收到全额专票后15个工作日，支付60%发货款  </t>
  </si>
  <si>
    <t>甲方收到核定的调试合格报告后15个工作日，支付10%调试款</t>
  </si>
  <si>
    <t>YRKJEQ-170081</t>
  </si>
  <si>
    <t>53台非标设备</t>
  </si>
  <si>
    <t>福建省泉州市江南冷却器厂</t>
  </si>
  <si>
    <t xml:space="preserve">甲方授权人到乙方清点并检查货物合格后，签发发货同意书，收到等额专票后15个工作日，支付60%发货款  </t>
  </si>
  <si>
    <t>YRKJEQ-170054</t>
  </si>
  <si>
    <t>重排反应混合器5套（合同未收）</t>
  </si>
  <si>
    <t>靖江华泰机械制造有限公司</t>
  </si>
  <si>
    <t>6个月承兑汇票/电汇下浮2%</t>
  </si>
  <si>
    <t>甲方收到乙方20%的预付款保函以及本合同的20%专票后15个工作日支付20%预付款</t>
  </si>
  <si>
    <t>YRKJEQ-170056</t>
  </si>
  <si>
    <t>化工流程泵27台</t>
  </si>
  <si>
    <t>甲方收到乙方20%的预付款保函以及本合同的10%履约保函,20%发票后15个工作日支付20%预付款</t>
  </si>
  <si>
    <t>甲方到乙方现场确认无误后，收到40%专票，15个工作日内支付40%发货款</t>
  </si>
  <si>
    <t>YRKJEQ-170053</t>
  </si>
  <si>
    <t>2017060066/2017060041</t>
  </si>
  <si>
    <t>搅拌器26台</t>
  </si>
  <si>
    <t>江苏胜开尔工业技术有限公司</t>
  </si>
  <si>
    <t>甲方到乙方现场确认无误后，收到60%专票，15个工作日内支付60%发货款</t>
  </si>
  <si>
    <t>甲方收到货物，并验收合格后收到全额的专票后，支付10%的验收款</t>
  </si>
  <si>
    <t>YRKJEQ-170035-1</t>
  </si>
  <si>
    <t>屏蔽泵17台（加签）</t>
  </si>
  <si>
    <t>YRKJEQ-170012-1</t>
  </si>
  <si>
    <t>化工流程泵共83台（加签一台）</t>
  </si>
  <si>
    <t>氨肟化装置</t>
  </si>
  <si>
    <t>YRKJEQ-170034</t>
  </si>
  <si>
    <t>浆料泵4台</t>
  </si>
  <si>
    <t>大连海密梯克泵业有限公司</t>
  </si>
  <si>
    <t>甲方收到乙方20%的预付款保函以及本合同的10%履约保函，等额专票后15个工作日支付20%预付款</t>
  </si>
  <si>
    <t>开车验收合格后，提供全额专票，一个月内支付30%验收款</t>
  </si>
  <si>
    <t>YRKJEQ-170036</t>
  </si>
  <si>
    <t>自吸泵51台</t>
  </si>
  <si>
    <t>江苏长凯机械设备有限公司</t>
  </si>
  <si>
    <t>YRKJEQ-170043</t>
  </si>
  <si>
    <t>液下泵4台</t>
  </si>
  <si>
    <t>甲方收到乙方20%的预付款保函以等额专票后15个工作日支付20%预付款</t>
  </si>
  <si>
    <t>YRKJEQ-170065</t>
  </si>
  <si>
    <t>罗茨风机2台</t>
  </si>
  <si>
    <t>甲方收到乙方30%的预付款保函以等额专票后15个工作日支付30%预付款</t>
  </si>
  <si>
    <t>甲方到乙方现场确认无误后，收到17%等额专票，15个工作日内支付60%发货款</t>
  </si>
  <si>
    <t>YRKJEQ-170067</t>
  </si>
  <si>
    <t>液氨卸车压缩机2台</t>
  </si>
  <si>
    <t>蚌埠市中通压缩机制造有限公司</t>
  </si>
  <si>
    <t>6个月承兑汇票/电汇没说明</t>
  </si>
  <si>
    <t>甲方到乙方现场确认无误后，收到17%等额专票，15个工作日内支付60%发货款。10%履约保函</t>
  </si>
  <si>
    <t>YRKJEQ-170068</t>
  </si>
  <si>
    <t>循环水泵驱动用汽轮机</t>
  </si>
  <si>
    <t>甲方收到乙方20%的预付款保函以等额专票后15个工作日支付20%预付款  10%履约保函</t>
  </si>
  <si>
    <t>YRKJEQ-170069</t>
  </si>
  <si>
    <t>喷射器16台</t>
  </si>
  <si>
    <t>杭州杭真能源科技股份有限公司</t>
  </si>
  <si>
    <t xml:space="preserve">甲方收到乙方20%的预付款保函以等额专票后15个工作日支付20%预付款 </t>
  </si>
  <si>
    <t>YRKJEQ-170071</t>
  </si>
  <si>
    <t>环己酮肟化非标设备包2（29台）</t>
  </si>
  <si>
    <t>常州市东方锅炉压力容器制造有限公司</t>
  </si>
  <si>
    <t>甲方核定的调试合格报告及足额的发票后付10%的验收款</t>
  </si>
  <si>
    <t>YRKJEQ-170079</t>
  </si>
  <si>
    <t>非标设备包3</t>
  </si>
  <si>
    <t>YRKJEQ-170087</t>
  </si>
  <si>
    <t>硫铵输送设备5套</t>
  </si>
  <si>
    <t>湖北宜都运机机电股份有限公司</t>
  </si>
  <si>
    <t>YRKJEQ-170086</t>
  </si>
  <si>
    <t>非标设备包4</t>
  </si>
  <si>
    <t>湖北凯毅石化设备制造有限公司</t>
  </si>
  <si>
    <t>甲方收到乙方30%的预付款保函以等额专票后15个工作日支付30%预付款  10%履约保函</t>
  </si>
  <si>
    <t>甲方到乙方现场确认无误后，收到17%等额专票，15个工作日内支付50%发货款</t>
  </si>
  <si>
    <t>YRKJEQ-170073</t>
  </si>
  <si>
    <t>电器一批</t>
  </si>
  <si>
    <t>镇江默勒电器有限公司</t>
  </si>
  <si>
    <t>厂前区配电所</t>
  </si>
  <si>
    <t>甲方到乙方现场确认无误后，收到17%等额专票，15个工作日内支付60%发货款。</t>
  </si>
  <si>
    <t>YRKJEQ-170077</t>
  </si>
  <si>
    <t>柴油发动机</t>
  </si>
  <si>
    <t>伟兴有限公司</t>
  </si>
  <si>
    <t>西北区配电所</t>
  </si>
  <si>
    <t>YRKJEQ-170080</t>
  </si>
  <si>
    <t>桥架一批</t>
  </si>
  <si>
    <t>安徽天彩电缆集团有限公司</t>
  </si>
  <si>
    <t>无说明</t>
  </si>
  <si>
    <t>甲方全部收到货物，经验收合格，收到等额专票15个工作日支付80%货款</t>
  </si>
  <si>
    <t>安装完毕，验收合格，收到足额的专票后支付10%调试款</t>
  </si>
  <si>
    <t>YRKJEQ-170089</t>
  </si>
  <si>
    <t>环己酮肟化装置非标包2(29台）</t>
  </si>
  <si>
    <t>浙江诚泰化工机械有限公司</t>
  </si>
  <si>
    <t>环己酮、己内酰胺、氨肟化</t>
  </si>
  <si>
    <t>6个月承兑汇票/电汇下浮1.5%</t>
  </si>
  <si>
    <t>甲方收到乙方20%的预付款保函以及本合同的10%履约保函后15个工作日支付20%预付款</t>
  </si>
  <si>
    <t>YRKJEQ-170026</t>
  </si>
  <si>
    <t>凉水塔10台 合同未移交</t>
  </si>
  <si>
    <t>江苏海鸥冷却塔股份有限公司</t>
  </si>
  <si>
    <t>循环水场</t>
  </si>
  <si>
    <t>YRKJEQ-170082</t>
  </si>
  <si>
    <t>41台非标设备</t>
  </si>
  <si>
    <t>YRKJEQ-170083</t>
  </si>
  <si>
    <t>结晶反应器2套</t>
  </si>
  <si>
    <t>厦门仁荣安装工程有限公司</t>
  </si>
  <si>
    <t>电汇/承兑按780万元</t>
  </si>
  <si>
    <t>甲方到乙方清点无误验收合格后，收到专票的15个工作日支付该材料的90%</t>
  </si>
  <si>
    <t>乙方在甲方现场制造清点无误验收合格支付至合同 80%</t>
  </si>
  <si>
    <t>YRKJEQ-170088</t>
  </si>
  <si>
    <t>油侵式变压器2台</t>
  </si>
  <si>
    <t>宁波奥克斯高科技有限公司</t>
  </si>
  <si>
    <t>甲方到乙方现场确认无误后，收到17%等额专票，15个工作日内支付60%发货款。30万履约保函</t>
  </si>
  <si>
    <t>YRKJEQ-170091</t>
  </si>
  <si>
    <t>环己酮装置非标设备26台</t>
  </si>
  <si>
    <t>6个月承兑汇票/电汇按1070万元</t>
  </si>
  <si>
    <t>甲方收到乙方20%的预付款保函以及本合同的10%专票后15个工作日支付20%预付款</t>
  </si>
  <si>
    <t>YRKJEQ-170098</t>
  </si>
  <si>
    <t>51台非标设备</t>
  </si>
  <si>
    <t>YRKJEQ-170094</t>
  </si>
  <si>
    <t>光谱分析仪器用电池</t>
  </si>
  <si>
    <t>赛默飞世尔科技（中国）有限公司</t>
  </si>
  <si>
    <t>100%预付款</t>
  </si>
  <si>
    <t>YRKJEQ-170055</t>
  </si>
  <si>
    <t>计量泵</t>
  </si>
  <si>
    <t>大连里瓦泵业有限公司</t>
  </si>
  <si>
    <t>甲方收到乙方20%的预付款保函以及本合同的10%履约保函后15个工作日支付230%预付款</t>
  </si>
  <si>
    <t>甲方到乙方现场确认无误后，收到17%全额专票，15个工作日内支付65%发货款</t>
  </si>
  <si>
    <t>5%质保金，验收合格12个月或到货现场18个月</t>
  </si>
  <si>
    <t>YRKJEQ-170085</t>
  </si>
  <si>
    <t>23台非标设备</t>
  </si>
  <si>
    <t>湖南湘东化工机械有限公司</t>
  </si>
  <si>
    <t>承兑+电汇</t>
  </si>
  <si>
    <t>甲方收到乙方20%的预付款保函以及本合同的10%履约保函后15个工作日支付20%预付款 电汇</t>
  </si>
  <si>
    <t>甲方到乙方现场确认无误后，收到17%等额专票，15个工作日内支付60%发货款 承兑</t>
  </si>
  <si>
    <t>甲方收到核定的调试合格报告后15个工作日，支付10%调试款 承兑</t>
  </si>
  <si>
    <t>10%质保金，验收合格12个月或到货现场18个月 承兑</t>
  </si>
  <si>
    <t>YRKJEQ-170048</t>
  </si>
  <si>
    <t>9台渣浆泵</t>
  </si>
  <si>
    <t>甲方到乙方现场确认无误后，收到17%等额、专票，15个工作日内支付40%发货款</t>
  </si>
  <si>
    <t>YRKJEQ-170057</t>
  </si>
  <si>
    <t>火炬</t>
  </si>
  <si>
    <t>上海同济高科技发展有限公司</t>
  </si>
  <si>
    <t>YRKJEQ-170072</t>
  </si>
  <si>
    <t>冷凝水余热回收装置</t>
  </si>
  <si>
    <t>双良节能系统股份有限公司</t>
  </si>
  <si>
    <t>甲方收到乙方20%的预付款保函以等额专票后15个工作日支付20%预付款 10%履约保函</t>
  </si>
  <si>
    <t>YRKJEQ-170075</t>
  </si>
  <si>
    <t>减温减压器</t>
  </si>
  <si>
    <t>杭州杭辅电站辅机有限公司</t>
  </si>
  <si>
    <t>YRKJEQ-170078</t>
  </si>
  <si>
    <t>消防泵、稳压泵</t>
  </si>
  <si>
    <t>YRKJEQ-170090</t>
  </si>
  <si>
    <t>环己酮非标设备5</t>
  </si>
  <si>
    <t>甲方到乙方现场确认无误后，收到17%等额、专票，15个工作日内支付60%发货款</t>
  </si>
  <si>
    <t>YRKJEQ-170095</t>
  </si>
  <si>
    <t>导热油泵</t>
  </si>
  <si>
    <t>上海凯士比泵有限公司</t>
  </si>
  <si>
    <t>甲方核定的调试合格报告及足额的发票后付20%的验收款</t>
  </si>
  <si>
    <t>YRKJEQ-170096</t>
  </si>
  <si>
    <t>起重机、电动葫芦</t>
  </si>
  <si>
    <t>河南省矿山起重机有限公司</t>
  </si>
  <si>
    <t>合同付款执行情况跟踪表汇总（工程合同）</t>
  </si>
  <si>
    <t>节点明细（工程合同）</t>
  </si>
  <si>
    <t>YRKJGC-150001</t>
  </si>
  <si>
    <t>软地基处理工程施工-软土区（155539.5米*358元/米）</t>
  </si>
  <si>
    <t>福建省东辰建设工程集团有限公司</t>
  </si>
  <si>
    <t>软基</t>
  </si>
  <si>
    <t>承兑/转账</t>
  </si>
  <si>
    <t>按每月实际进度结算并支付工程进度款的90%</t>
  </si>
  <si>
    <t>工程竣工验收合格后支付尾款</t>
  </si>
  <si>
    <t>YRKJGC-150003</t>
  </si>
  <si>
    <t>厂区测绘工程（地形、自然地面标高、标准坐标点等数据测量）</t>
  </si>
  <si>
    <t>福建地智信息技术有限公司</t>
  </si>
  <si>
    <t>无标明</t>
  </si>
  <si>
    <t>按月按进度每月25日向甲方报当月的实际完成工程量，支付工程款的80%</t>
  </si>
  <si>
    <t>经甲方验收通过且所有资料与甲方交接完毕后支付至90%</t>
  </si>
  <si>
    <t>乙方提交结算书和竣工图纸，经甲方审核后办理交接手续后10个工作日内，付清</t>
  </si>
  <si>
    <t>YRKJGC-150002</t>
  </si>
  <si>
    <t>软地基处理工程施工-硬土区（196578.4米*256元/米）</t>
  </si>
  <si>
    <t>福建勘察基础工程公司</t>
  </si>
  <si>
    <t>YRKJGC-150004</t>
  </si>
  <si>
    <t>CPL建设工程监理及补充协议（金额不定）</t>
  </si>
  <si>
    <t>四川亿博工程项目管理有限公司</t>
  </si>
  <si>
    <t>监理人在合同约定每次付款前7日向委托人申请支付申请书</t>
  </si>
  <si>
    <t>YRKJGC-150007</t>
  </si>
  <si>
    <t xml:space="preserve"> -</t>
  </si>
  <si>
    <t>软地基处理工程施工（软土311941平米*358元/M2，硬土113287平米*256元/M2）</t>
  </si>
  <si>
    <t>江苏地质基桩工程公司</t>
  </si>
  <si>
    <t>按月结算，次月支付</t>
  </si>
  <si>
    <t>YRKJGC-150012</t>
  </si>
  <si>
    <t>软地基处理工程施工-软土区（181500平米*358元/米2）</t>
  </si>
  <si>
    <t>软地基政府补贴已到账2.1亿元，已申请未到账4732万元</t>
  </si>
  <si>
    <t>YRKJGC-150009</t>
  </si>
  <si>
    <t>沙盘模型1套（展厅参观）</t>
  </si>
  <si>
    <t>浏阳市南方科技展览模型有限公司</t>
  </si>
  <si>
    <t>预付款10%</t>
  </si>
  <si>
    <t>验收合格支付85%</t>
  </si>
  <si>
    <t>建设工程勘察（岩土详细勘察）</t>
  </si>
  <si>
    <t>福建省建筑工程质量检测中心有限公司</t>
  </si>
  <si>
    <t>检测验收后按实际工程量结算，提供正式报告后支付85%，最终结算支付15%；详细勘察工程按月结算进度款的60%，提供合格成果后支付20%，全厂土建现场服务完成后支付15%，竣工验收1奶奶后支付5%。所有均需要专票。</t>
  </si>
  <si>
    <t>建设工程勘察（补充勘察）58元/米</t>
  </si>
  <si>
    <t>福建省建研工程顾问有限公司</t>
  </si>
  <si>
    <t>每月按实际工程量结算进度款60%，验收及提交合格成果后支付20%</t>
  </si>
  <si>
    <t>全厂土建勘察服务完成后支付15%</t>
  </si>
  <si>
    <t>质保金5%，1年</t>
  </si>
  <si>
    <t>福建省建筑工程质量检测中心有限公司/福建省建研工程顾问有限公司</t>
  </si>
  <si>
    <t>YRKJZB-150001</t>
  </si>
  <si>
    <t>管桩（4000米*125元/米）</t>
  </si>
  <si>
    <t>福建翔达管桩有限公司</t>
  </si>
  <si>
    <t>货到付款，每次供货1000米，验收合格，卖方提供等额的收据给甲方后5日支付，卖方收到货款后3个工作日内提供17%的专票给甲方</t>
  </si>
  <si>
    <t>YRKJGC-150011</t>
  </si>
  <si>
    <t>三修车间、硫铵仓库、地磅基础试桩及工程桩工程</t>
  </si>
  <si>
    <t>按月结算，进度款的80%</t>
  </si>
  <si>
    <t>工程竣工验收合格后支付15%</t>
  </si>
  <si>
    <t>质保期1年后付5%</t>
  </si>
  <si>
    <t>YRKJGC-160002</t>
  </si>
  <si>
    <t>厂区道路路基处理工程（488元/M2*135000M2）</t>
  </si>
  <si>
    <t>湖南省湘天建设工程有限公司</t>
  </si>
  <si>
    <t>厂区道路及水沟、围墙等工程</t>
  </si>
  <si>
    <t>中国化学工程第十三建设有限公司</t>
  </si>
  <si>
    <t>工程：按实际工程量支付80%。履约保证金40万，工程量1/3退还；道路：路基施工验收合格支付40%，路面施工验收合格，支付40%，竣工支付15%，5%质保金</t>
  </si>
  <si>
    <t>竣工结算支付15%</t>
  </si>
  <si>
    <t>电力工程设计（配套输变电工程方案设计）</t>
  </si>
  <si>
    <t>莆田荔源电力勘察设计有限公司</t>
  </si>
  <si>
    <t>合同生效，支付20%预付款</t>
  </si>
  <si>
    <t>基础设计完成并提交全部文件资料，开具合同50%的6%专票后支付30%</t>
  </si>
  <si>
    <t>在全套施工图纸及接入系统等文件通知通过相关部门会审，开具50%专票后支付30%</t>
  </si>
  <si>
    <t>工程送电成功并稳定运行一个月后支付20%</t>
  </si>
  <si>
    <t>水泥空心砖（2.05元/块），水泥标砖（0.28元/块）</t>
  </si>
  <si>
    <t>莆田市秀屿区东庄荔锦水泥制砖场</t>
  </si>
  <si>
    <t>承兑</t>
  </si>
  <si>
    <t>每月5日之前支付上个月货款进行结算，提供3%的增值税发票</t>
  </si>
  <si>
    <t>软基处理A标段A地块回填工程</t>
  </si>
  <si>
    <t>莆田市兴发工程有限公司</t>
  </si>
  <si>
    <t>按每月实际进度结算并支付工程进度款的80%。乙方10万元投标保证金转履约保证金</t>
  </si>
  <si>
    <t>实际工程测量结束后，送审计复核后支付至95%</t>
  </si>
  <si>
    <t>6个月后在30天内支付剩余的5%</t>
  </si>
  <si>
    <t>YRKJGC-160001</t>
  </si>
  <si>
    <t>水泥管带钢筋（466根*140元/根）</t>
  </si>
  <si>
    <t>莆田市永腾新型建材有限公司</t>
  </si>
  <si>
    <t>预付款60%</t>
  </si>
  <si>
    <t>货到一个月内付清，全额普票</t>
  </si>
  <si>
    <t>YRKJGC-160003</t>
  </si>
  <si>
    <t>LNG输送技术咨询</t>
  </si>
  <si>
    <t>福建省石油化学工业设计院</t>
  </si>
  <si>
    <t>乙方提供初步方案报告前，全额转账，乙方收到款后一周开具专票</t>
  </si>
  <si>
    <t>QS-16-048</t>
  </si>
  <si>
    <t>建筑工程施工图文件审查</t>
  </si>
  <si>
    <t>泉州市建设工程施工图审查中心有限公司</t>
  </si>
  <si>
    <t>乙方完成施工图意见或报告前，全额付清</t>
  </si>
  <si>
    <t>YRKJ-2016GC-JLHT0001</t>
  </si>
  <si>
    <t>建设工程监理</t>
  </si>
  <si>
    <t>每月支付上月监理服务费，含发票</t>
  </si>
  <si>
    <t>YRKJ-2016GC-SGHT001</t>
  </si>
  <si>
    <t>三修车间、物装一车间、物装二车间工程施工</t>
  </si>
  <si>
    <t>中化二建集团有限公司</t>
  </si>
  <si>
    <t>结构施工到+-0.000完成，支付20%</t>
  </si>
  <si>
    <t>结构施工到屋面，支付20%</t>
  </si>
  <si>
    <t>主体完成，支付20%</t>
  </si>
  <si>
    <t>验收合格，支付20%</t>
  </si>
  <si>
    <t>竣工验收合格，支付15%</t>
  </si>
  <si>
    <t>质保期5%，1年</t>
  </si>
  <si>
    <t>QS-16-071</t>
  </si>
  <si>
    <t>YRKJGC-160004</t>
  </si>
  <si>
    <t>方桩（10380米*200元/米）</t>
  </si>
  <si>
    <t>福建建华建材有限公司</t>
  </si>
  <si>
    <t>收到乙方17%专票后，安排货款</t>
  </si>
  <si>
    <t>YRKJ-2016GC-SGHT002</t>
  </si>
  <si>
    <t>厂前区桩基工程</t>
  </si>
  <si>
    <t>YRKJGC-160005</t>
  </si>
  <si>
    <t>管桩（420米*127元/米）</t>
  </si>
  <si>
    <t>福建峻兴管桩有限公司</t>
  </si>
  <si>
    <t>收到管桩及全额发票后支付</t>
  </si>
  <si>
    <t>YRKJGC-170004</t>
  </si>
  <si>
    <t>管桩(6000米*157.9元/米）</t>
  </si>
  <si>
    <t>福建宝丰管桩有限公司</t>
  </si>
  <si>
    <t>有机物料罐组51支，中间罐组191支</t>
  </si>
  <si>
    <t>货到付款，每次供货3000米，收到等额的17%专票后5个工作日支付</t>
  </si>
  <si>
    <t>YRKJGC-160008-1</t>
  </si>
  <si>
    <t>管桩（5580米*170元/米） 无合同</t>
  </si>
  <si>
    <t>货到付款，每次供货3000米，验收合格，卖方提供等额的收据给甲方后5日支付，卖方收到货款后5个工作日内提供17%的专票给甲方</t>
  </si>
  <si>
    <t>YRKJGC-160007</t>
  </si>
  <si>
    <t>三修车间智能化系统工程承揽</t>
  </si>
  <si>
    <t>莆田市广汇电脑有限公司</t>
  </si>
  <si>
    <t>6个月承兑汇票/电汇按中国银行贷款利率下浮</t>
  </si>
  <si>
    <t>甲方验收合格后，收到100%的增值税发票后支付合同80%的价款</t>
  </si>
  <si>
    <t>甲方收到竣工图纸，办理交接手续30日内支付10%</t>
  </si>
  <si>
    <t>质量保证金10%，验收合格1年后退还</t>
  </si>
  <si>
    <t>YRKJGC-160008</t>
  </si>
  <si>
    <t>管桩（13200米*138元/米）</t>
  </si>
  <si>
    <t>YRKJ-2016GC-SGHT003</t>
  </si>
  <si>
    <t>有机物料、苯罐组、液己罐、苯己罐桩基工程</t>
  </si>
  <si>
    <t>8000元</t>
  </si>
  <si>
    <t>QS-16-152</t>
  </si>
  <si>
    <t>YRKJGC-160010</t>
  </si>
  <si>
    <t>联锁块（133200块*1.24元/块）</t>
  </si>
  <si>
    <t>货到交货地点验收合格后，收到全额发票支付</t>
  </si>
  <si>
    <t>YRKJGC-170001</t>
  </si>
  <si>
    <t>软基检测（场地沉降监测）</t>
  </si>
  <si>
    <t>福建省建筑设计研究院</t>
  </si>
  <si>
    <t>软基处理7万元</t>
  </si>
  <si>
    <t>全部施工完毕验收合格，收到全额专票后的10-15个工作日付全款</t>
  </si>
  <si>
    <t>YRKJGC-160011</t>
  </si>
  <si>
    <t>水泥空心砖（2.05元/块），水泥标砖（0.28元/块） 补合同</t>
  </si>
  <si>
    <t>YRKJ-2017GC-SGHT002</t>
  </si>
  <si>
    <t>三修车间等工程周边联锁块道路工程</t>
  </si>
  <si>
    <t>福建省福清市嘉盛建设工程有限公司</t>
  </si>
  <si>
    <t>按月支付工程进度款的80%</t>
  </si>
  <si>
    <t>质量保证期6个月后支付5%</t>
  </si>
  <si>
    <t>YRKJ-2017GC-SGHT001</t>
  </si>
  <si>
    <t>安环值班室</t>
  </si>
  <si>
    <t>中国化学工程第三建设有限公司</t>
  </si>
  <si>
    <t>基础承台至底层框架施工</t>
  </si>
  <si>
    <t>二层层面主体框架结构施工</t>
  </si>
  <si>
    <t>底层至层面维护墙施工</t>
  </si>
  <si>
    <t>内外墙砂浆粉刷施工、内围墙装修施工、室内地面、卫生间施工、门窗施工</t>
  </si>
  <si>
    <t>水电安装施工、零星工程收尾</t>
  </si>
  <si>
    <t>保固期满</t>
  </si>
  <si>
    <t>管控中心</t>
  </si>
  <si>
    <t>内外墙砂浆粉刷施工</t>
  </si>
  <si>
    <t>内外墙装修施工</t>
  </si>
  <si>
    <t>室内地面、卫生间施工</t>
  </si>
  <si>
    <t>门窗施工</t>
  </si>
  <si>
    <t>水电安装施工8%；零星工程收尾5%；保固期满5%</t>
  </si>
  <si>
    <t>分析中心</t>
  </si>
  <si>
    <t>食堂</t>
  </si>
  <si>
    <t>消防站、训练塔</t>
  </si>
  <si>
    <t>厂前区大门、南大门</t>
  </si>
  <si>
    <t>所有装修施工完成</t>
  </si>
  <si>
    <t>零星工程收尾</t>
  </si>
  <si>
    <t>费率总价让利15%，暂定总价为5156万元</t>
  </si>
  <si>
    <t>厂前区项目土建工程</t>
  </si>
  <si>
    <t>18万元</t>
  </si>
  <si>
    <t>YRKJGC-170002</t>
  </si>
  <si>
    <t>连锁块（53000块*1.24元/块）</t>
  </si>
  <si>
    <t>总图运输65720元</t>
  </si>
  <si>
    <t>货到交货点验收合格，收到全额发票后，支付全额</t>
  </si>
  <si>
    <t>YRKJ-2017GC-JLHT0001</t>
  </si>
  <si>
    <t>厂前区项目土建工程监理</t>
  </si>
  <si>
    <t>上海协同工程咨询有限公司</t>
  </si>
  <si>
    <t>建筑物基础承台完20%</t>
  </si>
  <si>
    <t>建筑物主体结构施工完20%</t>
  </si>
  <si>
    <t>建筑物装饰工程施工完20%</t>
  </si>
  <si>
    <t>公用工程、配套工程及总图工程完20%</t>
  </si>
  <si>
    <t>建筑物中间交接验收完20%</t>
  </si>
  <si>
    <t>竣工完成（保函竣工资料完成）</t>
  </si>
  <si>
    <t>工程竣工验收合格并完成交接手续后支付尾款</t>
  </si>
  <si>
    <t>YRKJGC-170003</t>
  </si>
  <si>
    <t>设计费</t>
  </si>
  <si>
    <t>中国天辰工程有限公司</t>
  </si>
  <si>
    <t>合同生效一周内，支付设计费的15%</t>
  </si>
  <si>
    <t>收到承包人提供初步设计文件10个工作日内，支付35%</t>
  </si>
  <si>
    <t>收到承包人提供的非标设备图10个工作日内，支付10%</t>
  </si>
  <si>
    <t>收到承包人提供的工艺装置土建图的10个工作日内，支付5%</t>
  </si>
  <si>
    <t>收到承包人提供的施工图设计文件10个工作日内，支付10%</t>
  </si>
  <si>
    <t>收到承包人提供的操作手册15个工作日内，支付5%</t>
  </si>
  <si>
    <t>投料开车产出合格环己酮后15个工作日内，支付10%</t>
  </si>
  <si>
    <t>性能考核合格后15个工作日内，支付10%</t>
  </si>
  <si>
    <t>采购服务费</t>
  </si>
  <si>
    <t>从参与招标第一个月开始，前6个月每月支付15%</t>
  </si>
  <si>
    <t>采购服务完成后支付10%</t>
  </si>
  <si>
    <t>施工管理费</t>
  </si>
  <si>
    <t>合同生效，支付10%预付款</t>
  </si>
  <si>
    <t>按月根据进度计量体系支付，每月5日支付上月经监理单位和发包人审核的工程进度的95%,总额支付不超过95%，停止发放。</t>
  </si>
  <si>
    <t>装置机械竣工后支付至100%</t>
  </si>
  <si>
    <t>初次采购催化剂</t>
  </si>
  <si>
    <t>另行商议</t>
  </si>
  <si>
    <t>环己酮装置设计服务(环己酮预算范围内管控） 合同未拿</t>
  </si>
  <si>
    <t>YRKJGC-170005</t>
  </si>
  <si>
    <t>方桩（5500米*250元/米）</t>
  </si>
  <si>
    <t>福州市鸿生建材有限公司</t>
  </si>
  <si>
    <t>雨水收集池、事故水收集池、硫铵仓库、氨肟化装置、己内酰胺装置、动力站、新增化粪池、N段管架等桩基施工</t>
  </si>
  <si>
    <t>货到付款，每次供货3000米，收到等额的17%专票后5个工作日支付。贴息费由对方提供</t>
  </si>
  <si>
    <t>YRKJGC-170006</t>
  </si>
  <si>
    <t>管桩（15000米*150元/米+15000米*217元/米）</t>
  </si>
  <si>
    <t>货到付款，每次供货10000米，验收合格，卖方提供等额的收据给甲方后5日支付，卖方收到货款后3个工作日内提供17%的专票给甲方</t>
  </si>
  <si>
    <t>YRKJ-2017GC-SGHT004</t>
  </si>
  <si>
    <t xml:space="preserve">桩基打桩工程第1标段施工合同书（预应力非一体化管桩24元/米，一体化22.5元/米） </t>
  </si>
  <si>
    <t>福建省岩田基础工程技术有限公司</t>
  </si>
  <si>
    <t>按月支付工程款，支付当月已验收完工对应价的80%，工程竣工验收合格后付清余款。现金支付，则价格下浮1.5%，对方提供11%专票后付款</t>
  </si>
  <si>
    <t>5万元</t>
  </si>
  <si>
    <t>YRKJ-2017GC-SGHT005</t>
  </si>
  <si>
    <t>桩基打桩工程第2标段施工合同书（预应力非一体化管桩24元/米，一体化22.4元/米）</t>
  </si>
  <si>
    <t>湖北建东勘察基础工程有限公司</t>
  </si>
  <si>
    <t>按月支付工程款，支付当月已验收完工对应价的80%，工程竣工验收合格后付清余款。现金支付，则价格下浮2%，对方提供11%专票后付款</t>
  </si>
  <si>
    <t>YRKJGC-170010</t>
  </si>
  <si>
    <t>预应力管桩（7万米*169元/米）</t>
  </si>
  <si>
    <t>货到付款，每次供货1万米，验收合格，卖方提供等额的收据给甲方后5日支付，卖方收到货款后3个工作日内提供17%的专票给甲方</t>
  </si>
  <si>
    <t>YRKJGC-170007</t>
  </si>
  <si>
    <t>（施工生活区临时）配电箱</t>
  </si>
  <si>
    <t>祥华科技有限公司</t>
  </si>
  <si>
    <t>临时设施费2.5万元</t>
  </si>
  <si>
    <t>货到验收合格后，收到100%发票后付清，接受反向贴息</t>
  </si>
  <si>
    <t>YRKJGC-170008</t>
  </si>
  <si>
    <t>预应力管桩（5万米*175元/米）</t>
  </si>
  <si>
    <t>双氧水装置、环己酮装置、硫铵装置、循环水、中间罐组、原水净化站等桩基施工</t>
  </si>
  <si>
    <t>货到付款，每次供货1万米，验收合格，卖方提供等额的收据给甲方后3-5日支付，卖方收到货款后3个工作日内提供17%的专票给甲方</t>
  </si>
  <si>
    <t>YRKJ-2017GC-SGHT003</t>
  </si>
  <si>
    <t>桩基工程第II标段（水泥搅拌桩）单价包干28元</t>
  </si>
  <si>
    <t>6个月承兑汇票，费率1.5%</t>
  </si>
  <si>
    <t>无预付款，按月支付进度款，支付至验收完成工程对应价的80%，履约保证金9万，验收合格后3个月退还</t>
  </si>
  <si>
    <t>工程竣工验收合格后付清余款</t>
  </si>
  <si>
    <t>有HSE保证金</t>
  </si>
  <si>
    <t>YRKJGC-170009</t>
  </si>
  <si>
    <t>预应力管桩（3万米*167元/米）</t>
  </si>
  <si>
    <t>货到付款，每次供货5000米，验收合格，卖方提供等额的收据给甲方后5日支付，卖方收到货款后5个工作日内提供17%的专票给甲方</t>
  </si>
  <si>
    <t>YRKJ-2017GC-SGHT007</t>
  </si>
  <si>
    <t>桩基检测II标段工程</t>
  </si>
  <si>
    <t>厦门市工程检测中心有限公司</t>
  </si>
  <si>
    <t>检测工作结束，提交检测简报后，支付合同总价的60%</t>
  </si>
  <si>
    <t>提供正式检测报告后，支付至合同的80%</t>
  </si>
  <si>
    <t>经内部审计部门审计后，支付至95%</t>
  </si>
  <si>
    <t>项目竣工验收资料归档后支付尾款</t>
  </si>
  <si>
    <t>YRKJ-2017GC-SGHT006</t>
  </si>
  <si>
    <t>桩基检测I标段工程</t>
  </si>
  <si>
    <t>福建省永正工程质量检测有限公司</t>
  </si>
  <si>
    <t>提供正式的检测报告后，支付至合同的80%</t>
  </si>
  <si>
    <t>经招标人内部审计后，支付至95%</t>
  </si>
  <si>
    <t>YRKJGC-170012</t>
  </si>
  <si>
    <t>预应力管桩（5万米*173元/米）</t>
  </si>
  <si>
    <t>YRKJGC-170016</t>
  </si>
  <si>
    <t>动力站EPC工程监理合同</t>
  </si>
  <si>
    <t>福建省宏闽电力工程监理有限公司/福建经典工程咨询有限公司（联合体）</t>
  </si>
  <si>
    <t>合同暂定17个月，金额暂定918180每月25日前提供监理费申请资料，下月25日前支付，收到乙方6%专票后再予以支付</t>
  </si>
  <si>
    <t>YRKJGC-170012-1</t>
  </si>
  <si>
    <t>管桩（5870米*217元/米） 纸质、电子版未移交</t>
  </si>
  <si>
    <t>YRKJGC-170011</t>
  </si>
  <si>
    <t>管桩（50000*176元/米）</t>
  </si>
  <si>
    <t>YRKJGC-170014</t>
  </si>
  <si>
    <t>柴油（12.5吨*5750元/吨）</t>
  </si>
  <si>
    <t>福建省昆仑石化产品有限公司</t>
  </si>
  <si>
    <t>基本预备费71875元</t>
  </si>
  <si>
    <t>款到发货</t>
  </si>
  <si>
    <t>YRKJGC-170017</t>
  </si>
  <si>
    <t>工程报装和供气合同</t>
  </si>
  <si>
    <t>旷远能源股份有限公司</t>
  </si>
  <si>
    <t>YRKJGC-170019</t>
  </si>
  <si>
    <t>电气工具、仪器等买卖合同</t>
  </si>
  <si>
    <t>福州威德信机电有限公司</t>
  </si>
  <si>
    <t>工器具及生产用具购置费7.4万元</t>
  </si>
  <si>
    <t>电汇/承汇/信用证</t>
  </si>
  <si>
    <t>甲方验收合格后，收到100%的增值税发票后支付合同100%的价款</t>
  </si>
  <si>
    <t>YRKJGC-170023</t>
  </si>
  <si>
    <t>2017030072-1</t>
  </si>
  <si>
    <t>项目、工程施工管理监理第II标段</t>
  </si>
  <si>
    <t>岳阳长岭炼化方元建设监理咨询有限公司</t>
  </si>
  <si>
    <t>工程建设监理费2223004</t>
  </si>
  <si>
    <t>按月支付，收到6%专票后，每月支付该月的80%，工程完工并通过质量监督站验收，且监理资料移交业主后，支付剩余的20%服务费（如要求电汇，监理人应向委托人支付反向贴息3%/6个月）</t>
  </si>
  <si>
    <t>YRKJGC-170025</t>
  </si>
  <si>
    <t>方桩（15000米*322元/米）</t>
  </si>
  <si>
    <t>泉州泰景方桩有限公司</t>
  </si>
  <si>
    <t>环己酮装置、动力站装置、双氧水装置</t>
  </si>
  <si>
    <t>货到付款，每次供货5000米，验收合格，卖方提供发票给甲方后6个月的承兑汇票</t>
  </si>
  <si>
    <t>YRKJGC-170027</t>
  </si>
  <si>
    <t>吊车租赁（按台班结算）</t>
  </si>
  <si>
    <t>莆田市秀屿区笏石双雄吊车出租</t>
  </si>
  <si>
    <t>发票：机械租赁费17%，吊车费6%，甲方如需开票，税点另算。每月结算一次，收到发票后5天内支付</t>
  </si>
  <si>
    <t>YRKJGC-170026</t>
  </si>
  <si>
    <t>水泥砖（空心砖40000块*2.17元/块+标准砖4000块*0.28元/块）</t>
  </si>
  <si>
    <t>货到交货地点且验收合格后收到乙方全额发票后支付100%货款</t>
  </si>
  <si>
    <t>YRKJGC-170022</t>
  </si>
  <si>
    <t>项目、工程施工管理监理第I标段</t>
  </si>
  <si>
    <t>工程建设监理费409.5万元</t>
  </si>
  <si>
    <t>按月支付，收到6%专票后，每月支付该月的80%，工程完工并通过质量监督站验收，且监理资料移交业主后，支付剩余的20%服务费</t>
  </si>
  <si>
    <t>YRKJ-2017GC-SGHT008SGHT009</t>
  </si>
  <si>
    <t>1、无机物料罐组</t>
  </si>
  <si>
    <t>中国化学工程第十一建设有限公司</t>
  </si>
  <si>
    <t>按工程进度款支付80%</t>
  </si>
  <si>
    <t>尾款</t>
  </si>
  <si>
    <t>2、有机物料罐组</t>
  </si>
  <si>
    <t>3、苯罐组</t>
  </si>
  <si>
    <t>4、泡沫罐组</t>
  </si>
  <si>
    <t>5、液氨球罐组</t>
  </si>
  <si>
    <t>6、循环水1</t>
  </si>
  <si>
    <t>7、装卸车场（罐区）</t>
  </si>
  <si>
    <t>8、卸车场</t>
  </si>
  <si>
    <t>9、南门地磅</t>
  </si>
  <si>
    <t>10、西区配电所</t>
  </si>
  <si>
    <t>11、西区机柜室</t>
  </si>
  <si>
    <t>12、西区巡检室</t>
  </si>
  <si>
    <t>13、固废推场</t>
  </si>
  <si>
    <t>14、火柜</t>
  </si>
  <si>
    <t>15、东区配电所</t>
  </si>
  <si>
    <t>16、东区机柜室</t>
  </si>
  <si>
    <t>17、东区巡检室</t>
  </si>
  <si>
    <t>18、原水净化站</t>
  </si>
  <si>
    <t>19、废液焚烧（仅土建）</t>
  </si>
  <si>
    <t>厂前区土建工程施工(II标段）</t>
  </si>
  <si>
    <t>17万元</t>
  </si>
  <si>
    <t>YRKJ-2017GC-SGHT008</t>
  </si>
  <si>
    <t>1、空分装置（仅土建工程）</t>
  </si>
  <si>
    <t>2、硫铵仓库</t>
  </si>
  <si>
    <t>3、装车场</t>
  </si>
  <si>
    <t>4、北门地磅</t>
  </si>
  <si>
    <t>5、北区配电所</t>
  </si>
  <si>
    <t>6、事故水收集池及雨水收集池</t>
  </si>
  <si>
    <t>7、循环水场</t>
  </si>
  <si>
    <t>8、西北区配电所</t>
  </si>
  <si>
    <t>9、北区巡检室</t>
  </si>
  <si>
    <t>10、北区机柜室</t>
  </si>
  <si>
    <t>11、西北区机柜室</t>
  </si>
  <si>
    <t>12、西北区巡检室</t>
  </si>
  <si>
    <t>13、中间罐组</t>
  </si>
  <si>
    <t>14、液己罐组</t>
  </si>
  <si>
    <t>15、苯己罐组</t>
  </si>
  <si>
    <t>厂前区土建工程施工(I标段）</t>
  </si>
  <si>
    <t>YRKJ-2017GC-SGHT011</t>
  </si>
  <si>
    <t>租赁一台履带式液压单斗挖掘机施工</t>
  </si>
  <si>
    <t>泉州宏福工程机械租赁有限公司</t>
  </si>
  <si>
    <t>完成施工任务后，收到3%专票，15个工作日后一次性支付</t>
  </si>
  <si>
    <t>YRKJ-2017GC-SGHT010</t>
  </si>
  <si>
    <t>零星临时道路工程(工程施工框架协议）</t>
  </si>
  <si>
    <t>工程竣工验收合格后经一审和二审审核完成后，提供11%发屁后付工程款95%</t>
  </si>
  <si>
    <t>5%质保金，6个月后工程无质量问题退还</t>
  </si>
  <si>
    <t>YRKJGC-170028</t>
  </si>
  <si>
    <t>工程一切险及第三者责任险（17.6.20-18.10.31）</t>
  </si>
  <si>
    <t>中华联合财产保险股份有限公司</t>
  </si>
  <si>
    <t>6.25日之前付清</t>
  </si>
  <si>
    <t>2017.12.31之前付清</t>
  </si>
  <si>
    <t>YRKJGC-170030</t>
  </si>
  <si>
    <t>枕木等五金工具</t>
  </si>
  <si>
    <t>甲方收到核定验收合格报告及全额的发票后30日之内支付100%货款</t>
  </si>
  <si>
    <t>YRKJGC-170029</t>
  </si>
  <si>
    <t>蜗居房共6间</t>
  </si>
  <si>
    <t>莆田市秀屿区蜗居活动房有限公司</t>
  </si>
  <si>
    <t>YRKJGC-170032</t>
  </si>
  <si>
    <t>PRC管、管材等</t>
  </si>
  <si>
    <t>福州望远机电设备有限公司</t>
  </si>
  <si>
    <t>甲方收到货、发票后，10-15个工作日全额付清</t>
  </si>
  <si>
    <t>YRKJGC-170035</t>
  </si>
  <si>
    <t>地脚螺铨120套</t>
  </si>
  <si>
    <t>福州同进机电设备有限公司</t>
  </si>
  <si>
    <t>甲方收到核定验收合格报告及全额的发票后15日之内支付100%货款</t>
  </si>
  <si>
    <t>YRKJGC-170031</t>
  </si>
  <si>
    <t>玻璃钢管（44米*1012.73元/米）</t>
  </si>
  <si>
    <t>山东金光集团有限公司</t>
  </si>
  <si>
    <t>YRKJGC-170033</t>
  </si>
  <si>
    <t>CPL项目设备监造技术服务</t>
  </si>
  <si>
    <t>南京三方化工设备监理有限公司</t>
  </si>
  <si>
    <t>每三个月结算一次，依据甲方签字确认考勤表和乙方付款申请单，乙方开具发票，支付90%，余10%乙方提交报告和工作总结，产品验收合格一年后支付</t>
  </si>
  <si>
    <t>YRKJGC-170034</t>
  </si>
  <si>
    <t>合肥通安工程机械设备监理有限公司</t>
  </si>
  <si>
    <t>YRKJGC-170037</t>
  </si>
  <si>
    <t>B型结构壁管一批</t>
  </si>
  <si>
    <t>福建纳川管材科技股份有限公司</t>
  </si>
  <si>
    <t>合同签署后15工作日内，乙方开具合同总价的10%履约保函，有效期1年；10%的预付款保函后的15天内，支付10%预付款</t>
  </si>
  <si>
    <t>甲方收到货物，经验收合格，收到17%专票后支付当月实际货款的80%（每个月10号前支付）</t>
  </si>
  <si>
    <t>10%质保金，自验收合格，满12月或货到现场18个月支付</t>
  </si>
  <si>
    <t>YRKJGC-170042</t>
  </si>
  <si>
    <t>预应力管桩（5万米*166元/米）</t>
  </si>
  <si>
    <t>货到付款，每次供货10000米，收到等额的17%专票后5个工作日支付</t>
  </si>
  <si>
    <t>安装工程第三方无损检测（Ⅰ标段）</t>
  </si>
  <si>
    <t>北京蓝光恒远工业检测有限公司</t>
  </si>
  <si>
    <t>AG-KJ-20170001</t>
  </si>
  <si>
    <t>安装工程第三方无损检测（Ⅱ标段）</t>
  </si>
  <si>
    <t>福建省特安安全技术服务中心</t>
  </si>
  <si>
    <t>YRKJ-2017GC-SGHT012</t>
  </si>
  <si>
    <t>硫铵装置（不含硫铵仓库建筑工程）</t>
  </si>
  <si>
    <t>中国化学工程第十六建设有限公司</t>
  </si>
  <si>
    <t>按实际完成工程价款的80%支付</t>
  </si>
  <si>
    <t>冷冻站（仅土建部分）</t>
  </si>
  <si>
    <t>冷凝水站（不含部分成套设备）</t>
  </si>
  <si>
    <t>北区机柜室</t>
  </si>
  <si>
    <t>西北区机柜室</t>
  </si>
  <si>
    <t>北区巡检室</t>
  </si>
  <si>
    <t>西北区巡检室</t>
  </si>
  <si>
    <t>北区配电所</t>
  </si>
  <si>
    <t>尾数差调整</t>
  </si>
  <si>
    <t>建筑安装工程(Ⅰ标段)</t>
  </si>
  <si>
    <t>21万元</t>
  </si>
  <si>
    <t>YRKJ-2017GC-SGHT013</t>
  </si>
  <si>
    <t>建筑安装工程(Ⅱ标段)</t>
  </si>
  <si>
    <t>YRKJ-2017GC-SGHT014</t>
  </si>
  <si>
    <t xml:space="preserve">建筑安装工程(Ⅲ标段) </t>
  </si>
  <si>
    <t>无预付款，按月支付进度款，支付至验收完成工程对应价的80%</t>
  </si>
  <si>
    <t>YRKJGC-170045</t>
  </si>
  <si>
    <t>10KV电力电缆协议</t>
  </si>
  <si>
    <t>甲方到乙方检验合格，签发发货同意书，收到全额17%专票，支付80%货款；乙方提供60万履约保函</t>
  </si>
  <si>
    <t>安装验收合格后15个工作日支付15%</t>
  </si>
  <si>
    <t>5%质保金，自验收合格，满12月或货到现场18个月支付</t>
  </si>
  <si>
    <t>YRKJGC-170046-0001</t>
  </si>
  <si>
    <t>江苏上上电缆集团有限公司</t>
  </si>
  <si>
    <t>甲方到乙方检验合格，签发发货同意书，收到全额17%专票，支付80%货款；乙方提供60万履约保函；乙方开具100万预付款保函，甲方支付100万元预付款，在最后一笔订单支付80%中扣除，多退少补</t>
  </si>
  <si>
    <t>YRKJGC-170046</t>
  </si>
  <si>
    <t>预付款</t>
  </si>
  <si>
    <t>YRKJGC-170047</t>
  </si>
  <si>
    <t>福建南平太阳电缆股份有限公司</t>
  </si>
  <si>
    <t>甲方到乙方检验合格，签发发货同意书，收到全额17%专票，支付80%货款；乙方提供60万履约保函；乙方开具50万预付款保函，甲方支付50万元预付款，在最后一笔订单支付80%中扣除，多退少补</t>
  </si>
  <si>
    <t>YRKJGC-170044</t>
  </si>
  <si>
    <t>明星电缆销售有限公司</t>
  </si>
  <si>
    <t>甲方到乙方检验合格，签发发货同意书，收到全额17%专票，支付80%货款；乙方提供60万履约保函；乙方开具50万预付款保函，甲方支付50万元预付款，在最后一笔订单支付81%中扣除，多退少补</t>
  </si>
  <si>
    <t>安装验收合格后15个工作日支付16%</t>
  </si>
  <si>
    <t>5%质保金，自验收合格，满12月或货到现场19个月支付</t>
  </si>
  <si>
    <t>YRKJGC-170053</t>
  </si>
  <si>
    <t>控制电缆</t>
  </si>
  <si>
    <t>甲方收到货、发票后，10-15个工作日支付100%</t>
  </si>
  <si>
    <t>YRKJGC-170052</t>
  </si>
  <si>
    <t>阻燃交联屏蔽控制电缆-A级阻燃</t>
  </si>
  <si>
    <t>临时库房工程</t>
  </si>
  <si>
    <t>中鑫建设集团有限公司</t>
  </si>
  <si>
    <t>临时设施费</t>
  </si>
  <si>
    <t>承包人按图纸或甲方要求施工完成，工程竣工验收合格交付甲方使用后支付工程款90%</t>
  </si>
  <si>
    <t>YRKJGC-170051-1</t>
  </si>
  <si>
    <t>不锈钢板</t>
  </si>
  <si>
    <t>江苏大明金属制品有限公司</t>
  </si>
  <si>
    <t>甲方收到20%履约保函和收据，7个工作日支付20%预付款</t>
  </si>
  <si>
    <t>甲方去乙方工厂验收，完成后，5个工作日支付60%发货款，开具全额发票</t>
  </si>
  <si>
    <t>货到现场，甲方5个工作日内验收合格支付15%验收款</t>
  </si>
  <si>
    <t>5%质量保证金</t>
  </si>
  <si>
    <t>YRKJGC-170054</t>
  </si>
  <si>
    <t>YRKJGC-170043</t>
  </si>
  <si>
    <t>哈氏合金材料一批</t>
  </si>
  <si>
    <t>上海一郎合金材料有限公司</t>
  </si>
  <si>
    <t>甲方收到10%履约保函和等额发票，15个工作日支付20%预付款</t>
  </si>
  <si>
    <t>甲方去乙方工厂验收，完成后，5个工作日支付60%发货款，开具等额发票</t>
  </si>
  <si>
    <t>甲方经核定调试合格报告及本合同的足额发票后15个工作日支付10%调试款</t>
  </si>
  <si>
    <t>10%质量保证金</t>
  </si>
  <si>
    <t>AG-KJ-20170004</t>
  </si>
  <si>
    <t>三修车间-厂前区主路联锁块道路工程</t>
  </si>
  <si>
    <t>工程竣工验收合格支付至90%</t>
  </si>
  <si>
    <t>质量保证期12个月</t>
  </si>
  <si>
    <t>YRKJGC-170041</t>
  </si>
  <si>
    <t>消防管件一批</t>
  </si>
  <si>
    <t>泉州市中天石油化工机械制造有限公司</t>
  </si>
  <si>
    <t>6个月承兑汇票/电汇下浮按银行贷款利率</t>
  </si>
  <si>
    <t>甲方收到货、发票后，10-15个工作日支付95%</t>
  </si>
  <si>
    <t>YRKJGC-170051</t>
  </si>
  <si>
    <t>2017070048/2017080089</t>
  </si>
  <si>
    <t>电气材料</t>
  </si>
  <si>
    <t>莆田冠亿自动化科技有限公司</t>
  </si>
  <si>
    <t>合同付款执行情况跟踪表汇总（其他合同/服务合同）</t>
  </si>
  <si>
    <t>节点明细（其他合同）</t>
  </si>
  <si>
    <t>环境影响评价</t>
  </si>
  <si>
    <t>福建省环境科学研究院</t>
  </si>
  <si>
    <t>合同签订后5个工作日支付100万</t>
  </si>
  <si>
    <t>乙方提交报告书5个工作日内支付60万</t>
  </si>
  <si>
    <t>乙方提交报告书（报批本）后5个工作日</t>
  </si>
  <si>
    <t>另外支付送钱</t>
  </si>
  <si>
    <t>地下水环境评价</t>
  </si>
  <si>
    <t>核工业鹰潭工程勘察院</t>
  </si>
  <si>
    <t>合同签订10个工作日支付30%预付款</t>
  </si>
  <si>
    <t>提交最终专题报告后支付5万</t>
  </si>
  <si>
    <t>项目通过环评审批后支付5万</t>
  </si>
  <si>
    <t>WMZX2015017</t>
  </si>
  <si>
    <t>安全预评估</t>
  </si>
  <si>
    <t>福建省为民安全工程师咨询服务中心</t>
  </si>
  <si>
    <t>合同签订收到乙方正式发票后15个工作日支付50%</t>
  </si>
  <si>
    <t>报告书经专家确认后，收到全部发票后支付50%</t>
  </si>
  <si>
    <t>护卫保安服务</t>
  </si>
  <si>
    <t>福建特护保安有限公司南安分公司</t>
  </si>
  <si>
    <t>次月20日之前支付本月服务费</t>
  </si>
  <si>
    <t>K1507</t>
  </si>
  <si>
    <t>社会稳定风险分析篇章</t>
  </si>
  <si>
    <t>厦门华旸建筑工程设计有限公司</t>
  </si>
  <si>
    <t>篇章报审稿提交后10个工作日支付30%</t>
  </si>
  <si>
    <t>评估通过后10个工作日付清</t>
  </si>
  <si>
    <t>临时接电费，暂收12.4万，临时接电结束退还</t>
  </si>
  <si>
    <t>国网福建省电力有限公司莆田供电公司</t>
  </si>
  <si>
    <t>合同签订一次性支付</t>
  </si>
  <si>
    <t>莆海域2015年出字04号</t>
  </si>
  <si>
    <t>海域土地费（50年）</t>
  </si>
  <si>
    <t>莆田市财政局</t>
  </si>
  <si>
    <t>合同签订10日之内一次性付清。定金2636806元，取得使用权证书后退回</t>
  </si>
  <si>
    <t>莆海域2015年出字05号</t>
  </si>
  <si>
    <t>合同签订10日之内一次性付清。定金4028653元，取得使用权证书后退回</t>
  </si>
  <si>
    <t>EVERSUN201506</t>
  </si>
  <si>
    <t>湖南百利设计费</t>
  </si>
  <si>
    <t>湖南百利工程科技股份有限公司</t>
  </si>
  <si>
    <t>非装置</t>
  </si>
  <si>
    <t>合同签订且甲方收到乙方对应金额的正式发票后，甲方在三十天内向乙方支付设计费的15%，作为定金。</t>
  </si>
  <si>
    <t>乙方向甲方提交长周期设备数据表或工程图及用于长周期设备采购文件，甲方需咋一周内进行确认，确认后三十天内，甲方支付设计费的5%</t>
  </si>
  <si>
    <t>乙方基础工程设计文件审查后，甲方在30天内甲方向乙方支付设计费30%</t>
  </si>
  <si>
    <t>乙方向甲方提交工艺管道及仪表流程图PID,甲方需在一周内进行确认，确认后三十天内，甲方支付设计费5%</t>
  </si>
  <si>
    <t>乙方向甲方提供主要建构筑物的土建施工图，甲方需在一周内进行确认，确认后30天内向乙方支付设计费的30%</t>
  </si>
  <si>
    <t>乙方向甲方提交全部详细工程设计文件，甲方需在一周内进行确认，30天内支付设计费的30%</t>
  </si>
  <si>
    <t>待本合同项下所有工厂装置性能考核合格，项目开车成功后3个月内，甲方向乙方支付至设计费的100%。</t>
  </si>
  <si>
    <t>莆秀国土资出字（2015）10号</t>
  </si>
  <si>
    <t>土地费（433816平米*144元/平米）</t>
  </si>
  <si>
    <t>莆田市国土资源局秀屿分局</t>
  </si>
  <si>
    <t>合同签订60日之内一次性付清</t>
  </si>
  <si>
    <t>海域前期费用结算单</t>
  </si>
  <si>
    <t>莆田市海洋与渔业环境监测站</t>
  </si>
  <si>
    <t>合同签订10个工作日一次性支付</t>
  </si>
  <si>
    <t>莆秀国土资出字（2016）2号</t>
  </si>
  <si>
    <t>土地费</t>
  </si>
  <si>
    <t>HZPJY(2016)-01</t>
  </si>
  <si>
    <t>化工职业病预评价</t>
  </si>
  <si>
    <t>北京化工职业病防治院</t>
  </si>
  <si>
    <t>合同签订5个工作日支付20%</t>
  </si>
  <si>
    <t>安监局组织召开审核会议前5日支付30%</t>
  </si>
  <si>
    <t>通过国家行政主管部门备案批复后5个工作日，支付50%</t>
  </si>
  <si>
    <t>排污权交易（60万吨）</t>
  </si>
  <si>
    <t>仙游县环境保护局</t>
  </si>
  <si>
    <t>排污权交易（付款60万吨排污费，本次一期工程按20万吨算）</t>
  </si>
  <si>
    <t>YRKJGC-170018</t>
  </si>
  <si>
    <t>HAZOP技术咨询分析</t>
  </si>
  <si>
    <t>北京思创信息系统有限公司</t>
  </si>
  <si>
    <t>本合同生效后5日内，乙方提交本合同100%总额发票后，甲方支付咨询费预付款28000</t>
  </si>
  <si>
    <t>乙方提交技术咨询电子版报告经过甲方验收后5日内，支付咨询费用余款70000，甲方支付完成后乙方提交盖章的纸质版报告。</t>
  </si>
  <si>
    <t>YRKJGC-170024</t>
  </si>
  <si>
    <t xml:space="preserve">关于己内酰胺项目管理框架协议 </t>
  </si>
  <si>
    <t>东洋工程（上海）有限公司</t>
  </si>
  <si>
    <t>收到东洋出具发票后15天内支付给东洋指定账户</t>
  </si>
  <si>
    <t>意大利专有技术费</t>
  </si>
  <si>
    <t>意大利（IPT Srl)</t>
  </si>
  <si>
    <t>合同签订且收到单据发票后100%支付</t>
  </si>
  <si>
    <t>JPCT120015</t>
  </si>
  <si>
    <t>工程设计及技术服务</t>
  </si>
  <si>
    <t>京鼎工程建设有限公司</t>
  </si>
  <si>
    <t>合同半路终止</t>
  </si>
  <si>
    <t>JPCT120016</t>
  </si>
  <si>
    <t>建设工程项目合同</t>
  </si>
  <si>
    <t>北京华福工程有限公司</t>
  </si>
  <si>
    <t>锦江石化转永荣科技</t>
  </si>
  <si>
    <t>莆海域2015年出字04号、05号、莆秀国土资出字（2015）10号 （2016）2号</t>
  </si>
  <si>
    <t>土地费政府补贴9780万元，II期建设土地费733.28万元</t>
  </si>
  <si>
    <t>莆田市财政局、莆田市国土资源局秀屿分局</t>
  </si>
  <si>
    <t>政府补贴</t>
  </si>
  <si>
    <t>管理费暂估</t>
  </si>
  <si>
    <t>永荣科技</t>
  </si>
  <si>
    <t>YRKJXZ-160004</t>
  </si>
  <si>
    <t>房租房用家具类（床、床头柜、衣柜、书桌等）</t>
  </si>
  <si>
    <t>福州市仓山区恒通日用品经营部</t>
  </si>
  <si>
    <t>货到验收合格收到全额发票后支付95%</t>
  </si>
  <si>
    <t>YRKJXZ-160005</t>
  </si>
  <si>
    <t>访客一体机1台</t>
  </si>
  <si>
    <t>福建聚众科技有限公司</t>
  </si>
  <si>
    <t>YRKJXZ-160006</t>
  </si>
  <si>
    <t>TCL液晶电视21台*1050元/台</t>
  </si>
  <si>
    <t>福建广电网络集团有限公司莆田分公司</t>
  </si>
  <si>
    <t>收到发票，验收合格支付</t>
  </si>
  <si>
    <t>卓创资讯网站（化工网、钢铁网等商务信息）</t>
  </si>
  <si>
    <t>山东卓创资讯集团有限公司</t>
  </si>
  <si>
    <t>YRKJXZ-160008</t>
  </si>
  <si>
    <t>联想笔记本电脑1台</t>
  </si>
  <si>
    <t>福州威迅电子有限公司</t>
  </si>
  <si>
    <t>YR-TGA-01-03</t>
  </si>
  <si>
    <t>597人才网服务（16.8.1-18.8.1）</t>
  </si>
  <si>
    <t>莆田伍玖柒网络科技有限公司</t>
  </si>
  <si>
    <t>全额</t>
  </si>
  <si>
    <t>YRKJXZ-160007</t>
  </si>
  <si>
    <t>办公及宿舍家具（圆桌、凳子、茶几等）</t>
  </si>
  <si>
    <t>收到发票，验收合格支付95%</t>
  </si>
  <si>
    <t>5%质保金，一年</t>
  </si>
  <si>
    <t>YRKJXZ-160010</t>
  </si>
  <si>
    <t>聚丙烯管402米*64元/米</t>
  </si>
  <si>
    <t>福州万年通管道材料有限公司</t>
  </si>
  <si>
    <t>合同生效后支付10%预付款</t>
  </si>
  <si>
    <t>到货并收到全额发票后支付90%</t>
  </si>
  <si>
    <t>YRKJGC-160009</t>
  </si>
  <si>
    <t>道闸1套（合同未拿，详见17年4月记88凭证）</t>
  </si>
  <si>
    <t>甲方收到货款验收合格以及全额的发票后15个工作日支付90%的货款</t>
  </si>
  <si>
    <t>YRKJXZ-160015</t>
  </si>
  <si>
    <t>奠基石1套</t>
  </si>
  <si>
    <t>惠安凯石石业有限公司</t>
  </si>
  <si>
    <t>25%预付款</t>
  </si>
  <si>
    <t>收到货，收到全额发票后付清</t>
  </si>
  <si>
    <t>YRKJXZ-170001</t>
  </si>
  <si>
    <t>三修车间办公家具</t>
  </si>
  <si>
    <t>货到交货地点验收合格后，收到100%专票17%后支付95%</t>
  </si>
  <si>
    <t>质量保证金5%</t>
  </si>
  <si>
    <t>YRKJXZ-170002</t>
  </si>
  <si>
    <t>专项法律顾问服务</t>
  </si>
  <si>
    <t>福建天衡联合（福州）律师事务所</t>
  </si>
  <si>
    <t>乙方提供增值税发票，合同签订5个工作日之内支付50%</t>
  </si>
  <si>
    <t>乙方提交尽职报告之日5个工作日内支付剩余的50%</t>
  </si>
  <si>
    <t>YRKJXZ-170003</t>
  </si>
  <si>
    <t>增补三修车间办公家具</t>
  </si>
  <si>
    <t xml:space="preserve">福州市仓山区恒通日用品经营部 </t>
  </si>
  <si>
    <t>YRKJXZ-170004</t>
  </si>
  <si>
    <t>8台扬天台式电脑</t>
  </si>
  <si>
    <t>货到交货地点验收合格后，支付100%货款，乙方不接受反向贴息</t>
  </si>
  <si>
    <t>YRKJXZ-170005</t>
  </si>
  <si>
    <t>14台扬天台式电脑和1台戴尔电脑</t>
  </si>
  <si>
    <t>YRKJXZ-170006</t>
  </si>
  <si>
    <t>2017年夏季工作服600套*146元/套</t>
  </si>
  <si>
    <t>才子服饰股份有限公司</t>
  </si>
  <si>
    <t>货到交货点验收合格后支付100%货款</t>
  </si>
  <si>
    <t>YRKJXZ-170007</t>
  </si>
  <si>
    <t>5匹格力单冷空调12台*7600元/台</t>
  </si>
  <si>
    <t>莆田市涵江区意盛电器有限公司</t>
  </si>
  <si>
    <t>货到交货地点验收合格后收到17%全额专票后10个工作日支付全款</t>
  </si>
  <si>
    <t>YRKJXZ-170008</t>
  </si>
  <si>
    <t>扬天电脑7台*2930元/台</t>
  </si>
  <si>
    <t>货到交货地点验收合格后，支付100%货款，乙方接受反向贴息</t>
  </si>
  <si>
    <t>YRKJXZ-170013</t>
  </si>
  <si>
    <t>食堂食材物资团购业务协议书（2017.6.4-2017.9.3）</t>
  </si>
  <si>
    <t>莆田市凤凰百货有限公司</t>
  </si>
  <si>
    <t>每月一结，下个月2-3日双方财务核对无误后，收到销售正式发票和请款单等资料给买方，买方30天内汇款制定账户</t>
  </si>
  <si>
    <t>YRKJXZ-170015</t>
  </si>
  <si>
    <t>食堂早餐食材物资业务协议书</t>
  </si>
  <si>
    <t>莆田市秀屿区东庄镇赵祖浩包子店</t>
  </si>
  <si>
    <t>每月一结，下个月2-3日双方财务核对无误后，收到销售正式发票和请款单等资料给买方，买方15天内汇款制定账户</t>
  </si>
  <si>
    <t>YRKJXZ-170009</t>
  </si>
  <si>
    <t>劳保用品（安全鞋、纱手套、口罩、护目镜）</t>
  </si>
  <si>
    <t>福州帆顺特需劳保用品有限公司</t>
  </si>
  <si>
    <t>货到交货点验收合格后全额支付，乙方接受反向贴息</t>
  </si>
  <si>
    <t>YRKJXZ-170014</t>
  </si>
  <si>
    <t>食堂食材物资团购业务协议书（2017.9.4-2017.12.3）</t>
  </si>
  <si>
    <t>锦江麦德龙现购自运有限公司莆田荔城商行</t>
  </si>
  <si>
    <t>YRKJXZ-170017</t>
  </si>
  <si>
    <t>9台扬天台式电脑</t>
  </si>
  <si>
    <t>验收合格后支付，6个月的承兑汇票，卖方接受反向贴息</t>
  </si>
  <si>
    <t>YRKJXZ-170019</t>
  </si>
  <si>
    <t>5#、6#宿舍楼空气能热水器2套</t>
  </si>
  <si>
    <t>莆田市秀屿区宏达贸易有限公司</t>
  </si>
  <si>
    <t>本合同的10%作为质量保证金，验收后12个月后支付，甲方接收反向贴息</t>
  </si>
  <si>
    <t>YRKJXZ-170025</t>
  </si>
  <si>
    <t>窗帘</t>
  </si>
  <si>
    <t>莆田市鸿运窗饰贸易有限公司</t>
  </si>
  <si>
    <t>收到全额的增值税普票后，支付15%预付款</t>
  </si>
  <si>
    <t>甲方接收货物验收合格后，在安装调试验收合格后20个工作日支付85%</t>
  </si>
  <si>
    <t>YRKJXZ-170021</t>
  </si>
  <si>
    <t>5#、6#宿舍楼256台电视机共256台*1060元/台</t>
  </si>
  <si>
    <t>福建省广电网络集团股份有限公司</t>
  </si>
  <si>
    <t>货到安装验收合格后收到全额发票后15个工作日支付90%货款。8000元履约保证金退还</t>
  </si>
  <si>
    <t>10%质量保证金，验收合格后12个月支付</t>
  </si>
  <si>
    <t>YRKJXZ-170020</t>
  </si>
  <si>
    <t>5#、6#宿舍楼296台空调</t>
  </si>
  <si>
    <t>YRKJXZ-170024</t>
  </si>
  <si>
    <t>5#、6#宿舍楼冰箱18台*980元/台，洗衣机18台*950元/台</t>
  </si>
  <si>
    <t>YRKJXZ-170012</t>
  </si>
  <si>
    <t>5#、6#宿舍楼冰箱家具</t>
  </si>
  <si>
    <t>福建鸿达家具有限公司</t>
  </si>
  <si>
    <t>YRKJXZ-170023</t>
  </si>
  <si>
    <t>钢板</t>
  </si>
  <si>
    <t>常熟市鑫旺五金工艺厂</t>
  </si>
  <si>
    <t>甲方收到货款验收合格以及全额的发票后15个工作日支付100%的货款</t>
  </si>
  <si>
    <t>YRKJXZ-170026</t>
  </si>
  <si>
    <t>格力空调4台</t>
  </si>
  <si>
    <t>YRKJXZ-170027</t>
  </si>
  <si>
    <t>联想台式电脑7台</t>
  </si>
  <si>
    <t>YRKJXZ-170016</t>
  </si>
  <si>
    <t>单位采购业务协议书（早餐）</t>
  </si>
  <si>
    <t>莆田市秀屿区东庄镇黄碧山小吃店</t>
  </si>
  <si>
    <t>每月结一次</t>
  </si>
  <si>
    <t>YRKJXZ-170029</t>
  </si>
  <si>
    <t>YRKJXZ-170031</t>
  </si>
  <si>
    <t>交换机投影仪等信息类物资</t>
  </si>
  <si>
    <t>YRKJXZ-170036</t>
  </si>
  <si>
    <t>冰箱、洗衣机</t>
  </si>
  <si>
    <t>YRKJXZ-170034</t>
  </si>
  <si>
    <t>格力空调74台</t>
  </si>
  <si>
    <t>YRKJXZ-170022</t>
  </si>
  <si>
    <t>服务器、硬盘</t>
  </si>
  <si>
    <t>YRKJXZ-170028</t>
  </si>
  <si>
    <t>项目管理信息系统建设合同</t>
  </si>
  <si>
    <t>上海普华科技发展有限公司</t>
  </si>
  <si>
    <t>合同签订2周后，甲方需确定首批许可人数，在乙方提供软件许可款项25万的100%，实施服务与开发55万的10%，乙方收到款项后，开具5.5万履约保函。</t>
  </si>
  <si>
    <t>项目管理系统业务调研规划完成，提交（系统应用方案）两周内，支付55万的20%</t>
  </si>
  <si>
    <t>系统建设完成，提交（系统分析说明书）（用户操作手册）（系统维护手册）后两周内，支付55万的30%</t>
  </si>
  <si>
    <t>系统建设完成，提交（系统验收报告）（系统运行维护管理规定）后两周，支付55万的35%</t>
  </si>
  <si>
    <t>系统通过验收后12个月，剩余的5%</t>
  </si>
  <si>
    <t>HSE保证金及罚款金额</t>
  </si>
  <si>
    <t>已收HSE保证金</t>
  </si>
  <si>
    <t>罚款日期</t>
  </si>
  <si>
    <t>罚款金额</t>
  </si>
  <si>
    <t>罚款事由</t>
  </si>
  <si>
    <t>扣款状态</t>
  </si>
  <si>
    <t>扣款方式(HSE)</t>
  </si>
  <si>
    <t>扣款方式(其他)</t>
  </si>
  <si>
    <t>北区变电所临时用电不符合规定，未穿保护用品</t>
  </si>
  <si>
    <t>工程部任兴财</t>
  </si>
  <si>
    <t>运输石料卡车行驶至16#路时，发生翻车事故</t>
  </si>
  <si>
    <t>已扣</t>
  </si>
  <si>
    <t>工资扣款</t>
  </si>
  <si>
    <t>空分装置临时用电不规范</t>
  </si>
  <si>
    <t>北区变电所吊装作业未设警戒区及指挥人员无证操作</t>
  </si>
  <si>
    <t>监理款扣款</t>
  </si>
  <si>
    <t>动力站临时用电不符合规范，工人不戴安全帽</t>
  </si>
  <si>
    <t>工程款扣款</t>
  </si>
  <si>
    <t>罚款编号2017年3号001001</t>
  </si>
  <si>
    <t>出纳忘记扣，下次再补扣</t>
  </si>
  <si>
    <t>单位：元</t>
  </si>
  <si>
    <t>年</t>
  </si>
  <si>
    <t>月</t>
  </si>
  <si>
    <t>东辰</t>
  </si>
  <si>
    <t>勘基</t>
  </si>
  <si>
    <t>地质</t>
  </si>
  <si>
    <t>十三化建</t>
  </si>
  <si>
    <t>二化建</t>
  </si>
  <si>
    <t>三化建</t>
  </si>
  <si>
    <t>十一化建</t>
  </si>
  <si>
    <t>十六化建</t>
  </si>
  <si>
    <t>岩田</t>
  </si>
  <si>
    <t>建东</t>
  </si>
  <si>
    <t>工业</t>
  </si>
  <si>
    <t>联合</t>
  </si>
  <si>
    <t>桥</t>
  </si>
  <si>
    <t>实付金额</t>
  </si>
  <si>
    <t>差额</t>
  </si>
  <si>
    <t>3至5</t>
  </si>
  <si>
    <t>1至2</t>
  </si>
  <si>
    <t>9-11</t>
  </si>
  <si>
    <t>12</t>
  </si>
  <si>
    <t>1-2</t>
  </si>
  <si>
    <t>3</t>
  </si>
  <si>
    <t>4</t>
  </si>
  <si>
    <t>5</t>
  </si>
  <si>
    <t>6</t>
  </si>
  <si>
    <t>采购员</t>
  </si>
  <si>
    <t>电气、仪表</t>
  </si>
  <si>
    <t>李德钧</t>
  </si>
  <si>
    <t>杨坤</t>
  </si>
  <si>
    <t>吴志雄</t>
  </si>
  <si>
    <t>设备</t>
  </si>
  <si>
    <t>李文红</t>
  </si>
  <si>
    <t>汪浩洋</t>
  </si>
  <si>
    <t>材料</t>
  </si>
  <si>
    <t>詹才华</t>
  </si>
  <si>
    <t>陈凤</t>
  </si>
  <si>
    <t>李志祥</t>
  </si>
  <si>
    <t>王丽丹</t>
  </si>
  <si>
    <t>行政内务</t>
  </si>
  <si>
    <t>刘芳</t>
  </si>
  <si>
    <t>黄雪琴</t>
  </si>
  <si>
    <t>实验室试剂</t>
  </si>
  <si>
    <t>张春曼</t>
  </si>
  <si>
    <t>实验室仪器</t>
  </si>
</sst>
</file>

<file path=xl/styles.xml><?xml version="1.0" encoding="utf-8"?>
<styleSheet xmlns="http://schemas.openxmlformats.org/spreadsheetml/2006/main">
  <numFmts count="10">
    <numFmt numFmtId="43" formatCode="_ * #,##0.00_ ;_ * \-#,##0.00_ ;_ * &quot;-&quot;??_ ;_ @_ "/>
    <numFmt numFmtId="41" formatCode="_ * #,##0_ ;_ * \-#,##0_ ;_ * &quot;-&quot;_ ;_ @_ "/>
    <numFmt numFmtId="44" formatCode="_ &quot;￥&quot;* #,##0.00_ ;_ &quot;￥&quot;* \-#,##0.00_ ;_ &quot;￥&quot;* &quot;-&quot;??_ ;_ @_ "/>
    <numFmt numFmtId="176" formatCode="0.00_ "/>
    <numFmt numFmtId="177" formatCode="0.0_ "/>
    <numFmt numFmtId="42" formatCode="_ &quot;￥&quot;* #,##0_ ;_ &quot;￥&quot;* \-#,##0_ ;_ &quot;￥&quot;* &quot;-&quot;_ ;_ @_ "/>
    <numFmt numFmtId="178" formatCode="yyyy&quot;年&quot;m&quot;月&quot;d&quot;日&quot;;@"/>
    <numFmt numFmtId="179" formatCode="0_ "/>
    <numFmt numFmtId="180" formatCode="0.00000000_ "/>
    <numFmt numFmtId="181" formatCode="#,##0.00_ "/>
  </numFmts>
  <fonts count="35">
    <font>
      <sz val="11"/>
      <color theme="1"/>
      <name val="宋体"/>
      <charset val="134"/>
      <scheme val="minor"/>
    </font>
    <font>
      <b/>
      <sz val="11"/>
      <color theme="1"/>
      <name val="宋体"/>
      <charset val="134"/>
      <scheme val="minor"/>
    </font>
    <font>
      <sz val="10"/>
      <color theme="1"/>
      <name val="宋体"/>
      <charset val="134"/>
      <scheme val="minor"/>
    </font>
    <font>
      <b/>
      <sz val="18"/>
      <color theme="1"/>
      <name val="宋体"/>
      <charset val="134"/>
      <scheme val="minor"/>
    </font>
    <font>
      <sz val="9"/>
      <name val="宋体"/>
      <charset val="134"/>
      <scheme val="minor"/>
    </font>
    <font>
      <b/>
      <sz val="16"/>
      <name val="宋体"/>
      <charset val="134"/>
      <scheme val="minor"/>
    </font>
    <font>
      <b/>
      <sz val="9"/>
      <name val="宋体"/>
      <charset val="134"/>
      <scheme val="minor"/>
    </font>
    <font>
      <b/>
      <sz val="12"/>
      <color theme="1"/>
      <name val="宋体"/>
      <charset val="134"/>
      <scheme val="minor"/>
    </font>
    <font>
      <b/>
      <sz val="20"/>
      <color theme="1"/>
      <name val="宋体"/>
      <charset val="134"/>
      <scheme val="minor"/>
    </font>
    <font>
      <b/>
      <sz val="10"/>
      <color theme="1"/>
      <name val="宋体"/>
      <charset val="134"/>
      <scheme val="minor"/>
    </font>
    <font>
      <sz val="9"/>
      <color theme="1"/>
      <name val="宋体"/>
      <charset val="134"/>
      <scheme val="minor"/>
    </font>
    <font>
      <sz val="36"/>
      <color theme="1"/>
      <name val="宋体"/>
      <charset val="134"/>
      <scheme val="minor"/>
    </font>
    <font>
      <b/>
      <sz val="28"/>
      <color theme="1"/>
      <name val="宋体"/>
      <charset val="134"/>
      <scheme val="minor"/>
    </font>
    <font>
      <b/>
      <sz val="14"/>
      <color theme="1"/>
      <name val="宋体"/>
      <charset val="134"/>
      <scheme val="minor"/>
    </font>
    <font>
      <u/>
      <sz val="11"/>
      <color rgb="FF0000FF"/>
      <name val="宋体"/>
      <charset val="0"/>
      <scheme val="minor"/>
    </font>
    <font>
      <u/>
      <sz val="11"/>
      <color rgb="FF80008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sz val="11"/>
      <color rgb="FFFA7D00"/>
      <name val="宋体"/>
      <charset val="0"/>
      <scheme val="minor"/>
    </font>
    <font>
      <b/>
      <sz val="18"/>
      <color theme="3"/>
      <name val="宋体"/>
      <charset val="134"/>
      <scheme val="minor"/>
    </font>
    <font>
      <b/>
      <sz val="11"/>
      <color rgb="FFFFFF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2"/>
      <name val="宋体"/>
      <charset val="134"/>
    </font>
    <font>
      <sz val="10"/>
      <name val="Times New Roman"/>
      <charset val="0"/>
    </font>
  </fonts>
  <fills count="33">
    <fill>
      <patternFill patternType="none"/>
    </fill>
    <fill>
      <patternFill patternType="gray125"/>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42" fontId="0" fillId="0" borderId="0" applyFont="0" applyFill="0" applyBorder="0" applyAlignment="0" applyProtection="0">
      <alignment vertical="center"/>
    </xf>
    <xf numFmtId="0" fontId="16" fillId="14" borderId="0" applyNumberFormat="0" applyBorder="0" applyAlignment="0" applyProtection="0">
      <alignment vertical="center"/>
    </xf>
    <xf numFmtId="0" fontId="22" fillId="12"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17" fillId="5" borderId="0" applyNumberFormat="0" applyBorder="0" applyAlignment="0" applyProtection="0">
      <alignment vertical="center"/>
    </xf>
    <xf numFmtId="43" fontId="0" fillId="0" borderId="0" applyFont="0" applyFill="0" applyBorder="0" applyAlignment="0" applyProtection="0">
      <alignment vertical="center"/>
    </xf>
    <xf numFmtId="0" fontId="19" fillId="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5" borderId="31" applyNumberFormat="0" applyFont="0" applyAlignment="0" applyProtection="0">
      <alignment vertical="center"/>
    </xf>
    <xf numFmtId="0" fontId="19" fillId="18" borderId="0" applyNumberFormat="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30" applyNumberFormat="0" applyFill="0" applyAlignment="0" applyProtection="0">
      <alignment vertical="center"/>
    </xf>
    <xf numFmtId="0" fontId="30" fillId="0" borderId="30" applyNumberFormat="0" applyFill="0" applyAlignment="0" applyProtection="0">
      <alignment vertical="center"/>
    </xf>
    <xf numFmtId="0" fontId="19" fillId="27" borderId="0" applyNumberFormat="0" applyBorder="0" applyAlignment="0" applyProtection="0">
      <alignment vertical="center"/>
    </xf>
    <xf numFmtId="0" fontId="24" fillId="0" borderId="29" applyNumberFormat="0" applyFill="0" applyAlignment="0" applyProtection="0">
      <alignment vertical="center"/>
    </xf>
    <xf numFmtId="0" fontId="19" fillId="17" borderId="0" applyNumberFormat="0" applyBorder="0" applyAlignment="0" applyProtection="0">
      <alignment vertical="center"/>
    </xf>
    <xf numFmtId="0" fontId="18" fillId="6" borderId="26" applyNumberFormat="0" applyAlignment="0" applyProtection="0">
      <alignment vertical="center"/>
    </xf>
    <xf numFmtId="0" fontId="20" fillId="6" borderId="27" applyNumberFormat="0" applyAlignment="0" applyProtection="0">
      <alignment vertical="center"/>
    </xf>
    <xf numFmtId="0" fontId="28" fillId="22" borderId="33" applyNumberFormat="0" applyAlignment="0" applyProtection="0">
      <alignment vertical="center"/>
    </xf>
    <xf numFmtId="0" fontId="16" fillId="21" borderId="0" applyNumberFormat="0" applyBorder="0" applyAlignment="0" applyProtection="0">
      <alignment vertical="center"/>
    </xf>
    <xf numFmtId="0" fontId="19" fillId="20" borderId="0" applyNumberFormat="0" applyBorder="0" applyAlignment="0" applyProtection="0">
      <alignment vertical="center"/>
    </xf>
    <xf numFmtId="0" fontId="26" fillId="0" borderId="32" applyNumberFormat="0" applyFill="0" applyAlignment="0" applyProtection="0">
      <alignment vertical="center"/>
    </xf>
    <xf numFmtId="0" fontId="23" fillId="0" borderId="28" applyNumberFormat="0" applyFill="0" applyAlignment="0" applyProtection="0">
      <alignment vertical="center"/>
    </xf>
    <xf numFmtId="0" fontId="29" fillId="26" borderId="0" applyNumberFormat="0" applyBorder="0" applyAlignment="0" applyProtection="0">
      <alignment vertical="center"/>
    </xf>
    <xf numFmtId="0" fontId="32" fillId="31" borderId="0" applyNumberFormat="0" applyBorder="0" applyAlignment="0" applyProtection="0">
      <alignment vertical="center"/>
    </xf>
    <xf numFmtId="0" fontId="16" fillId="16" borderId="0" applyNumberFormat="0" applyBorder="0" applyAlignment="0" applyProtection="0">
      <alignment vertical="center"/>
    </xf>
    <xf numFmtId="0" fontId="19" fillId="30" borderId="0" applyNumberFormat="0" applyBorder="0" applyAlignment="0" applyProtection="0">
      <alignment vertical="center"/>
    </xf>
    <xf numFmtId="0" fontId="16" fillId="32" borderId="0" applyNumberFormat="0" applyBorder="0" applyAlignment="0" applyProtection="0">
      <alignment vertical="center"/>
    </xf>
    <xf numFmtId="0" fontId="16" fillId="4" borderId="0" applyNumberFormat="0" applyBorder="0" applyAlignment="0" applyProtection="0">
      <alignment vertical="center"/>
    </xf>
    <xf numFmtId="0" fontId="16" fillId="3" borderId="0" applyNumberFormat="0" applyBorder="0" applyAlignment="0" applyProtection="0">
      <alignment vertical="center"/>
    </xf>
    <xf numFmtId="0" fontId="16" fillId="29" borderId="0" applyNumberFormat="0" applyBorder="0" applyAlignment="0" applyProtection="0">
      <alignment vertical="center"/>
    </xf>
    <xf numFmtId="0" fontId="19" fillId="28" borderId="0" applyNumberFormat="0" applyBorder="0" applyAlignment="0" applyProtection="0">
      <alignment vertical="center"/>
    </xf>
    <xf numFmtId="0" fontId="19" fillId="25" borderId="0" applyNumberFormat="0" applyBorder="0" applyAlignment="0" applyProtection="0">
      <alignment vertical="center"/>
    </xf>
    <xf numFmtId="0" fontId="16" fillId="19" borderId="0" applyNumberFormat="0" applyBorder="0" applyAlignment="0" applyProtection="0">
      <alignment vertical="center"/>
    </xf>
    <xf numFmtId="0" fontId="16" fillId="24" borderId="0" applyNumberFormat="0" applyBorder="0" applyAlignment="0" applyProtection="0">
      <alignment vertical="center"/>
    </xf>
    <xf numFmtId="0" fontId="19" fillId="23" borderId="0" applyNumberFormat="0" applyBorder="0" applyAlignment="0" applyProtection="0">
      <alignment vertical="center"/>
    </xf>
    <xf numFmtId="0" fontId="16" fillId="13" borderId="0" applyNumberFormat="0" applyBorder="0" applyAlignment="0" applyProtection="0">
      <alignment vertical="center"/>
    </xf>
    <xf numFmtId="0" fontId="19" fillId="11" borderId="0" applyNumberFormat="0" applyBorder="0" applyAlignment="0" applyProtection="0">
      <alignment vertical="center"/>
    </xf>
    <xf numFmtId="0" fontId="19" fillId="10" borderId="0" applyNumberFormat="0" applyBorder="0" applyAlignment="0" applyProtection="0">
      <alignment vertical="center"/>
    </xf>
    <xf numFmtId="0" fontId="16" fillId="2" borderId="0" applyNumberFormat="0" applyBorder="0" applyAlignment="0" applyProtection="0">
      <alignment vertical="center"/>
    </xf>
    <xf numFmtId="0" fontId="19" fillId="9" borderId="0" applyNumberFormat="0" applyBorder="0" applyAlignment="0" applyProtection="0">
      <alignment vertical="center"/>
    </xf>
    <xf numFmtId="0" fontId="33" fillId="0" borderId="0"/>
    <xf numFmtId="0" fontId="34" fillId="0" borderId="0"/>
  </cellStyleXfs>
  <cellXfs count="383">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Font="1" applyFill="1" applyAlignment="1"/>
    <xf numFmtId="0" fontId="0" fillId="0" borderId="0" xfId="0" applyFont="1" applyFill="1" applyAlignment="1">
      <alignment horizontal="center" vertical="center"/>
    </xf>
    <xf numFmtId="0" fontId="0" fillId="0" borderId="2" xfId="0" applyFont="1" applyFill="1" applyBorder="1" applyAlignment="1">
      <alignment horizontal="right"/>
    </xf>
    <xf numFmtId="0" fontId="0" fillId="0" borderId="3" xfId="0" applyFont="1" applyFill="1" applyBorder="1" applyAlignment="1">
      <alignment horizontal="right"/>
    </xf>
    <xf numFmtId="0" fontId="0" fillId="0" borderId="1" xfId="0" applyFont="1" applyFill="1" applyBorder="1" applyAlignment="1">
      <alignment horizontal="center" vertical="center"/>
    </xf>
    <xf numFmtId="58" fontId="0" fillId="0" borderId="1" xfId="0" applyNumberFormat="1" applyFont="1" applyFill="1" applyBorder="1" applyAlignment="1">
      <alignment horizontal="center" vertical="center"/>
    </xf>
    <xf numFmtId="43" fontId="0" fillId="0" borderId="1" xfId="8" applyFont="1" applyBorder="1" applyAlignment="1"/>
    <xf numFmtId="49" fontId="0" fillId="0" borderId="1" xfId="0" applyNumberFormat="1" applyFont="1" applyFill="1" applyBorder="1" applyAlignment="1">
      <alignment horizontal="center" vertical="center"/>
    </xf>
    <xf numFmtId="43" fontId="0" fillId="0" borderId="4" xfId="8" applyFont="1" applyFill="1" applyBorder="1" applyAlignment="1"/>
    <xf numFmtId="0" fontId="0" fillId="0" borderId="5"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6" xfId="0" applyNumberFormat="1" applyFont="1" applyFill="1" applyBorder="1" applyAlignment="1">
      <alignment horizontal="center" vertical="center"/>
    </xf>
    <xf numFmtId="43" fontId="0" fillId="0" borderId="1" xfId="0" applyNumberFormat="1" applyFont="1" applyFill="1" applyBorder="1" applyAlignment="1"/>
    <xf numFmtId="0" fontId="0" fillId="0" borderId="7" xfId="0" applyFont="1" applyFill="1" applyBorder="1" applyAlignment="1">
      <alignment horizontal="center" vertical="center"/>
    </xf>
    <xf numFmtId="0" fontId="0" fillId="0" borderId="1" xfId="0" applyFont="1" applyFill="1" applyBorder="1" applyAlignment="1"/>
    <xf numFmtId="43" fontId="0" fillId="0" borderId="1" xfId="8" applyFont="1" applyFill="1" applyBorder="1" applyAlignment="1"/>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176" fontId="2" fillId="0" borderId="0" xfId="0" applyNumberFormat="1" applyFont="1" applyFill="1" applyAlignment="1">
      <alignment horizontal="center" vertical="center" wrapText="1"/>
    </xf>
    <xf numFmtId="178" fontId="2"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176" fontId="3" fillId="0" borderId="0" xfId="0" applyNumberFormat="1" applyFont="1" applyFill="1" applyAlignment="1">
      <alignment horizontal="center" vertical="center" wrapText="1"/>
    </xf>
    <xf numFmtId="0" fontId="1" fillId="0" borderId="1" xfId="0"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176" fontId="2" fillId="0" borderId="1"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5" xfId="0" applyFont="1" applyFill="1" applyBorder="1" applyAlignment="1">
      <alignment horizontal="left" vertical="center" wrapText="1"/>
    </xf>
    <xf numFmtId="176" fontId="2" fillId="0" borderId="5" xfId="0" applyNumberFormat="1" applyFont="1" applyFill="1" applyBorder="1" applyAlignment="1">
      <alignment horizontal="center" vertical="center" wrapText="1"/>
    </xf>
    <xf numFmtId="0" fontId="2" fillId="0" borderId="7" xfId="0" applyFont="1" applyFill="1" applyBorder="1" applyAlignment="1">
      <alignment horizontal="left" vertical="center" wrapText="1"/>
    </xf>
    <xf numFmtId="176" fontId="2" fillId="0" borderId="7" xfId="0" applyNumberFormat="1" applyFont="1" applyFill="1" applyBorder="1" applyAlignment="1">
      <alignment horizontal="center" vertical="center" wrapText="1"/>
    </xf>
    <xf numFmtId="0" fontId="4" fillId="0" borderId="0" xfId="0" applyFont="1" applyFill="1" applyAlignment="1">
      <alignment horizontal="left" vertical="center"/>
    </xf>
    <xf numFmtId="0" fontId="5" fillId="0" borderId="0" xfId="0" applyFont="1" applyFill="1" applyAlignment="1">
      <alignment horizontal="center" vertical="center" wrapText="1"/>
    </xf>
    <xf numFmtId="0" fontId="4" fillId="0" borderId="0" xfId="0" applyFont="1" applyFill="1" applyAlignment="1">
      <alignment horizontal="center" vertical="center" wrapText="1"/>
    </xf>
    <xf numFmtId="0" fontId="6" fillId="0" borderId="0" xfId="0" applyFont="1" applyFill="1" applyAlignment="1">
      <alignment horizontal="center" vertical="center" wrapText="1"/>
    </xf>
    <xf numFmtId="0" fontId="4" fillId="0" borderId="0" xfId="0" applyFont="1" applyFill="1" applyAlignment="1">
      <alignment horizontal="left" vertical="center"/>
    </xf>
    <xf numFmtId="0" fontId="4" fillId="0" borderId="0" xfId="0" applyFont="1" applyFill="1" applyAlignment="1">
      <alignment horizontal="center" vertical="center"/>
    </xf>
    <xf numFmtId="176" fontId="4" fillId="0" borderId="0" xfId="0" applyNumberFormat="1" applyFont="1" applyFill="1" applyAlignment="1">
      <alignment horizontal="center" vertical="center"/>
    </xf>
    <xf numFmtId="176" fontId="4" fillId="0" borderId="0" xfId="0" applyNumberFormat="1" applyFont="1" applyFill="1" applyAlignment="1">
      <alignment horizontal="left" vertical="center"/>
    </xf>
    <xf numFmtId="10" fontId="4" fillId="0" borderId="0" xfId="0" applyNumberFormat="1" applyFont="1" applyFill="1" applyAlignment="1">
      <alignment horizontal="center" vertical="center"/>
    </xf>
    <xf numFmtId="0" fontId="6" fillId="0" borderId="0" xfId="0" applyNumberFormat="1" applyFont="1" applyFill="1" applyAlignment="1">
      <alignment horizontal="center" vertical="center" wrapText="1"/>
    </xf>
    <xf numFmtId="0" fontId="6" fillId="0" borderId="8" xfId="50" applyNumberFormat="1" applyFont="1" applyFill="1" applyBorder="1" applyAlignment="1">
      <alignment horizontal="center" vertical="center" wrapText="1"/>
    </xf>
    <xf numFmtId="0" fontId="5" fillId="0" borderId="9" xfId="50" applyNumberFormat="1" applyFont="1" applyFill="1" applyBorder="1" applyAlignment="1">
      <alignment horizontal="center" vertical="center" wrapText="1"/>
    </xf>
    <xf numFmtId="0" fontId="6" fillId="0" borderId="10" xfId="50" applyNumberFormat="1" applyFont="1" applyFill="1" applyBorder="1" applyAlignment="1">
      <alignment horizontal="center" vertical="center" wrapText="1"/>
    </xf>
    <xf numFmtId="0" fontId="6" fillId="0" borderId="1" xfId="50" applyNumberFormat="1" applyFont="1" applyFill="1" applyBorder="1" applyAlignment="1">
      <alignment horizontal="center" vertical="center" wrapText="1"/>
    </xf>
    <xf numFmtId="178" fontId="6" fillId="0" borderId="1" xfId="50" applyNumberFormat="1" applyFont="1" applyFill="1" applyBorder="1" applyAlignment="1">
      <alignment horizontal="center" vertical="center" wrapText="1"/>
    </xf>
    <xf numFmtId="0" fontId="6" fillId="0" borderId="11" xfId="50" applyNumberFormat="1" applyFont="1" applyFill="1" applyBorder="1" applyAlignment="1">
      <alignment horizontal="center" vertical="center" wrapText="1"/>
    </xf>
    <xf numFmtId="0" fontId="6" fillId="0" borderId="12" xfId="50" applyNumberFormat="1" applyFont="1" applyFill="1" applyBorder="1" applyAlignment="1">
      <alignment horizontal="center" vertical="center" wrapText="1"/>
    </xf>
    <xf numFmtId="179" fontId="6" fillId="0" borderId="12" xfId="50" applyNumberFormat="1" applyFont="1" applyFill="1" applyBorder="1" applyAlignment="1">
      <alignment horizontal="center" vertical="center" wrapText="1"/>
    </xf>
    <xf numFmtId="178" fontId="6" fillId="0" borderId="12" xfId="50" applyNumberFormat="1" applyFont="1" applyFill="1" applyBorder="1" applyAlignment="1">
      <alignment horizontal="center" vertical="center" wrapText="1"/>
    </xf>
    <xf numFmtId="0" fontId="4" fillId="0" borderId="0" xfId="0" applyNumberFormat="1" applyFont="1" applyFill="1" applyAlignment="1">
      <alignment horizontal="left" vertical="center"/>
    </xf>
    <xf numFmtId="0" fontId="4" fillId="0" borderId="13" xfId="50" applyNumberFormat="1" applyFont="1" applyFill="1" applyBorder="1" applyAlignment="1">
      <alignment horizontal="center" vertical="center"/>
    </xf>
    <xf numFmtId="0" fontId="4" fillId="0" borderId="7" xfId="0" applyNumberFormat="1" applyFont="1" applyFill="1" applyBorder="1" applyAlignment="1">
      <alignment horizontal="left" vertical="center"/>
    </xf>
    <xf numFmtId="0" fontId="4" fillId="0" borderId="7" xfId="0" applyNumberFormat="1" applyFont="1" applyFill="1" applyBorder="1" applyAlignment="1">
      <alignment horizontal="center" vertical="center"/>
    </xf>
    <xf numFmtId="178" fontId="4" fillId="0" borderId="7" xfId="0" applyNumberFormat="1" applyFont="1" applyFill="1" applyBorder="1" applyAlignment="1">
      <alignment horizontal="center" vertical="center"/>
    </xf>
    <xf numFmtId="0" fontId="4" fillId="0" borderId="10" xfId="50" applyNumberFormat="1" applyFont="1" applyFill="1" applyBorder="1" applyAlignment="1">
      <alignment horizontal="center" vertical="center"/>
    </xf>
    <xf numFmtId="0" fontId="4" fillId="0" borderId="1" xfId="0" applyNumberFormat="1" applyFont="1" applyFill="1" applyBorder="1" applyAlignment="1">
      <alignment horizontal="left" vertical="center"/>
    </xf>
    <xf numFmtId="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0" fontId="4" fillId="0" borderId="0" xfId="0" applyNumberFormat="1" applyFont="1" applyFill="1" applyAlignment="1">
      <alignment horizontal="left" vertical="center"/>
    </xf>
    <xf numFmtId="0" fontId="4" fillId="0" borderId="10" xfId="50" applyNumberFormat="1" applyFont="1" applyFill="1" applyBorder="1" applyAlignment="1">
      <alignment horizontal="center" vertical="center"/>
    </xf>
    <xf numFmtId="0" fontId="4" fillId="0" borderId="1" xfId="0" applyNumberFormat="1" applyFont="1" applyFill="1" applyBorder="1" applyAlignment="1">
      <alignment horizontal="left" vertical="center"/>
    </xf>
    <xf numFmtId="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xf>
    <xf numFmtId="0" fontId="5" fillId="0" borderId="14" xfId="50" applyNumberFormat="1" applyFont="1" applyFill="1" applyBorder="1" applyAlignment="1">
      <alignment horizontal="center" vertical="center" wrapText="1"/>
    </xf>
    <xf numFmtId="176" fontId="5" fillId="0" borderId="15" xfId="50" applyNumberFormat="1" applyFont="1" applyFill="1" applyBorder="1" applyAlignment="1">
      <alignment horizontal="center" vertical="center" wrapText="1"/>
    </xf>
    <xf numFmtId="176" fontId="5" fillId="0" borderId="9" xfId="50" applyNumberFormat="1" applyFont="1" applyFill="1" applyBorder="1" applyAlignment="1">
      <alignment horizontal="center" vertical="center" wrapText="1"/>
    </xf>
    <xf numFmtId="176" fontId="6" fillId="0" borderId="1" xfId="50" applyNumberFormat="1" applyFont="1" applyFill="1" applyBorder="1" applyAlignment="1">
      <alignment horizontal="center" vertical="center" wrapText="1"/>
    </xf>
    <xf numFmtId="0" fontId="6" fillId="0" borderId="16" xfId="50" applyNumberFormat="1" applyFont="1" applyFill="1" applyBorder="1" applyAlignment="1">
      <alignment horizontal="center" vertical="center" wrapText="1"/>
    </xf>
    <xf numFmtId="176" fontId="6" fillId="0" borderId="6" xfId="50" applyNumberFormat="1" applyFont="1" applyFill="1" applyBorder="1" applyAlignment="1">
      <alignment horizontal="center" vertical="center" wrapText="1"/>
    </xf>
    <xf numFmtId="176" fontId="6" fillId="0" borderId="6"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176" fontId="6" fillId="0" borderId="12" xfId="50" applyNumberFormat="1" applyFont="1" applyFill="1" applyBorder="1" applyAlignment="1">
      <alignment horizontal="center" vertical="center" wrapText="1"/>
    </xf>
    <xf numFmtId="176" fontId="6" fillId="0" borderId="17" xfId="50" applyNumberFormat="1" applyFont="1" applyFill="1" applyBorder="1" applyAlignment="1">
      <alignment horizontal="center" vertical="center" wrapText="1"/>
    </xf>
    <xf numFmtId="176" fontId="6" fillId="0" borderId="18" xfId="50" applyNumberFormat="1" applyFont="1" applyFill="1" applyBorder="1" applyAlignment="1">
      <alignment horizontal="center" vertical="center" wrapText="1"/>
    </xf>
    <xf numFmtId="176" fontId="4" fillId="0" borderId="7" xfId="0" applyNumberFormat="1" applyFont="1" applyFill="1" applyBorder="1" applyAlignment="1">
      <alignment horizontal="center" vertical="center"/>
    </xf>
    <xf numFmtId="0" fontId="4" fillId="0" borderId="19" xfId="0" applyNumberFormat="1" applyFont="1" applyFill="1" applyBorder="1" applyAlignment="1">
      <alignment horizontal="left" vertical="center"/>
    </xf>
    <xf numFmtId="176" fontId="4" fillId="0" borderId="20" xfId="0" applyNumberFormat="1" applyFont="1" applyFill="1" applyBorder="1" applyAlignment="1">
      <alignment horizontal="left" vertical="center"/>
    </xf>
    <xf numFmtId="176" fontId="4" fillId="0" borderId="1" xfId="0" applyNumberFormat="1" applyFont="1" applyFill="1" applyBorder="1" applyAlignment="1">
      <alignment horizontal="center" vertical="center"/>
    </xf>
    <xf numFmtId="0" fontId="4" fillId="0" borderId="16" xfId="0" applyNumberFormat="1" applyFont="1" applyFill="1" applyBorder="1" applyAlignment="1">
      <alignment horizontal="left" vertical="center"/>
    </xf>
    <xf numFmtId="176" fontId="4" fillId="0" borderId="6" xfId="0" applyNumberFormat="1" applyFont="1" applyFill="1" applyBorder="1" applyAlignment="1">
      <alignment horizontal="left" vertical="center"/>
    </xf>
    <xf numFmtId="176" fontId="4" fillId="0" borderId="1" xfId="0" applyNumberFormat="1" applyFont="1" applyFill="1" applyBorder="1" applyAlignment="1">
      <alignment horizontal="center" vertical="center"/>
    </xf>
    <xf numFmtId="0" fontId="4" fillId="0" borderId="16" xfId="0" applyNumberFormat="1" applyFont="1" applyFill="1" applyBorder="1" applyAlignment="1">
      <alignment horizontal="left" vertical="center"/>
    </xf>
    <xf numFmtId="176" fontId="4" fillId="0" borderId="6" xfId="0" applyNumberFormat="1" applyFont="1" applyFill="1" applyBorder="1" applyAlignment="1">
      <alignment horizontal="left" vertical="center"/>
    </xf>
    <xf numFmtId="176" fontId="4" fillId="0" borderId="7" xfId="0" applyNumberFormat="1" applyFont="1" applyFill="1" applyBorder="1" applyAlignment="1">
      <alignment horizontal="left" vertical="center"/>
    </xf>
    <xf numFmtId="176" fontId="4" fillId="0" borderId="1" xfId="0" applyNumberFormat="1" applyFont="1" applyFill="1" applyBorder="1" applyAlignment="1">
      <alignment horizontal="left" vertical="center"/>
    </xf>
    <xf numFmtId="176" fontId="4" fillId="0" borderId="1" xfId="0" applyNumberFormat="1" applyFont="1" applyFill="1" applyBorder="1" applyAlignment="1">
      <alignment horizontal="left" vertical="center"/>
    </xf>
    <xf numFmtId="176" fontId="5" fillId="0" borderId="14" xfId="50" applyNumberFormat="1" applyFont="1" applyFill="1" applyBorder="1" applyAlignment="1">
      <alignment horizontal="center" vertical="center" wrapText="1"/>
    </xf>
    <xf numFmtId="10" fontId="5" fillId="0" borderId="9" xfId="50" applyNumberFormat="1" applyFont="1" applyFill="1" applyBorder="1" applyAlignment="1">
      <alignment horizontal="center" vertical="center" wrapText="1"/>
    </xf>
    <xf numFmtId="176" fontId="6" fillId="0" borderId="16" xfId="50" applyNumberFormat="1" applyFont="1" applyFill="1" applyBorder="1" applyAlignment="1">
      <alignment horizontal="center" vertical="center" wrapText="1"/>
    </xf>
    <xf numFmtId="10" fontId="6" fillId="0" borderId="1" xfId="50" applyNumberFormat="1" applyFont="1" applyFill="1" applyBorder="1" applyAlignment="1">
      <alignment horizontal="center" vertical="center" wrapText="1"/>
    </xf>
    <xf numFmtId="176" fontId="6" fillId="0" borderId="16" xfId="0" applyNumberFormat="1" applyFont="1" applyFill="1" applyBorder="1" applyAlignment="1">
      <alignment horizontal="center" vertical="center" wrapText="1"/>
    </xf>
    <xf numFmtId="176" fontId="6" fillId="0" borderId="18" xfId="50" applyNumberFormat="1" applyFont="1" applyFill="1" applyBorder="1" applyAlignment="1">
      <alignment horizontal="center" vertical="center"/>
    </xf>
    <xf numFmtId="176" fontId="6" fillId="0" borderId="12" xfId="50" applyNumberFormat="1" applyFont="1" applyFill="1" applyBorder="1" applyAlignment="1">
      <alignment horizontal="center" vertical="center"/>
    </xf>
    <xf numFmtId="10" fontId="6" fillId="0" borderId="12" xfId="50" applyNumberFormat="1" applyFont="1" applyFill="1" applyBorder="1" applyAlignment="1">
      <alignment horizontal="center" vertical="center"/>
    </xf>
    <xf numFmtId="176" fontId="4" fillId="0" borderId="19" xfId="0" applyNumberFormat="1" applyFont="1" applyFill="1" applyBorder="1" applyAlignment="1">
      <alignment horizontal="center" vertical="center"/>
    </xf>
    <xf numFmtId="176" fontId="4" fillId="0" borderId="20" xfId="50" applyNumberFormat="1" applyFont="1" applyFill="1" applyBorder="1" applyAlignment="1">
      <alignment horizontal="center" vertical="center"/>
    </xf>
    <xf numFmtId="176" fontId="4" fillId="0" borderId="7" xfId="50" applyNumberFormat="1" applyFont="1" applyFill="1" applyBorder="1" applyAlignment="1">
      <alignment horizontal="center" vertical="center"/>
    </xf>
    <xf numFmtId="10" fontId="4" fillId="0" borderId="7" xfId="50" applyNumberFormat="1" applyFont="1" applyFill="1" applyBorder="1" applyAlignment="1">
      <alignment horizontal="center" vertical="center"/>
    </xf>
    <xf numFmtId="176" fontId="4" fillId="0" borderId="16" xfId="0" applyNumberFormat="1" applyFont="1" applyFill="1" applyBorder="1" applyAlignment="1">
      <alignment horizontal="center" vertical="center"/>
    </xf>
    <xf numFmtId="176" fontId="4" fillId="0" borderId="6" xfId="50" applyNumberFormat="1" applyFont="1" applyFill="1" applyBorder="1" applyAlignment="1">
      <alignment horizontal="center" vertical="center"/>
    </xf>
    <xf numFmtId="176" fontId="4" fillId="0" borderId="1" xfId="50" applyNumberFormat="1" applyFont="1" applyFill="1" applyBorder="1" applyAlignment="1">
      <alignment horizontal="center" vertical="center"/>
    </xf>
    <xf numFmtId="10" fontId="4" fillId="0" borderId="1" xfId="50" applyNumberFormat="1" applyFont="1" applyFill="1" applyBorder="1" applyAlignment="1">
      <alignment horizontal="center" vertical="center"/>
    </xf>
    <xf numFmtId="176" fontId="4" fillId="0" borderId="16" xfId="0" applyNumberFormat="1" applyFont="1" applyFill="1" applyBorder="1" applyAlignment="1">
      <alignment horizontal="center" vertical="center"/>
    </xf>
    <xf numFmtId="176" fontId="4" fillId="0" borderId="6" xfId="50" applyNumberFormat="1" applyFont="1" applyFill="1" applyBorder="1" applyAlignment="1">
      <alignment horizontal="center" vertical="center"/>
    </xf>
    <xf numFmtId="176" fontId="4" fillId="0" borderId="1" xfId="50" applyNumberFormat="1" applyFont="1" applyFill="1" applyBorder="1" applyAlignment="1">
      <alignment horizontal="center" vertical="center"/>
    </xf>
    <xf numFmtId="10" fontId="4" fillId="0" borderId="1" xfId="50" applyNumberFormat="1" applyFont="1" applyFill="1" applyBorder="1" applyAlignment="1">
      <alignment horizontal="center" vertical="center"/>
    </xf>
    <xf numFmtId="176" fontId="6" fillId="0" borderId="17" xfId="50" applyNumberFormat="1" applyFont="1" applyFill="1" applyBorder="1" applyAlignment="1">
      <alignment horizontal="center" vertical="center"/>
    </xf>
    <xf numFmtId="176" fontId="4" fillId="0" borderId="19" xfId="50" applyNumberFormat="1" applyFont="1" applyFill="1" applyBorder="1" applyAlignment="1">
      <alignment horizontal="center" vertical="center"/>
    </xf>
    <xf numFmtId="176" fontId="4" fillId="0" borderId="16" xfId="50" applyNumberFormat="1" applyFont="1" applyFill="1" applyBorder="1" applyAlignment="1">
      <alignment horizontal="center" vertical="center"/>
    </xf>
    <xf numFmtId="176" fontId="4" fillId="0" borderId="16" xfId="5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6" fillId="0" borderId="0" xfId="0" applyFont="1" applyFill="1" applyAlignment="1">
      <alignment horizontal="left" vertical="center"/>
    </xf>
    <xf numFmtId="176" fontId="4" fillId="0" borderId="0" xfId="0" applyNumberFormat="1" applyFont="1" applyFill="1" applyAlignment="1">
      <alignment vertical="center"/>
    </xf>
    <xf numFmtId="0" fontId="4" fillId="0" borderId="13" xfId="50" applyNumberFormat="1" applyFont="1" applyFill="1" applyBorder="1" applyAlignment="1">
      <alignment horizontal="center" vertical="center"/>
    </xf>
    <xf numFmtId="0" fontId="4" fillId="0" borderId="7" xfId="0" applyNumberFormat="1" applyFont="1" applyFill="1" applyBorder="1" applyAlignment="1">
      <alignment horizontal="left" vertical="center"/>
    </xf>
    <xf numFmtId="178" fontId="4" fillId="0" borderId="7" xfId="0" applyNumberFormat="1" applyFont="1" applyFill="1" applyBorder="1" applyAlignment="1">
      <alignment horizontal="center" vertical="center"/>
    </xf>
    <xf numFmtId="0" fontId="6" fillId="0" borderId="10" xfId="50" applyNumberFormat="1" applyFont="1" applyFill="1" applyBorder="1" applyAlignment="1">
      <alignment horizontal="center"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center" vertical="center"/>
    </xf>
    <xf numFmtId="178" fontId="6"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0" fontId="6" fillId="0" borderId="0" xfId="0" applyNumberFormat="1" applyFont="1" applyFill="1" applyAlignment="1">
      <alignment horizontal="left" vertical="center"/>
    </xf>
    <xf numFmtId="177" fontId="4" fillId="0" borderId="10" xfId="50" applyNumberFormat="1" applyFont="1" applyFill="1" applyBorder="1" applyAlignment="1">
      <alignment horizontal="center" vertical="center"/>
    </xf>
    <xf numFmtId="0" fontId="4" fillId="0" borderId="1" xfId="50" applyNumberFormat="1" applyFont="1" applyFill="1" applyBorder="1" applyAlignment="1">
      <alignment horizontal="left" vertical="center"/>
    </xf>
    <xf numFmtId="0" fontId="4" fillId="0" borderId="1" xfId="50" applyNumberFormat="1" applyFont="1" applyFill="1" applyBorder="1" applyAlignment="1">
      <alignment horizontal="center" vertical="center"/>
    </xf>
    <xf numFmtId="0" fontId="4" fillId="0" borderId="1" xfId="0" applyNumberFormat="1" applyFont="1" applyFill="1" applyBorder="1" applyAlignment="1">
      <alignment vertical="center"/>
    </xf>
    <xf numFmtId="178" fontId="4" fillId="0" borderId="1" xfId="50" applyNumberFormat="1" applyFont="1" applyFill="1" applyBorder="1" applyAlignment="1">
      <alignment horizontal="center" vertical="center"/>
    </xf>
    <xf numFmtId="0" fontId="6" fillId="0" borderId="1" xfId="50" applyNumberFormat="1" applyFont="1" applyFill="1" applyBorder="1" applyAlignment="1">
      <alignment horizontal="left" vertical="center"/>
    </xf>
    <xf numFmtId="0" fontId="6" fillId="0" borderId="1" xfId="50" applyNumberFormat="1" applyFont="1" applyFill="1" applyBorder="1" applyAlignment="1">
      <alignment horizontal="center" vertical="center"/>
    </xf>
    <xf numFmtId="178" fontId="6" fillId="0" borderId="1" xfId="50" applyNumberFormat="1" applyFont="1" applyFill="1" applyBorder="1" applyAlignment="1">
      <alignment horizontal="center" vertical="center"/>
    </xf>
    <xf numFmtId="0" fontId="5" fillId="0" borderId="9" xfId="50" applyNumberFormat="1" applyFont="1" applyFill="1" applyBorder="1" applyAlignment="1">
      <alignment vertical="center" wrapText="1"/>
    </xf>
    <xf numFmtId="176" fontId="6" fillId="0" borderId="12" xfId="50" applyNumberFormat="1" applyFont="1" applyFill="1" applyBorder="1" applyAlignment="1">
      <alignment vertical="center" wrapText="1"/>
    </xf>
    <xf numFmtId="176" fontId="4" fillId="0" borderId="7" xfId="0" applyNumberFormat="1" applyFont="1" applyFill="1" applyBorder="1" applyAlignment="1">
      <alignment horizontal="center" vertical="center"/>
    </xf>
    <xf numFmtId="0" fontId="4" fillId="0" borderId="19" xfId="0" applyNumberFormat="1" applyFont="1" applyFill="1" applyBorder="1" applyAlignment="1">
      <alignment horizontal="left" vertical="center"/>
    </xf>
    <xf numFmtId="176" fontId="4" fillId="0" borderId="20" xfId="0" applyNumberFormat="1" applyFont="1" applyFill="1" applyBorder="1" applyAlignment="1">
      <alignment horizontal="left" vertical="center"/>
    </xf>
    <xf numFmtId="176" fontId="4" fillId="0" borderId="1" xfId="0" applyNumberFormat="1" applyFont="1" applyFill="1" applyBorder="1" applyAlignment="1">
      <alignment vertical="center"/>
    </xf>
    <xf numFmtId="176" fontId="6" fillId="0" borderId="1" xfId="0" applyNumberFormat="1" applyFont="1" applyFill="1" applyBorder="1" applyAlignment="1">
      <alignment vertical="center"/>
    </xf>
    <xf numFmtId="0" fontId="6" fillId="0" borderId="16" xfId="0" applyNumberFormat="1" applyFont="1" applyFill="1" applyBorder="1" applyAlignment="1">
      <alignment horizontal="left" vertical="center"/>
    </xf>
    <xf numFmtId="176" fontId="6" fillId="0" borderId="6" xfId="0" applyNumberFormat="1" applyFont="1" applyFill="1" applyBorder="1" applyAlignment="1">
      <alignment horizontal="left" vertical="center"/>
    </xf>
    <xf numFmtId="176" fontId="6" fillId="0" borderId="1" xfId="0" applyNumberFormat="1" applyFont="1" applyFill="1" applyBorder="1" applyAlignment="1">
      <alignment horizontal="center" vertical="center"/>
    </xf>
    <xf numFmtId="41" fontId="4" fillId="0" borderId="1" xfId="0" applyNumberFormat="1" applyFont="1" applyFill="1" applyBorder="1" applyAlignment="1">
      <alignment horizontal="center" vertical="center"/>
    </xf>
    <xf numFmtId="41" fontId="4" fillId="0" borderId="1" xfId="0" applyNumberFormat="1" applyFont="1" applyFill="1" applyBorder="1" applyAlignment="1">
      <alignment vertical="center"/>
    </xf>
    <xf numFmtId="41" fontId="4" fillId="0" borderId="1" xfId="0" applyNumberFormat="1" applyFont="1" applyFill="1" applyBorder="1" applyAlignment="1">
      <alignment horizontal="left" vertical="center"/>
    </xf>
    <xf numFmtId="41" fontId="4" fillId="0" borderId="1" xfId="8" applyNumberFormat="1" applyFont="1" applyFill="1" applyBorder="1" applyAlignment="1">
      <alignment horizontal="left" vertical="center"/>
    </xf>
    <xf numFmtId="41" fontId="4" fillId="0" borderId="16" xfId="8" applyNumberFormat="1" applyFont="1" applyFill="1" applyBorder="1" applyAlignment="1">
      <alignment horizontal="left" vertical="center"/>
    </xf>
    <xf numFmtId="0" fontId="4" fillId="0" borderId="1" xfId="50" applyNumberFormat="1" applyFont="1" applyFill="1" applyBorder="1" applyAlignment="1">
      <alignment vertical="center"/>
    </xf>
    <xf numFmtId="176" fontId="6" fillId="0" borderId="1" xfId="50" applyNumberFormat="1" applyFont="1" applyFill="1" applyBorder="1" applyAlignment="1">
      <alignment horizontal="center" vertical="center"/>
    </xf>
    <xf numFmtId="176" fontId="4" fillId="0" borderId="7" xfId="0" applyNumberFormat="1" applyFont="1" applyFill="1" applyBorder="1" applyAlignment="1">
      <alignment horizontal="left" vertical="center"/>
    </xf>
    <xf numFmtId="176" fontId="4" fillId="0" borderId="19" xfId="0" applyNumberFormat="1" applyFont="1" applyFill="1" applyBorder="1" applyAlignment="1">
      <alignment horizontal="center" vertical="center"/>
    </xf>
    <xf numFmtId="176" fontId="4" fillId="0" borderId="20" xfId="50" applyNumberFormat="1" applyFont="1" applyFill="1" applyBorder="1" applyAlignment="1">
      <alignment horizontal="center" vertical="center"/>
    </xf>
    <xf numFmtId="176" fontId="4" fillId="0" borderId="7" xfId="50" applyNumberFormat="1" applyFont="1" applyFill="1" applyBorder="1" applyAlignment="1">
      <alignment horizontal="center" vertical="center"/>
    </xf>
    <xf numFmtId="10" fontId="4" fillId="0" borderId="7" xfId="50" applyNumberFormat="1" applyFont="1" applyFill="1" applyBorder="1" applyAlignment="1">
      <alignment horizontal="center" vertical="center"/>
    </xf>
    <xf numFmtId="176" fontId="6" fillId="0" borderId="16" xfId="0" applyNumberFormat="1" applyFont="1" applyFill="1" applyBorder="1" applyAlignment="1">
      <alignment horizontal="center" vertical="center"/>
    </xf>
    <xf numFmtId="176" fontId="6" fillId="0" borderId="6" xfId="50" applyNumberFormat="1" applyFont="1" applyFill="1" applyBorder="1" applyAlignment="1">
      <alignment horizontal="center" vertical="center"/>
    </xf>
    <xf numFmtId="10" fontId="6" fillId="0" borderId="1" xfId="50" applyNumberFormat="1" applyFont="1" applyFill="1" applyBorder="1" applyAlignment="1">
      <alignment horizontal="center" vertical="center"/>
    </xf>
    <xf numFmtId="176" fontId="6" fillId="0" borderId="7" xfId="50" applyNumberFormat="1" applyFont="1" applyFill="1" applyBorder="1" applyAlignment="1">
      <alignment horizontal="center" vertical="center"/>
    </xf>
    <xf numFmtId="176" fontId="6" fillId="0" borderId="19" xfId="50" applyNumberFormat="1" applyFont="1" applyFill="1" applyBorder="1" applyAlignment="1">
      <alignment horizontal="center" vertical="center"/>
    </xf>
    <xf numFmtId="176" fontId="4" fillId="0" borderId="19" xfId="50" applyNumberFormat="1" applyFont="1" applyFill="1" applyBorder="1" applyAlignment="1">
      <alignment horizontal="center" vertical="center"/>
    </xf>
    <xf numFmtId="180" fontId="4" fillId="0" borderId="0" xfId="0" applyNumberFormat="1" applyFont="1" applyFill="1" applyAlignment="1">
      <alignment horizontal="left" vertical="center"/>
    </xf>
    <xf numFmtId="176" fontId="6" fillId="0" borderId="16" xfId="50" applyNumberFormat="1" applyFont="1" applyFill="1" applyBorder="1" applyAlignment="1">
      <alignment horizontal="center" vertical="center"/>
    </xf>
    <xf numFmtId="176" fontId="4" fillId="0" borderId="10" xfId="50" applyNumberFormat="1" applyFont="1" applyFill="1" applyBorder="1" applyAlignment="1">
      <alignment horizontal="center" vertical="center"/>
    </xf>
    <xf numFmtId="176" fontId="6" fillId="0" borderId="1" xfId="0" applyNumberFormat="1" applyFont="1" applyFill="1" applyBorder="1" applyAlignment="1">
      <alignment horizontal="left" vertical="center"/>
    </xf>
    <xf numFmtId="0" fontId="6" fillId="0" borderId="7" xfId="0" applyNumberFormat="1" applyFont="1" applyFill="1" applyBorder="1" applyAlignment="1">
      <alignment horizontal="center" vertical="center"/>
    </xf>
    <xf numFmtId="176" fontId="4" fillId="0" borderId="0" xfId="0" applyNumberFormat="1" applyFont="1" applyFill="1" applyAlignment="1">
      <alignment horizontal="right" vertical="center"/>
    </xf>
    <xf numFmtId="0" fontId="4" fillId="0" borderId="7" xfId="50" applyNumberFormat="1" applyFont="1" applyFill="1" applyBorder="1" applyAlignment="1">
      <alignment horizontal="center" vertical="center"/>
    </xf>
    <xf numFmtId="0" fontId="4" fillId="0" borderId="1" xfId="49" applyNumberFormat="1" applyFont="1" applyFill="1" applyBorder="1" applyAlignment="1">
      <alignment horizontal="center" vertical="center"/>
    </xf>
    <xf numFmtId="0" fontId="4" fillId="0" borderId="1" xfId="49" applyNumberFormat="1" applyFont="1" applyFill="1" applyBorder="1" applyAlignment="1">
      <alignment vertical="center"/>
    </xf>
    <xf numFmtId="0" fontId="6" fillId="0" borderId="1" xfId="49" applyNumberFormat="1" applyFont="1" applyFill="1" applyBorder="1" applyAlignment="1">
      <alignment horizontal="center" vertical="center"/>
    </xf>
    <xf numFmtId="0" fontId="4" fillId="0" borderId="1" xfId="50" applyNumberFormat="1" applyFont="1" applyFill="1" applyBorder="1" applyAlignment="1">
      <alignment horizontal="center" vertical="center"/>
    </xf>
    <xf numFmtId="179" fontId="4" fillId="0" borderId="1" xfId="50" applyNumberFormat="1" applyFont="1" applyFill="1" applyBorder="1" applyAlignment="1">
      <alignment horizontal="center" vertical="center"/>
    </xf>
    <xf numFmtId="58" fontId="4" fillId="0" borderId="1" xfId="0" applyNumberFormat="1" applyFont="1" applyFill="1" applyBorder="1" applyAlignment="1">
      <alignment horizontal="center" vertical="center"/>
    </xf>
    <xf numFmtId="0" fontId="5" fillId="0" borderId="9" xfId="50" applyNumberFormat="1" applyFont="1" applyFill="1" applyBorder="1" applyAlignment="1">
      <alignment horizontal="right" vertical="center" wrapText="1"/>
    </xf>
    <xf numFmtId="176" fontId="6" fillId="0" borderId="1" xfId="50" applyNumberFormat="1" applyFont="1" applyFill="1" applyBorder="1" applyAlignment="1">
      <alignment horizontal="right" vertical="center" wrapText="1"/>
    </xf>
    <xf numFmtId="176" fontId="6" fillId="0" borderId="12" xfId="50" applyNumberFormat="1" applyFont="1" applyFill="1" applyBorder="1" applyAlignment="1">
      <alignment horizontal="right" vertical="center" wrapText="1"/>
    </xf>
    <xf numFmtId="176" fontId="4" fillId="0" borderId="7" xfId="0" applyNumberFormat="1" applyFont="1" applyFill="1" applyBorder="1" applyAlignment="1">
      <alignment horizontal="right" vertical="center"/>
    </xf>
    <xf numFmtId="176" fontId="4" fillId="0" borderId="1" xfId="0" applyNumberFormat="1" applyFont="1" applyFill="1" applyBorder="1" applyAlignment="1">
      <alignment horizontal="right" vertical="center"/>
    </xf>
    <xf numFmtId="176" fontId="4" fillId="0" borderId="1" xfId="50" applyNumberFormat="1" applyFont="1" applyFill="1" applyBorder="1" applyAlignment="1">
      <alignment horizontal="right" vertical="center"/>
    </xf>
    <xf numFmtId="176" fontId="6" fillId="0" borderId="1" xfId="50" applyNumberFormat="1" applyFont="1" applyFill="1" applyBorder="1" applyAlignment="1">
      <alignment horizontal="right" vertical="center"/>
    </xf>
    <xf numFmtId="176" fontId="4" fillId="0" borderId="1" xfId="0" applyNumberFormat="1" applyFont="1" applyFill="1" applyBorder="1" applyAlignment="1">
      <alignment horizontal="right" vertical="center"/>
    </xf>
    <xf numFmtId="41" fontId="4" fillId="0" borderId="1" xfId="50" applyNumberFormat="1" applyFont="1" applyFill="1" applyBorder="1" applyAlignment="1">
      <alignment horizontal="right" vertical="center"/>
    </xf>
    <xf numFmtId="41" fontId="4" fillId="0" borderId="1" xfId="50" applyNumberFormat="1" applyFont="1" applyFill="1" applyBorder="1" applyAlignment="1">
      <alignment horizontal="left" vertical="center"/>
    </xf>
    <xf numFmtId="41" fontId="4" fillId="0" borderId="1" xfId="8" applyNumberFormat="1" applyFont="1" applyFill="1" applyBorder="1" applyAlignment="1" applyProtection="1">
      <alignment horizontal="left" vertical="center"/>
    </xf>
    <xf numFmtId="41" fontId="4" fillId="0" borderId="16" xfId="8" applyNumberFormat="1" applyFont="1" applyFill="1" applyBorder="1" applyAlignment="1" applyProtection="1">
      <alignment horizontal="left" vertical="center"/>
    </xf>
    <xf numFmtId="0" fontId="6" fillId="0" borderId="0" xfId="0" applyFont="1" applyFill="1" applyAlignment="1">
      <alignment horizontal="center" vertical="center"/>
    </xf>
    <xf numFmtId="179" fontId="4" fillId="0" borderId="0" xfId="0" applyNumberFormat="1" applyFont="1" applyFill="1" applyAlignment="1">
      <alignment horizontal="center" vertical="center"/>
    </xf>
    <xf numFmtId="179" fontId="6" fillId="0" borderId="8" xfId="50" applyNumberFormat="1" applyFont="1" applyFill="1" applyBorder="1" applyAlignment="1">
      <alignment horizontal="center" vertical="center" wrapText="1"/>
    </xf>
    <xf numFmtId="0" fontId="5" fillId="0" borderId="9" xfId="50" applyNumberFormat="1" applyFont="1" applyFill="1" applyBorder="1" applyAlignment="1">
      <alignment horizontal="left" vertical="center" wrapText="1"/>
    </xf>
    <xf numFmtId="179" fontId="6" fillId="0" borderId="10" xfId="50" applyNumberFormat="1" applyFont="1" applyFill="1" applyBorder="1" applyAlignment="1">
      <alignment horizontal="center" vertical="center" wrapText="1"/>
    </xf>
    <xf numFmtId="177" fontId="4" fillId="0" borderId="13" xfId="50" applyNumberFormat="1" applyFont="1" applyFill="1" applyBorder="1" applyAlignment="1">
      <alignment horizontal="center" vertical="center"/>
    </xf>
    <xf numFmtId="0" fontId="4" fillId="0" borderId="7" xfId="50" applyNumberFormat="1" applyFont="1" applyFill="1" applyBorder="1" applyAlignment="1">
      <alignment horizontal="left" vertical="center"/>
    </xf>
    <xf numFmtId="0" fontId="4" fillId="0" borderId="7" xfId="49" applyNumberFormat="1" applyFont="1" applyFill="1" applyBorder="1" applyAlignment="1">
      <alignment vertical="center"/>
    </xf>
    <xf numFmtId="178" fontId="4" fillId="0" borderId="7" xfId="50" applyNumberFormat="1" applyFont="1" applyFill="1" applyBorder="1" applyAlignment="1">
      <alignment vertical="center"/>
    </xf>
    <xf numFmtId="178" fontId="4" fillId="0" borderId="1" xfId="50" applyNumberFormat="1" applyFont="1" applyFill="1" applyBorder="1" applyAlignment="1">
      <alignment vertical="center"/>
    </xf>
    <xf numFmtId="179" fontId="6" fillId="0" borderId="10" xfId="50" applyNumberFormat="1" applyFont="1" applyFill="1" applyBorder="1" applyAlignment="1">
      <alignment horizontal="center" vertical="center"/>
    </xf>
    <xf numFmtId="0" fontId="6" fillId="0" borderId="0" xfId="0" applyNumberFormat="1" applyFont="1" applyFill="1" applyAlignment="1">
      <alignment horizontal="left" vertical="center"/>
    </xf>
    <xf numFmtId="177" fontId="4" fillId="0" borderId="10" xfId="50" applyNumberFormat="1" applyFont="1" applyFill="1" applyBorder="1" applyAlignment="1">
      <alignment horizontal="center" vertical="center"/>
    </xf>
    <xf numFmtId="0" fontId="4" fillId="0" borderId="1" xfId="50" applyNumberFormat="1" applyFont="1" applyFill="1" applyBorder="1" applyAlignment="1">
      <alignment horizontal="left" vertical="center"/>
    </xf>
    <xf numFmtId="0" fontId="4" fillId="0" borderId="1" xfId="0" applyNumberFormat="1" applyFont="1" applyFill="1" applyBorder="1" applyAlignment="1">
      <alignment vertical="center"/>
    </xf>
    <xf numFmtId="178" fontId="4" fillId="0" borderId="1" xfId="50" applyNumberFormat="1" applyFont="1" applyFill="1" applyBorder="1" applyAlignment="1">
      <alignment vertical="center"/>
    </xf>
    <xf numFmtId="179" fontId="4" fillId="0" borderId="10" xfId="50" applyNumberFormat="1" applyFont="1" applyFill="1" applyBorder="1" applyAlignment="1">
      <alignment horizontal="center" vertical="center"/>
    </xf>
    <xf numFmtId="0" fontId="4" fillId="0" borderId="19" xfId="50" applyNumberFormat="1" applyFont="1" applyFill="1" applyBorder="1" applyAlignment="1">
      <alignment horizontal="left" vertical="center"/>
    </xf>
    <xf numFmtId="0" fontId="6" fillId="0" borderId="7" xfId="50" applyNumberFormat="1" applyFont="1" applyFill="1" applyBorder="1" applyAlignment="1">
      <alignment horizontal="left" vertical="center"/>
    </xf>
    <xf numFmtId="0" fontId="6" fillId="0" borderId="19" xfId="50" applyNumberFormat="1" applyFont="1" applyFill="1" applyBorder="1" applyAlignment="1">
      <alignment horizontal="left" vertical="center"/>
    </xf>
    <xf numFmtId="176" fontId="6" fillId="0" borderId="6" xfId="50" applyNumberFormat="1" applyFont="1" applyFill="1" applyBorder="1" applyAlignment="1">
      <alignment horizontal="left" vertical="center"/>
    </xf>
    <xf numFmtId="0" fontId="4" fillId="0" borderId="16" xfId="50" applyNumberFormat="1" applyFont="1" applyFill="1" applyBorder="1" applyAlignment="1">
      <alignment horizontal="left" vertical="center"/>
    </xf>
    <xf numFmtId="176" fontId="4" fillId="0" borderId="6" xfId="50" applyNumberFormat="1" applyFont="1" applyFill="1" applyBorder="1" applyAlignment="1">
      <alignment horizontal="left" vertical="center"/>
    </xf>
    <xf numFmtId="0" fontId="4" fillId="0" borderId="16" xfId="50" applyNumberFormat="1" applyFont="1" applyFill="1" applyBorder="1" applyAlignment="1">
      <alignment horizontal="left" vertical="center"/>
    </xf>
    <xf numFmtId="176" fontId="4" fillId="0" borderId="6" xfId="50" applyNumberFormat="1" applyFont="1" applyFill="1" applyBorder="1" applyAlignment="1">
      <alignment horizontal="left" vertical="center"/>
    </xf>
    <xf numFmtId="176" fontId="4" fillId="0" borderId="1" xfId="50" applyNumberFormat="1" applyFont="1" applyFill="1" applyBorder="1" applyAlignment="1">
      <alignment horizontal="left" vertical="center"/>
    </xf>
    <xf numFmtId="0" fontId="6" fillId="0" borderId="16" xfId="50" applyNumberFormat="1" applyFont="1" applyFill="1" applyBorder="1" applyAlignment="1">
      <alignment horizontal="left" vertical="center"/>
    </xf>
    <xf numFmtId="0" fontId="6" fillId="0" borderId="1" xfId="0" applyFont="1" applyFill="1" applyBorder="1" applyAlignment="1">
      <alignment horizontal="left" vertical="center"/>
    </xf>
    <xf numFmtId="0" fontId="4" fillId="0" borderId="16" xfId="50" applyNumberFormat="1" applyFont="1" applyFill="1" applyBorder="1" applyAlignment="1">
      <alignment vertical="center"/>
    </xf>
    <xf numFmtId="0" fontId="6" fillId="0" borderId="1" xfId="50" applyNumberFormat="1" applyFont="1" applyFill="1" applyBorder="1" applyAlignment="1">
      <alignment vertical="center"/>
    </xf>
    <xf numFmtId="176" fontId="6" fillId="0" borderId="6" xfId="0" applyNumberFormat="1" applyFont="1" applyFill="1" applyBorder="1" applyAlignment="1">
      <alignment horizontal="center" vertical="center"/>
    </xf>
    <xf numFmtId="176" fontId="4" fillId="0" borderId="1" xfId="50" applyNumberFormat="1" applyFont="1" applyFill="1" applyBorder="1" applyAlignment="1">
      <alignment horizontal="left" vertical="center"/>
    </xf>
    <xf numFmtId="176" fontId="4" fillId="0" borderId="1" xfId="50" applyNumberFormat="1" applyFont="1" applyFill="1" applyBorder="1" applyAlignment="1">
      <alignment vertical="center"/>
    </xf>
    <xf numFmtId="176" fontId="4" fillId="0" borderId="1" xfId="50" applyNumberFormat="1" applyFont="1" applyFill="1" applyBorder="1" applyAlignment="1">
      <alignment vertical="center"/>
    </xf>
    <xf numFmtId="0" fontId="6" fillId="0" borderId="16" xfId="0" applyFont="1" applyFill="1" applyBorder="1" applyAlignment="1">
      <alignment horizontal="left"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4" fillId="0" borderId="0" xfId="0" applyFont="1" applyFill="1" applyAlignment="1">
      <alignment horizontal="center" vertical="center"/>
    </xf>
    <xf numFmtId="179" fontId="4" fillId="0" borderId="0" xfId="0" applyNumberFormat="1" applyFont="1" applyFill="1" applyAlignment="1">
      <alignment horizontal="center" vertical="center"/>
    </xf>
    <xf numFmtId="178" fontId="4" fillId="0" borderId="0" xfId="0" applyNumberFormat="1" applyFont="1" applyFill="1" applyAlignment="1">
      <alignment horizontal="center" vertical="center"/>
    </xf>
    <xf numFmtId="41" fontId="4" fillId="0" borderId="0" xfId="0" applyNumberFormat="1" applyFont="1" applyFill="1" applyAlignment="1">
      <alignment horizontal="left" vertical="center"/>
    </xf>
    <xf numFmtId="41" fontId="4" fillId="0" borderId="0" xfId="8" applyNumberFormat="1" applyFont="1" applyFill="1" applyAlignment="1">
      <alignment horizontal="left" vertical="center"/>
    </xf>
    <xf numFmtId="41" fontId="4" fillId="0" borderId="0" xfId="8" applyNumberFormat="1" applyFont="1" applyFill="1" applyAlignment="1">
      <alignment horizontal="center" vertical="center"/>
    </xf>
    <xf numFmtId="10" fontId="4" fillId="0" borderId="0" xfId="8" applyNumberFormat="1" applyFont="1" applyFill="1" applyAlignment="1">
      <alignment horizontal="center" vertical="center"/>
    </xf>
    <xf numFmtId="176" fontId="4" fillId="0" borderId="0" xfId="8" applyNumberFormat="1" applyFont="1" applyFill="1" applyAlignment="1">
      <alignment horizontal="center" vertical="center"/>
    </xf>
    <xf numFmtId="0" fontId="6" fillId="0" borderId="0" xfId="0" applyNumberFormat="1" applyFont="1" applyFill="1" applyAlignment="1">
      <alignment horizontal="center" vertical="center" wrapText="1"/>
    </xf>
    <xf numFmtId="0" fontId="6" fillId="0" borderId="8" xfId="50" applyNumberFormat="1" applyFont="1" applyFill="1" applyBorder="1" applyAlignment="1">
      <alignment horizontal="center" vertical="center" wrapText="1"/>
    </xf>
    <xf numFmtId="0" fontId="5" fillId="0" borderId="9" xfId="50" applyNumberFormat="1" applyFont="1" applyFill="1" applyBorder="1" applyAlignment="1">
      <alignment horizontal="center" vertical="center" wrapText="1"/>
    </xf>
    <xf numFmtId="179" fontId="5" fillId="0" borderId="9" xfId="50" applyNumberFormat="1" applyFont="1" applyFill="1" applyBorder="1" applyAlignment="1">
      <alignment horizontal="center" vertical="center" wrapText="1"/>
    </xf>
    <xf numFmtId="178" fontId="5" fillId="0" borderId="9" xfId="50" applyNumberFormat="1" applyFont="1" applyFill="1" applyBorder="1" applyAlignment="1">
      <alignment horizontal="center" vertical="center" wrapText="1"/>
    </xf>
    <xf numFmtId="41" fontId="5" fillId="0" borderId="9" xfId="50" applyNumberFormat="1" applyFont="1" applyFill="1" applyBorder="1" applyAlignment="1">
      <alignment horizontal="center" vertical="center" wrapText="1"/>
    </xf>
    <xf numFmtId="0" fontId="6" fillId="0" borderId="10" xfId="50" applyNumberFormat="1" applyFont="1" applyFill="1" applyBorder="1" applyAlignment="1">
      <alignment horizontal="center" vertical="center" wrapText="1"/>
    </xf>
    <xf numFmtId="0" fontId="6" fillId="0" borderId="1" xfId="50" applyNumberFormat="1" applyFont="1" applyFill="1" applyBorder="1" applyAlignment="1">
      <alignment horizontal="center" vertical="center" wrapText="1"/>
    </xf>
    <xf numFmtId="179" fontId="6" fillId="0" borderId="1" xfId="50" applyNumberFormat="1" applyFont="1" applyFill="1" applyBorder="1" applyAlignment="1">
      <alignment horizontal="center" vertical="center" wrapText="1"/>
    </xf>
    <xf numFmtId="178" fontId="6" fillId="0" borderId="1" xfId="50" applyNumberFormat="1" applyFont="1" applyFill="1" applyBorder="1" applyAlignment="1">
      <alignment horizontal="center" vertical="center" wrapText="1"/>
    </xf>
    <xf numFmtId="41" fontId="6" fillId="0" borderId="1" xfId="50" applyNumberFormat="1" applyFont="1" applyFill="1" applyBorder="1" applyAlignment="1">
      <alignment horizontal="center" vertical="center" wrapText="1"/>
    </xf>
    <xf numFmtId="0" fontId="6" fillId="0" borderId="0" xfId="0" applyNumberFormat="1" applyFont="1" applyFill="1" applyAlignment="1">
      <alignment vertical="center" wrapText="1"/>
    </xf>
    <xf numFmtId="0" fontId="6" fillId="0" borderId="11" xfId="50" applyNumberFormat="1" applyFont="1" applyFill="1" applyBorder="1" applyAlignment="1">
      <alignment horizontal="center" vertical="center" wrapText="1"/>
    </xf>
    <xf numFmtId="0" fontId="6" fillId="0" borderId="12" xfId="50" applyNumberFormat="1" applyFont="1" applyFill="1" applyBorder="1" applyAlignment="1">
      <alignment horizontal="center" vertical="center" wrapText="1"/>
    </xf>
    <xf numFmtId="179" fontId="6" fillId="0" borderId="12" xfId="50" applyNumberFormat="1" applyFont="1" applyFill="1" applyBorder="1" applyAlignment="1">
      <alignment horizontal="center" vertical="center" wrapText="1"/>
    </xf>
    <xf numFmtId="178" fontId="6" fillId="0" borderId="12" xfId="50" applyNumberFormat="1" applyFont="1" applyFill="1" applyBorder="1" applyAlignment="1">
      <alignment horizontal="center" vertical="center" wrapText="1"/>
    </xf>
    <xf numFmtId="41" fontId="6" fillId="0" borderId="12" xfId="50" applyNumberFormat="1" applyFont="1" applyFill="1" applyBorder="1" applyAlignment="1">
      <alignment horizontal="center" vertical="center" wrapText="1"/>
    </xf>
    <xf numFmtId="179" fontId="4" fillId="0" borderId="13" xfId="50" applyNumberFormat="1" applyFont="1" applyFill="1" applyBorder="1" applyAlignment="1">
      <alignment horizontal="center" vertical="center"/>
    </xf>
    <xf numFmtId="0" fontId="4" fillId="0" borderId="7" xfId="50" applyNumberFormat="1" applyFont="1" applyFill="1" applyBorder="1" applyAlignment="1">
      <alignment horizontal="left" vertical="center"/>
    </xf>
    <xf numFmtId="179" fontId="4" fillId="0" borderId="7" xfId="50" applyNumberFormat="1" applyFont="1" applyFill="1" applyBorder="1" applyAlignment="1">
      <alignment horizontal="center" vertical="center"/>
    </xf>
    <xf numFmtId="178" fontId="4" fillId="0" borderId="7" xfId="50" applyNumberFormat="1" applyFont="1" applyFill="1" applyBorder="1" applyAlignment="1">
      <alignment horizontal="center" vertical="center"/>
    </xf>
    <xf numFmtId="41" fontId="4" fillId="0" borderId="7" xfId="50" applyNumberFormat="1" applyFont="1" applyFill="1" applyBorder="1" applyAlignment="1">
      <alignment horizontal="left" vertical="center"/>
    </xf>
    <xf numFmtId="179" fontId="4" fillId="0" borderId="10" xfId="50" applyNumberFormat="1" applyFont="1" applyFill="1" applyBorder="1" applyAlignment="1">
      <alignment horizontal="center" vertical="center"/>
    </xf>
    <xf numFmtId="0" fontId="4" fillId="0" borderId="1" xfId="50" applyNumberFormat="1" applyFont="1" applyFill="1" applyBorder="1" applyAlignment="1">
      <alignment horizontal="left" vertical="center"/>
    </xf>
    <xf numFmtId="179" fontId="4" fillId="0" borderId="1" xfId="50" applyNumberFormat="1" applyFont="1" applyFill="1" applyBorder="1" applyAlignment="1">
      <alignment horizontal="center" vertical="center"/>
    </xf>
    <xf numFmtId="178" fontId="4" fillId="0" borderId="1" xfId="50" applyNumberFormat="1" applyFont="1" applyFill="1" applyBorder="1" applyAlignment="1">
      <alignment horizontal="center" vertical="center"/>
    </xf>
    <xf numFmtId="41" fontId="4" fillId="0" borderId="1" xfId="50"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179"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41" fontId="4" fillId="0" borderId="1" xfId="0" applyNumberFormat="1" applyFont="1" applyFill="1" applyBorder="1" applyAlignment="1">
      <alignment horizontal="left" vertical="center"/>
    </xf>
    <xf numFmtId="41" fontId="5" fillId="0" borderId="9" xfId="8" applyNumberFormat="1" applyFont="1" applyFill="1" applyBorder="1" applyAlignment="1" applyProtection="1">
      <alignment horizontal="center" vertical="center" wrapText="1"/>
    </xf>
    <xf numFmtId="41" fontId="5" fillId="0" borderId="14" xfId="8" applyNumberFormat="1" applyFont="1" applyFill="1" applyBorder="1" applyAlignment="1" applyProtection="1">
      <alignment horizontal="center" vertical="center" wrapText="1"/>
    </xf>
    <xf numFmtId="41" fontId="5" fillId="0" borderId="15" xfId="8" applyNumberFormat="1" applyFont="1" applyFill="1" applyBorder="1" applyAlignment="1" applyProtection="1">
      <alignment horizontal="center" vertical="center" wrapText="1"/>
    </xf>
    <xf numFmtId="41" fontId="6" fillId="0" borderId="1" xfId="8" applyNumberFormat="1" applyFont="1" applyFill="1" applyBorder="1" applyAlignment="1" applyProtection="1">
      <alignment horizontal="center" vertical="center" wrapText="1"/>
    </xf>
    <xf numFmtId="41" fontId="6" fillId="0" borderId="16" xfId="8" applyNumberFormat="1" applyFont="1" applyFill="1" applyBorder="1" applyAlignment="1" applyProtection="1">
      <alignment horizontal="center" vertical="center" wrapText="1"/>
    </xf>
    <xf numFmtId="41" fontId="6" fillId="0" borderId="6" xfId="8" applyNumberFormat="1" applyFont="1" applyFill="1" applyBorder="1" applyAlignment="1" applyProtection="1">
      <alignment horizontal="center" vertical="center" wrapText="1"/>
    </xf>
    <xf numFmtId="41" fontId="6" fillId="0" borderId="6" xfId="8" applyNumberFormat="1" applyFont="1" applyFill="1" applyBorder="1" applyAlignment="1">
      <alignment horizontal="center" vertical="center" wrapText="1"/>
    </xf>
    <xf numFmtId="41" fontId="6" fillId="0" borderId="1" xfId="8" applyNumberFormat="1" applyFont="1" applyFill="1" applyBorder="1" applyAlignment="1">
      <alignment horizontal="center" vertical="center" wrapText="1"/>
    </xf>
    <xf numFmtId="41" fontId="6" fillId="0" borderId="12" xfId="8" applyNumberFormat="1" applyFont="1" applyFill="1" applyBorder="1" applyAlignment="1" applyProtection="1">
      <alignment horizontal="center" vertical="center" wrapText="1"/>
    </xf>
    <xf numFmtId="41" fontId="6" fillId="0" borderId="17" xfId="8" applyNumberFormat="1" applyFont="1" applyFill="1" applyBorder="1" applyAlignment="1" applyProtection="1">
      <alignment horizontal="center" vertical="center" wrapText="1"/>
    </xf>
    <xf numFmtId="41" fontId="6" fillId="0" borderId="18" xfId="8" applyNumberFormat="1" applyFont="1" applyFill="1" applyBorder="1" applyAlignment="1">
      <alignment horizontal="center" vertical="center" wrapText="1"/>
    </xf>
    <xf numFmtId="41" fontId="6" fillId="0" borderId="12" xfId="8" applyNumberFormat="1" applyFont="1" applyFill="1" applyBorder="1" applyAlignment="1">
      <alignment horizontal="center" vertical="center" wrapText="1"/>
    </xf>
    <xf numFmtId="41" fontId="4" fillId="0" borderId="7" xfId="8" applyNumberFormat="1" applyFont="1" applyFill="1" applyBorder="1" applyAlignment="1" applyProtection="1">
      <alignment horizontal="left" vertical="center"/>
    </xf>
    <xf numFmtId="41" fontId="4" fillId="0" borderId="19" xfId="8" applyNumberFormat="1" applyFont="1" applyFill="1" applyBorder="1" applyAlignment="1" applyProtection="1">
      <alignment horizontal="left" vertical="center"/>
    </xf>
    <xf numFmtId="41" fontId="4" fillId="0" borderId="20" xfId="8" applyNumberFormat="1" applyFont="1" applyFill="1" applyBorder="1" applyAlignment="1" applyProtection="1">
      <alignment horizontal="left" vertical="center"/>
    </xf>
    <xf numFmtId="41" fontId="4" fillId="0" borderId="7" xfId="8" applyNumberFormat="1" applyFont="1" applyFill="1" applyBorder="1" applyAlignment="1" applyProtection="1">
      <alignment horizontal="center" vertical="center"/>
    </xf>
    <xf numFmtId="41" fontId="4" fillId="0" borderId="1" xfId="8" applyNumberFormat="1" applyFont="1" applyFill="1" applyBorder="1" applyAlignment="1" applyProtection="1">
      <alignment horizontal="left" vertical="center"/>
    </xf>
    <xf numFmtId="41" fontId="4" fillId="0" borderId="16" xfId="8" applyNumberFormat="1" applyFont="1" applyFill="1" applyBorder="1" applyAlignment="1" applyProtection="1">
      <alignment horizontal="left" vertical="center"/>
    </xf>
    <xf numFmtId="41" fontId="4" fillId="0" borderId="6" xfId="8" applyNumberFormat="1" applyFont="1" applyFill="1" applyBorder="1" applyAlignment="1" applyProtection="1">
      <alignment horizontal="left" vertical="center"/>
    </xf>
    <xf numFmtId="41" fontId="4" fillId="0" borderId="1" xfId="8" applyNumberFormat="1" applyFont="1" applyFill="1" applyBorder="1" applyAlignment="1" applyProtection="1">
      <alignment horizontal="center" vertical="center"/>
    </xf>
    <xf numFmtId="41" fontId="4" fillId="0" borderId="1" xfId="8" applyNumberFormat="1" applyFont="1" applyFill="1" applyBorder="1" applyAlignment="1">
      <alignment horizontal="left" vertical="center"/>
    </xf>
    <xf numFmtId="41" fontId="4" fillId="0" borderId="16" xfId="8" applyNumberFormat="1" applyFont="1" applyFill="1" applyBorder="1" applyAlignment="1">
      <alignment horizontal="left" vertical="center"/>
    </xf>
    <xf numFmtId="41" fontId="4" fillId="0" borderId="6" xfId="8" applyNumberFormat="1" applyFont="1" applyFill="1" applyBorder="1" applyAlignment="1">
      <alignment horizontal="left" vertical="center"/>
    </xf>
    <xf numFmtId="41" fontId="4" fillId="0" borderId="1" xfId="8" applyNumberFormat="1" applyFont="1" applyFill="1" applyBorder="1" applyAlignment="1">
      <alignment horizontal="center" vertical="center"/>
    </xf>
    <xf numFmtId="10" fontId="5" fillId="0" borderId="9" xfId="8" applyNumberFormat="1" applyFont="1" applyFill="1" applyBorder="1" applyAlignment="1" applyProtection="1">
      <alignment horizontal="center" vertical="center" wrapText="1"/>
    </xf>
    <xf numFmtId="176" fontId="5" fillId="0" borderId="14" xfId="8" applyNumberFormat="1" applyFont="1" applyFill="1" applyBorder="1" applyAlignment="1" applyProtection="1">
      <alignment horizontal="center" vertical="center" wrapText="1"/>
    </xf>
    <xf numFmtId="10" fontId="6" fillId="0" borderId="1" xfId="8" applyNumberFormat="1" applyFont="1" applyFill="1" applyBorder="1" applyAlignment="1" applyProtection="1">
      <alignment horizontal="center" vertical="center" wrapText="1"/>
    </xf>
    <xf numFmtId="176" fontId="6" fillId="0" borderId="16" xfId="8" applyNumberFormat="1" applyFont="1" applyFill="1" applyBorder="1" applyAlignment="1">
      <alignment horizontal="center" vertical="center" wrapText="1"/>
    </xf>
    <xf numFmtId="41" fontId="6" fillId="0" borderId="16" xfId="8" applyNumberFormat="1" applyFont="1" applyFill="1" applyBorder="1" applyAlignment="1">
      <alignment horizontal="center" vertical="center" wrapText="1"/>
    </xf>
    <xf numFmtId="41" fontId="6" fillId="0" borderId="17" xfId="8" applyNumberFormat="1" applyFont="1" applyFill="1" applyBorder="1" applyAlignment="1">
      <alignment horizontal="center" vertical="center" wrapText="1"/>
    </xf>
    <xf numFmtId="41" fontId="6" fillId="0" borderId="18" xfId="8" applyNumberFormat="1" applyFont="1" applyFill="1" applyBorder="1" applyAlignment="1" applyProtection="1">
      <alignment horizontal="center" vertical="center"/>
    </xf>
    <xf numFmtId="41" fontId="6" fillId="0" borderId="12" xfId="8" applyNumberFormat="1" applyFont="1" applyFill="1" applyBorder="1" applyAlignment="1" applyProtection="1">
      <alignment horizontal="center" vertical="center"/>
    </xf>
    <xf numFmtId="10" fontId="6" fillId="0" borderId="12" xfId="8" applyNumberFormat="1" applyFont="1" applyFill="1" applyBorder="1" applyAlignment="1" applyProtection="1">
      <alignment horizontal="center" vertical="center"/>
    </xf>
    <xf numFmtId="176" fontId="6" fillId="0" borderId="17" xfId="8" applyNumberFormat="1" applyFont="1" applyFill="1" applyBorder="1" applyAlignment="1" applyProtection="1">
      <alignment horizontal="center" vertical="center"/>
    </xf>
    <xf numFmtId="41" fontId="4" fillId="0" borderId="19" xfId="8" applyNumberFormat="1" applyFont="1" applyFill="1" applyBorder="1" applyAlignment="1" applyProtection="1">
      <alignment horizontal="center" vertical="center"/>
    </xf>
    <xf numFmtId="41" fontId="4" fillId="0" borderId="20" xfId="8" applyNumberFormat="1" applyFont="1" applyFill="1" applyBorder="1" applyAlignment="1" applyProtection="1">
      <alignment horizontal="center" vertical="center"/>
    </xf>
    <xf numFmtId="10" fontId="4" fillId="0" borderId="7" xfId="8" applyNumberFormat="1" applyFont="1" applyFill="1" applyBorder="1" applyAlignment="1" applyProtection="1">
      <alignment horizontal="center" vertical="center"/>
    </xf>
    <xf numFmtId="176" fontId="4" fillId="0" borderId="19" xfId="8" applyNumberFormat="1" applyFont="1" applyFill="1" applyBorder="1" applyAlignment="1" applyProtection="1">
      <alignment horizontal="center" vertical="center"/>
    </xf>
    <xf numFmtId="41" fontId="4" fillId="0" borderId="16" xfId="8" applyNumberFormat="1" applyFont="1" applyFill="1" applyBorder="1" applyAlignment="1" applyProtection="1">
      <alignment horizontal="center" vertical="center"/>
    </xf>
    <xf numFmtId="41" fontId="4" fillId="0" borderId="6" xfId="8" applyNumberFormat="1" applyFont="1" applyFill="1" applyBorder="1" applyAlignment="1" applyProtection="1">
      <alignment horizontal="center" vertical="center"/>
    </xf>
    <xf numFmtId="10" fontId="4" fillId="0" borderId="1" xfId="8" applyNumberFormat="1" applyFont="1" applyFill="1" applyBorder="1" applyAlignment="1" applyProtection="1">
      <alignment horizontal="center" vertical="center"/>
    </xf>
    <xf numFmtId="176" fontId="4" fillId="0" borderId="16" xfId="8" applyNumberFormat="1" applyFont="1" applyFill="1" applyBorder="1" applyAlignment="1" applyProtection="1">
      <alignment horizontal="center" vertical="center"/>
    </xf>
    <xf numFmtId="41" fontId="4" fillId="0" borderId="16" xfId="8" applyNumberFormat="1" applyFont="1" applyFill="1" applyBorder="1" applyAlignment="1">
      <alignment horizontal="center" vertical="center"/>
    </xf>
    <xf numFmtId="0" fontId="7" fillId="0" borderId="0" xfId="0"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ill="1" applyAlignment="1">
      <alignment horizontal="center" vertical="center" wrapText="1"/>
    </xf>
    <xf numFmtId="43" fontId="0" fillId="0" borderId="0" xfId="8" applyFill="1" applyAlignment="1">
      <alignment horizontal="center" vertical="center" wrapText="1"/>
    </xf>
    <xf numFmtId="10" fontId="0" fillId="0" borderId="0" xfId="0" applyNumberFormat="1" applyFill="1" applyAlignment="1">
      <alignment horizontal="center" vertical="center" wrapText="1"/>
    </xf>
    <xf numFmtId="0" fontId="8" fillId="0" borderId="0" xfId="0" applyFont="1" applyFill="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178" fontId="1" fillId="0" borderId="9" xfId="0" applyNumberFormat="1" applyFont="1" applyFill="1" applyBorder="1" applyAlignment="1">
      <alignment horizontal="center" vertical="center" wrapText="1"/>
    </xf>
    <xf numFmtId="43" fontId="1" fillId="0" borderId="9" xfId="8" applyFont="1" applyFill="1" applyBorder="1" applyAlignment="1">
      <alignment horizontal="center" vertical="center" wrapText="1"/>
    </xf>
    <xf numFmtId="178" fontId="1" fillId="0" borderId="9" xfId="8"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43" fontId="7" fillId="0" borderId="12" xfId="8" applyFont="1" applyFill="1" applyBorder="1" applyAlignment="1">
      <alignment horizontal="center" vertical="center" wrapText="1"/>
    </xf>
    <xf numFmtId="10" fontId="7" fillId="0" borderId="12" xfId="0" applyNumberFormat="1"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7" xfId="0" applyFont="1" applyFill="1" applyBorder="1" applyAlignment="1">
      <alignment horizontal="center" vertical="center" wrapText="1"/>
    </xf>
    <xf numFmtId="43" fontId="0" fillId="0" borderId="7" xfId="8" applyFont="1" applyFill="1" applyBorder="1" applyAlignment="1">
      <alignment horizontal="center" vertical="center" wrapText="1"/>
    </xf>
    <xf numFmtId="10" fontId="0" fillId="0" borderId="7" xfId="0" applyNumberFormat="1"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 xfId="0" applyFont="1" applyFill="1" applyBorder="1" applyAlignment="1">
      <alignment horizontal="center" vertical="center" wrapText="1"/>
    </xf>
    <xf numFmtId="43" fontId="0" fillId="0" borderId="1" xfId="8" applyFont="1" applyFill="1" applyBorder="1" applyAlignment="1">
      <alignment horizontal="center" vertical="center" wrapText="1"/>
    </xf>
    <xf numFmtId="10" fontId="0" fillId="0" borderId="1" xfId="0" applyNumberFormat="1"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5" xfId="0" applyFont="1" applyFill="1" applyBorder="1" applyAlignment="1">
      <alignment horizontal="center" vertical="center" wrapText="1"/>
    </xf>
    <xf numFmtId="43" fontId="0" fillId="0" borderId="5" xfId="8" applyFont="1" applyFill="1" applyBorder="1" applyAlignment="1">
      <alignment horizontal="center" vertical="center" wrapText="1"/>
    </xf>
    <xf numFmtId="10" fontId="0" fillId="0" borderId="5" xfId="0" applyNumberFormat="1"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23" xfId="0" applyFont="1" applyFill="1" applyBorder="1" applyAlignment="1">
      <alignment horizontal="center" vertical="center" wrapText="1"/>
    </xf>
    <xf numFmtId="43" fontId="7" fillId="0" borderId="23" xfId="8" applyFont="1" applyFill="1" applyBorder="1" applyAlignment="1">
      <alignment horizontal="center" vertical="center" wrapText="1"/>
    </xf>
    <xf numFmtId="10" fontId="7" fillId="0" borderId="23" xfId="0" applyNumberFormat="1" applyFont="1" applyFill="1" applyBorder="1" applyAlignment="1">
      <alignment horizontal="center" vertical="center" wrapText="1"/>
    </xf>
    <xf numFmtId="43" fontId="1" fillId="0" borderId="0" xfId="8" applyFont="1" applyFill="1" applyAlignment="1">
      <alignment horizontal="center" vertical="center" wrapText="1"/>
    </xf>
    <xf numFmtId="0" fontId="2" fillId="0" borderId="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1" fillId="0" borderId="10" xfId="0" applyFont="1" applyFill="1" applyBorder="1" applyAlignment="1">
      <alignment horizontal="center" vertical="center" wrapText="1"/>
    </xf>
    <xf numFmtId="181" fontId="1" fillId="0" borderId="1" xfId="0" applyNumberFormat="1" applyFont="1" applyFill="1" applyBorder="1" applyAlignment="1">
      <alignment horizontal="center" vertical="center" wrapText="1"/>
    </xf>
    <xf numFmtId="0" fontId="1" fillId="0" borderId="11" xfId="0" applyFont="1" applyFill="1" applyBorder="1" applyAlignment="1">
      <alignment horizontal="center" vertical="center" wrapText="1"/>
    </xf>
    <xf numFmtId="178" fontId="1" fillId="0" borderId="12" xfId="0" applyNumberFormat="1" applyFont="1" applyFill="1" applyBorder="1" applyAlignment="1">
      <alignment horizontal="center" vertical="center" wrapText="1"/>
    </xf>
    <xf numFmtId="0" fontId="1" fillId="0" borderId="12" xfId="0" applyFont="1" applyFill="1" applyBorder="1" applyAlignment="1">
      <alignment horizontal="center" vertical="center" wrapText="1"/>
    </xf>
    <xf numFmtId="181" fontId="1" fillId="0" borderId="12" xfId="0" applyNumberFormat="1" applyFont="1" applyFill="1" applyBorder="1" applyAlignment="1">
      <alignment horizontal="center" vertical="center" wrapText="1"/>
    </xf>
    <xf numFmtId="43" fontId="1" fillId="0" borderId="1" xfId="8" applyFont="1" applyFill="1" applyBorder="1" applyAlignment="1">
      <alignment horizontal="center" vertical="center" wrapText="1"/>
    </xf>
    <xf numFmtId="179" fontId="1" fillId="0" borderId="1" xfId="8"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wrapText="1"/>
    </xf>
    <xf numFmtId="43" fontId="0" fillId="0" borderId="1" xfId="8" applyFont="1" applyFill="1" applyBorder="1" applyAlignment="1">
      <alignment horizontal="left" vertical="center" wrapText="1"/>
    </xf>
    <xf numFmtId="179" fontId="0" fillId="0" borderId="1" xfId="8" applyNumberFormat="1" applyFill="1" applyBorder="1" applyAlignment="1">
      <alignment horizontal="center" vertical="center" wrapText="1"/>
    </xf>
    <xf numFmtId="179" fontId="0" fillId="0" borderId="1" xfId="0" applyNumberFormat="1" applyFill="1" applyBorder="1" applyAlignment="1">
      <alignment horizontal="center" vertical="center" wrapText="1"/>
    </xf>
    <xf numFmtId="43" fontId="1" fillId="0" borderId="12" xfId="8" applyFont="1" applyFill="1" applyBorder="1" applyAlignment="1">
      <alignment horizontal="center" vertical="center" wrapText="1"/>
    </xf>
    <xf numFmtId="179" fontId="1" fillId="0" borderId="12" xfId="8" applyNumberFormat="1" applyFont="1" applyFill="1" applyBorder="1" applyAlignment="1">
      <alignment horizontal="center" vertical="center" wrapText="1"/>
    </xf>
    <xf numFmtId="179" fontId="1" fillId="0" borderId="12" xfId="0" applyNumberFormat="1" applyFont="1" applyFill="1" applyBorder="1" applyAlignment="1">
      <alignment horizontal="center" vertical="center" wrapText="1"/>
    </xf>
    <xf numFmtId="0" fontId="1" fillId="0" borderId="14"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2" fillId="0" borderId="14" xfId="0" applyFont="1" applyFill="1" applyBorder="1" applyAlignment="1">
      <alignment horizontal="left" vertical="center" wrapText="1"/>
    </xf>
    <xf numFmtId="0" fontId="9" fillId="0" borderId="0" xfId="0" applyFont="1" applyFill="1" applyAlignment="1">
      <alignment horizontal="center" vertical="center" wrapText="1"/>
    </xf>
    <xf numFmtId="0" fontId="2" fillId="0" borderId="16" xfId="0" applyFont="1" applyFill="1" applyBorder="1" applyAlignment="1">
      <alignment horizontal="left" vertical="center" wrapText="1"/>
    </xf>
    <xf numFmtId="181" fontId="1" fillId="0" borderId="16" xfId="0" applyNumberFormat="1" applyFont="1" applyFill="1" applyBorder="1" applyAlignment="1">
      <alignment horizontal="center" vertical="center" wrapText="1"/>
    </xf>
    <xf numFmtId="0" fontId="10" fillId="0" borderId="0" xfId="0" applyFont="1" applyFill="1" applyAlignment="1">
      <alignment vertical="center" wrapText="1"/>
    </xf>
    <xf numFmtId="181" fontId="1" fillId="0" borderId="17" xfId="0" applyNumberFormat="1" applyFont="1" applyFill="1" applyBorder="1" applyAlignment="1">
      <alignment horizontal="center" vertical="center" wrapText="1"/>
    </xf>
    <xf numFmtId="179" fontId="1" fillId="0" borderId="16" xfId="0" applyNumberFormat="1" applyFont="1" applyFill="1" applyBorder="1" applyAlignment="1">
      <alignment horizontal="center" vertical="center" wrapText="1"/>
    </xf>
    <xf numFmtId="179" fontId="1" fillId="0" borderId="16" xfId="0" applyNumberFormat="1" applyFont="1" applyFill="1" applyBorder="1" applyAlignment="1">
      <alignment horizontal="center" vertical="center" wrapText="1"/>
    </xf>
    <xf numFmtId="179" fontId="1" fillId="0" borderId="17"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178" fontId="13" fillId="0" borderId="0" xfId="0" applyNumberFormat="1" applyFont="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_x0001_ _H15009B-GS" xfId="49"/>
    <cellStyle name="常规 2" xfId="50"/>
  </cellStyles>
  <tableStyles count="0" defaultTableStyle="TableStyleMedium2" defaultPivotStyle="PivotStyleMedium9"/>
  <colors>
    <mruColors>
      <color rgb="0000FF00"/>
      <color rgb="0092D05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8"/>
  <sheetViews>
    <sheetView workbookViewId="0">
      <selection activeCell="G6" sqref="G6"/>
    </sheetView>
  </sheetViews>
  <sheetFormatPr defaultColWidth="9" defaultRowHeight="44" customHeight="1" outlineLevelRow="7" outlineLevelCol="4"/>
  <cols>
    <col min="1" max="2" width="9" style="378"/>
    <col min="3" max="3" width="18.375" style="378" customWidth="1"/>
    <col min="4" max="4" width="19.875" style="379" customWidth="1"/>
    <col min="5" max="16384" width="9" style="378"/>
  </cols>
  <sheetData>
    <row r="1" customHeight="1" spans="2:5">
      <c r="B1" s="380" t="s">
        <v>0</v>
      </c>
      <c r="C1" s="380"/>
      <c r="D1" s="380"/>
      <c r="E1" s="380"/>
    </row>
    <row r="2" ht="64" customHeight="1" spans="3:4">
      <c r="C2" s="380" t="s">
        <v>1</v>
      </c>
      <c r="D2" s="380"/>
    </row>
    <row r="3" ht="64" customHeight="1" spans="3:4">
      <c r="C3" s="380" t="s">
        <v>2</v>
      </c>
      <c r="D3" s="380"/>
    </row>
    <row r="4" ht="64" customHeight="1" spans="3:4">
      <c r="C4" s="380" t="s">
        <v>3</v>
      </c>
      <c r="D4" s="380"/>
    </row>
    <row r="5" ht="64" customHeight="1" spans="3:4">
      <c r="C5" s="380" t="s">
        <v>4</v>
      </c>
      <c r="D5" s="380"/>
    </row>
    <row r="6" ht="64" customHeight="1" spans="3:4">
      <c r="C6" s="380" t="s">
        <v>5</v>
      </c>
      <c r="D6" s="380"/>
    </row>
    <row r="7" customHeight="1" spans="2:4">
      <c r="B7" s="381" t="s">
        <v>6</v>
      </c>
      <c r="C7" s="381"/>
      <c r="D7" s="382">
        <v>43008</v>
      </c>
    </row>
    <row r="8" customHeight="1" spans="2:4">
      <c r="B8" s="381" t="s">
        <v>7</v>
      </c>
      <c r="C8" s="381"/>
      <c r="D8" s="382">
        <v>43008</v>
      </c>
    </row>
  </sheetData>
  <mergeCells count="8">
    <mergeCell ref="B1:E1"/>
    <mergeCell ref="C2:D2"/>
    <mergeCell ref="C3:D3"/>
    <mergeCell ref="C4:D4"/>
    <mergeCell ref="C5:D5"/>
    <mergeCell ref="C6:D6"/>
    <mergeCell ref="B7:C7"/>
    <mergeCell ref="B8:C8"/>
  </mergeCells>
  <pageMargins left="1.18055555555556" right="0.751388888888889" top="1" bottom="1" header="0.511805555555556" footer="0.511805555555556"/>
  <pageSetup paperSize="9" orientation="portrait" horizontalDpi="6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8"/>
  <sheetViews>
    <sheetView workbookViewId="0">
      <selection activeCell="K4" sqref="K4"/>
    </sheetView>
  </sheetViews>
  <sheetFormatPr defaultColWidth="9" defaultRowHeight="21" customHeight="1" outlineLevelRow="7"/>
  <cols>
    <col min="1" max="1" width="9" style="1"/>
    <col min="2" max="2" width="14.625" style="1" customWidth="1"/>
    <col min="3" max="3" width="14.75" style="1" customWidth="1"/>
    <col min="4" max="16384" width="9" style="1"/>
  </cols>
  <sheetData>
    <row r="2" customHeight="1" spans="2:6">
      <c r="B2" s="2" t="s">
        <v>55</v>
      </c>
      <c r="C2" s="2" t="s">
        <v>1508</v>
      </c>
      <c r="D2" s="2" t="s">
        <v>1508</v>
      </c>
      <c r="E2" s="2" t="s">
        <v>1508</v>
      </c>
      <c r="F2" s="2" t="s">
        <v>1508</v>
      </c>
    </row>
    <row r="3" customHeight="1" spans="2:6">
      <c r="B3" s="2" t="s">
        <v>1509</v>
      </c>
      <c r="C3" s="2" t="s">
        <v>1510</v>
      </c>
      <c r="D3" s="2" t="s">
        <v>1511</v>
      </c>
      <c r="E3" s="2" t="s">
        <v>1512</v>
      </c>
      <c r="F3" s="2"/>
    </row>
    <row r="4" customHeight="1" spans="2:11">
      <c r="B4" s="2" t="s">
        <v>1513</v>
      </c>
      <c r="C4" s="2" t="s">
        <v>1514</v>
      </c>
      <c r="D4" s="2" t="s">
        <v>1515</v>
      </c>
      <c r="E4" s="2"/>
      <c r="F4" s="2"/>
      <c r="K4" s="1" t="s">
        <v>31</v>
      </c>
    </row>
    <row r="5" customHeight="1" spans="2:6">
      <c r="B5" s="2" t="s">
        <v>1516</v>
      </c>
      <c r="C5" s="2" t="s">
        <v>1517</v>
      </c>
      <c r="D5" s="2" t="s">
        <v>1518</v>
      </c>
      <c r="E5" s="2" t="s">
        <v>1519</v>
      </c>
      <c r="F5" s="2" t="s">
        <v>1520</v>
      </c>
    </row>
    <row r="6" customHeight="1" spans="2:6">
      <c r="B6" s="2" t="s">
        <v>1521</v>
      </c>
      <c r="C6" s="2" t="s">
        <v>1522</v>
      </c>
      <c r="D6" s="2" t="s">
        <v>1523</v>
      </c>
      <c r="E6" s="2"/>
      <c r="F6" s="2"/>
    </row>
    <row r="7" customHeight="1" spans="2:6">
      <c r="B7" s="2" t="s">
        <v>1524</v>
      </c>
      <c r="C7" s="2" t="s">
        <v>1525</v>
      </c>
      <c r="D7" s="2"/>
      <c r="E7" s="2"/>
      <c r="F7" s="2"/>
    </row>
    <row r="8" customHeight="1" spans="2:6">
      <c r="B8" s="2" t="s">
        <v>1526</v>
      </c>
      <c r="C8" s="2" t="s">
        <v>1510</v>
      </c>
      <c r="D8" s="2"/>
      <c r="E8" s="2"/>
      <c r="F8" s="2"/>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24"/>
  <sheetViews>
    <sheetView tabSelected="1" workbookViewId="0">
      <selection activeCell="J23" sqref="J23"/>
    </sheetView>
  </sheetViews>
  <sheetFormatPr defaultColWidth="9" defaultRowHeight="18" customHeight="1"/>
  <cols>
    <col min="1" max="1" width="3.375" style="315" customWidth="1"/>
    <col min="2" max="2" width="6.5" style="315" customWidth="1"/>
    <col min="3" max="3" width="16.75" style="315" customWidth="1"/>
    <col min="4" max="4" width="10.125" style="315" customWidth="1"/>
    <col min="5" max="5" width="22.875" style="316" customWidth="1"/>
    <col min="6" max="6" width="21.875" style="316" customWidth="1"/>
    <col min="7" max="7" width="21.125" style="316" customWidth="1"/>
    <col min="8" max="8" width="18.25" style="317" customWidth="1"/>
    <col min="9" max="9" width="12.625" style="315" customWidth="1"/>
    <col min="10" max="10" width="14.25" style="315" customWidth="1"/>
    <col min="11" max="11" width="11.25" style="19" customWidth="1"/>
    <col min="12" max="12" width="12.625" style="315"/>
    <col min="13" max="16384" width="9" style="315"/>
  </cols>
  <sheetData>
    <row r="1" ht="36" customHeight="1" spans="2:10">
      <c r="B1" s="318" t="s">
        <v>8</v>
      </c>
      <c r="C1" s="318"/>
      <c r="D1" s="318"/>
      <c r="E1" s="318"/>
      <c r="F1" s="318"/>
      <c r="G1" s="318"/>
      <c r="H1" s="318"/>
      <c r="I1" s="318"/>
      <c r="J1" s="318"/>
    </row>
    <row r="2" s="19" customFormat="1" ht="24" customHeight="1" spans="2:10">
      <c r="B2" s="319" t="s">
        <v>9</v>
      </c>
      <c r="C2" s="320"/>
      <c r="D2" s="321">
        <f>封面!D7</f>
        <v>43008</v>
      </c>
      <c r="E2" s="321"/>
      <c r="F2" s="322" t="s">
        <v>10</v>
      </c>
      <c r="G2" s="323">
        <f>封面!D8</f>
        <v>43008</v>
      </c>
      <c r="H2" s="323"/>
      <c r="I2" s="320" t="s">
        <v>11</v>
      </c>
      <c r="J2" s="363"/>
    </row>
    <row r="3" s="313" customFormat="1" ht="24" customHeight="1" spans="2:11">
      <c r="B3" s="324" t="s">
        <v>12</v>
      </c>
      <c r="C3" s="325" t="s">
        <v>13</v>
      </c>
      <c r="D3" s="325" t="s">
        <v>14</v>
      </c>
      <c r="E3" s="326" t="s">
        <v>15</v>
      </c>
      <c r="F3" s="326" t="s">
        <v>16</v>
      </c>
      <c r="G3" s="326" t="s">
        <v>17</v>
      </c>
      <c r="H3" s="327" t="s">
        <v>18</v>
      </c>
      <c r="I3" s="325" t="s">
        <v>19</v>
      </c>
      <c r="J3" s="364" t="s">
        <v>20</v>
      </c>
      <c r="K3" s="313" t="s">
        <v>21</v>
      </c>
    </row>
    <row r="4" s="314" customFormat="1" ht="24" customHeight="1" spans="2:11">
      <c r="B4" s="328">
        <v>1</v>
      </c>
      <c r="C4" s="329" t="s">
        <v>22</v>
      </c>
      <c r="D4" s="329">
        <f>COUNTIF(合同执行情况明细汇总!$D:$D,"=EPC合同")</f>
        <v>6</v>
      </c>
      <c r="E4" s="330">
        <f>SUMIF(合同执行情况明细汇总!$D:$D,$C4,合同执行情况明细汇总!$G:$G)</f>
        <v>794400000</v>
      </c>
      <c r="F4" s="330">
        <f>SUMIF(合同执行情况明细汇总!$D:$D,$C4,合同执行情况明细汇总!$AJ:$AJ)</f>
        <v>85249756.4</v>
      </c>
      <c r="G4" s="330">
        <f>E4-F4</f>
        <v>709150243.6</v>
      </c>
      <c r="H4" s="331">
        <f>F4/E4</f>
        <v>0.107313389224572</v>
      </c>
      <c r="I4" s="329">
        <f>COUNTIFS(合同执行情况明细汇总!$D:$D,"EPC合同",合同执行情况明细汇总!$AK:$AK,"0.00")</f>
        <v>0</v>
      </c>
      <c r="J4" s="365">
        <f>D4-I4</f>
        <v>6</v>
      </c>
      <c r="K4" s="19" t="str">
        <f>IF(E4-'1、EPC合同'!I5=0,"数据正确","数据错误")</f>
        <v>数据正确</v>
      </c>
    </row>
    <row r="5" s="314" customFormat="1" ht="24" customHeight="1" spans="2:11">
      <c r="B5" s="332">
        <v>2</v>
      </c>
      <c r="C5" s="333" t="s">
        <v>23</v>
      </c>
      <c r="D5" s="333">
        <f>COUNTIF(合同执行情况明细汇总!$D:$D,"=设备合同")</f>
        <v>98</v>
      </c>
      <c r="E5" s="334">
        <f>SUMIF(合同执行情况明细汇总!$D:$D,$C5,合同执行情况明细汇总!$G:$G)</f>
        <v>540913226.499</v>
      </c>
      <c r="F5" s="334">
        <f>SUMIF(合同执行情况明细汇总!$D:$D,$C5,合同执行情况明细汇总!$AJ:$AJ)</f>
        <v>93544402.569</v>
      </c>
      <c r="G5" s="334">
        <f>E5-F5</f>
        <v>447368823.93</v>
      </c>
      <c r="H5" s="335">
        <f>F5/E5</f>
        <v>0.172937909421176</v>
      </c>
      <c r="I5" s="333">
        <f>COUNTIFS(合同执行情况明细汇总!$D:$D,"设备合同",合同执行情况明细汇总!$AK:$AK,"0.00")</f>
        <v>3</v>
      </c>
      <c r="J5" s="366">
        <f>D5-I5</f>
        <v>95</v>
      </c>
      <c r="K5" s="19" t="str">
        <f>IF(E5-'2、设备合同'!I5=0,"数据正确","数据错误")</f>
        <v>数据正确</v>
      </c>
    </row>
    <row r="6" s="314" customFormat="1" ht="24" customHeight="1" spans="2:11">
      <c r="B6" s="332">
        <v>3</v>
      </c>
      <c r="C6" s="333" t="s">
        <v>24</v>
      </c>
      <c r="D6" s="333">
        <f>COUNTIF(合同执行情况明细汇总!$D:$D,"=工程合同")</f>
        <v>92</v>
      </c>
      <c r="E6" s="334">
        <f>SUMIF(合同执行情况明细汇总!$D:$D,$C6,合同执行情况明细汇总!$G:$G)</f>
        <v>1023167250.00118</v>
      </c>
      <c r="F6" s="334">
        <f>SUMIF(合同执行情况明细汇总!$D:$D,$C6,合同执行情况明细汇总!$AJ:$AJ)</f>
        <v>532849345.765</v>
      </c>
      <c r="G6" s="334">
        <f>E6-F6</f>
        <v>490317904.23618</v>
      </c>
      <c r="H6" s="335">
        <f>F6/E6</f>
        <v>0.520784207825637</v>
      </c>
      <c r="I6" s="333">
        <f>COUNTIFS(合同执行情况明细汇总!$D:$D,"工程合同",合同执行情况明细汇总!$AK:$AK,"0.00")</f>
        <v>33</v>
      </c>
      <c r="J6" s="366">
        <f>D6-I6</f>
        <v>59</v>
      </c>
      <c r="K6" s="19" t="str">
        <f>IF(E6-'3、工程合同'!I5=0,"数据正确","数据错误")</f>
        <v>数据正确</v>
      </c>
    </row>
    <row r="7" s="314" customFormat="1" ht="24" customHeight="1" spans="2:11">
      <c r="B7" s="336">
        <v>4</v>
      </c>
      <c r="C7" s="337" t="s">
        <v>25</v>
      </c>
      <c r="D7" s="337">
        <f>COUNTIF(合同执行情况明细汇总!$D:$D,"=其他合同")</f>
        <v>61</v>
      </c>
      <c r="E7" s="338">
        <f>SUMIF(合同执行情况明细汇总!$D:$D,$C7,合同执行情况明细汇总!$G:$G)</f>
        <v>291367075.266</v>
      </c>
      <c r="F7" s="338">
        <f>SUMIF(合同执行情况明细汇总!$D:$D,$C7,合同执行情况明细汇总!$AJ:$AJ)</f>
        <v>279700595.266</v>
      </c>
      <c r="G7" s="338">
        <f>E7-F7</f>
        <v>11666480</v>
      </c>
      <c r="H7" s="339">
        <f>F7/E7</f>
        <v>0.959959511590837</v>
      </c>
      <c r="I7" s="337">
        <f>COUNTIFS(合同执行情况明细汇总!$D:$D,"其他合同",合同执行情况明细汇总!$AK:$AK,"0.00")</f>
        <v>32</v>
      </c>
      <c r="J7" s="367">
        <f>D7-I7</f>
        <v>29</v>
      </c>
      <c r="K7" s="19" t="str">
        <f>IF(E7-'4、其他合同'!I5=0,"数据正确","数据错误")</f>
        <v>数据正确</v>
      </c>
    </row>
    <row r="8" s="313" customFormat="1" ht="24" customHeight="1" spans="2:10">
      <c r="B8" s="340" t="s">
        <v>26</v>
      </c>
      <c r="C8" s="341"/>
      <c r="D8" s="341">
        <f>SUM(D4:D7)</f>
        <v>257</v>
      </c>
      <c r="E8" s="342">
        <f>SUM(E4:E7)</f>
        <v>2649847551.76618</v>
      </c>
      <c r="F8" s="342">
        <f>SUM(F4:F7)</f>
        <v>991344100</v>
      </c>
      <c r="G8" s="342">
        <f>SUM(G4:G7)</f>
        <v>1658503451.76618</v>
      </c>
      <c r="H8" s="343">
        <f>F8/E8</f>
        <v>0.374113635080346</v>
      </c>
      <c r="I8" s="341">
        <f>SUM(I4:I7)</f>
        <v>68</v>
      </c>
      <c r="J8" s="368">
        <f>SUM(J4:J7)</f>
        <v>189</v>
      </c>
    </row>
    <row r="9" customHeight="1" spans="4:5">
      <c r="D9" s="19" t="s">
        <v>27</v>
      </c>
      <c r="E9" s="344" t="str">
        <f>合同执行情况明细汇总!AN5</f>
        <v>数据正确</v>
      </c>
    </row>
    <row r="10" s="20" customFormat="1" ht="20" customHeight="1" spans="2:11">
      <c r="B10" s="345" t="s">
        <v>28</v>
      </c>
      <c r="C10" s="346"/>
      <c r="D10" s="346"/>
      <c r="E10" s="346"/>
      <c r="F10" s="346"/>
      <c r="G10" s="346"/>
      <c r="H10" s="346"/>
      <c r="I10" s="346"/>
      <c r="J10" s="369"/>
      <c r="K10" s="370"/>
    </row>
    <row r="11" s="20" customFormat="1" ht="20" customHeight="1" spans="2:11">
      <c r="B11" s="347" t="s">
        <v>29</v>
      </c>
      <c r="C11" s="29"/>
      <c r="D11" s="29"/>
      <c r="E11" s="29"/>
      <c r="F11" s="29"/>
      <c r="G11" s="29"/>
      <c r="H11" s="29"/>
      <c r="I11" s="29"/>
      <c r="J11" s="371"/>
      <c r="K11" s="370"/>
    </row>
    <row r="12" s="20" customFormat="1" ht="20" customHeight="1" spans="2:13">
      <c r="B12" s="347" t="s">
        <v>30</v>
      </c>
      <c r="C12" s="29"/>
      <c r="D12" s="29"/>
      <c r="E12" s="29"/>
      <c r="F12" s="29"/>
      <c r="G12" s="29"/>
      <c r="H12" s="29"/>
      <c r="I12" s="29"/>
      <c r="J12" s="371"/>
      <c r="K12" s="370"/>
      <c r="M12" s="20" t="s">
        <v>31</v>
      </c>
    </row>
    <row r="13" s="19" customFormat="1" ht="20" customHeight="1" spans="2:14">
      <c r="B13" s="348" t="s">
        <v>32</v>
      </c>
      <c r="C13" s="28">
        <f>D2</f>
        <v>43008</v>
      </c>
      <c r="D13" s="26" t="s">
        <v>33</v>
      </c>
      <c r="E13" s="26"/>
      <c r="F13" s="26"/>
      <c r="G13" s="349">
        <v>1200000000</v>
      </c>
      <c r="H13" s="349"/>
      <c r="I13" s="349"/>
      <c r="J13" s="372"/>
      <c r="K13" s="373"/>
      <c r="L13" s="373"/>
      <c r="M13" s="373"/>
      <c r="N13" s="373"/>
    </row>
    <row r="14" s="19" customFormat="1" ht="20" customHeight="1" spans="2:14">
      <c r="B14" s="348"/>
      <c r="C14" s="28"/>
      <c r="D14" s="26" t="s">
        <v>34</v>
      </c>
      <c r="E14" s="26"/>
      <c r="F14" s="26"/>
      <c r="G14" s="349">
        <v>210000000</v>
      </c>
      <c r="H14" s="349"/>
      <c r="I14" s="349"/>
      <c r="J14" s="372"/>
      <c r="K14" s="373"/>
      <c r="L14" s="373"/>
      <c r="M14" s="373"/>
      <c r="N14" s="373"/>
    </row>
    <row r="15" ht="20" customHeight="1" spans="2:14">
      <c r="B15" s="348"/>
      <c r="C15" s="28"/>
      <c r="D15" s="26" t="s">
        <v>35</v>
      </c>
      <c r="E15" s="26"/>
      <c r="F15" s="26"/>
      <c r="G15" s="349">
        <f>F8</f>
        <v>991344100</v>
      </c>
      <c r="H15" s="349"/>
      <c r="I15" s="349"/>
      <c r="J15" s="372"/>
      <c r="K15" s="373"/>
      <c r="L15" s="373"/>
      <c r="M15" s="373"/>
      <c r="N15" s="373"/>
    </row>
    <row r="16" ht="20" customHeight="1" spans="2:14">
      <c r="B16" s="350"/>
      <c r="C16" s="351"/>
      <c r="D16" s="352" t="s">
        <v>36</v>
      </c>
      <c r="E16" s="352"/>
      <c r="F16" s="352"/>
      <c r="G16" s="353">
        <f>(62439385.77)/3*2</f>
        <v>41626257.18</v>
      </c>
      <c r="H16" s="353"/>
      <c r="I16" s="353"/>
      <c r="J16" s="374"/>
      <c r="K16" s="373"/>
      <c r="L16" s="373"/>
      <c r="M16" s="373"/>
      <c r="N16" s="373"/>
    </row>
    <row r="17" ht="7" customHeight="1"/>
    <row r="18" s="19" customFormat="1" ht="21" customHeight="1" spans="4:9">
      <c r="D18" s="319" t="s">
        <v>37</v>
      </c>
      <c r="E18" s="322" t="s">
        <v>38</v>
      </c>
      <c r="F18" s="322"/>
      <c r="G18" s="322" t="s">
        <v>39</v>
      </c>
      <c r="H18" s="322" t="s">
        <v>40</v>
      </c>
      <c r="I18" s="363" t="s">
        <v>41</v>
      </c>
    </row>
    <row r="19" s="19" customFormat="1" customHeight="1" spans="4:9">
      <c r="D19" s="348"/>
      <c r="E19" s="354" t="s">
        <v>42</v>
      </c>
      <c r="F19" s="354"/>
      <c r="G19" s="355">
        <f>E8</f>
        <v>2649847551.76618</v>
      </c>
      <c r="H19" s="356">
        <f>F8</f>
        <v>991344100</v>
      </c>
      <c r="I19" s="375"/>
    </row>
    <row r="20" customHeight="1" spans="4:9">
      <c r="D20" s="348"/>
      <c r="E20" s="357" t="s">
        <v>43</v>
      </c>
      <c r="F20" s="357"/>
      <c r="G20" s="358">
        <f>-7332800-97800000</f>
        <v>-105132800</v>
      </c>
      <c r="H20" s="359">
        <f>-7332800-97800000</f>
        <v>-105132800</v>
      </c>
      <c r="I20" s="376">
        <f>SUM(H20:H22)</f>
        <v>-404079057.18</v>
      </c>
    </row>
    <row r="21" customHeight="1" spans="4:9">
      <c r="D21" s="348"/>
      <c r="E21" s="357" t="s">
        <v>44</v>
      </c>
      <c r="F21" s="357"/>
      <c r="G21" s="358">
        <f>-210000000-47320000</f>
        <v>-257320000</v>
      </c>
      <c r="H21" s="359">
        <f>-210000000-47320000</f>
        <v>-257320000</v>
      </c>
      <c r="I21" s="376"/>
    </row>
    <row r="22" s="315" customFormat="1" customHeight="1" spans="4:11">
      <c r="D22" s="348"/>
      <c r="E22" s="357" t="s">
        <v>45</v>
      </c>
      <c r="F22" s="357"/>
      <c r="G22" s="358">
        <f>-41626257.18</f>
        <v>-41626257.18</v>
      </c>
      <c r="H22" s="359">
        <f>-41626257.18</f>
        <v>-41626257.18</v>
      </c>
      <c r="I22" s="376"/>
      <c r="K22" s="19"/>
    </row>
    <row r="23" s="19" customFormat="1" customHeight="1" spans="4:9">
      <c r="D23" s="350"/>
      <c r="E23" s="360" t="s">
        <v>46</v>
      </c>
      <c r="F23" s="360"/>
      <c r="G23" s="361">
        <f>SUM(G19:G22)</f>
        <v>2245768494.58618</v>
      </c>
      <c r="H23" s="362">
        <f>SUM(H19:H22)</f>
        <v>587265042.82</v>
      </c>
      <c r="I23" s="377"/>
    </row>
    <row r="24" s="315" customFormat="1" customHeight="1" spans="5:11">
      <c r="E24" s="316"/>
      <c r="F24" s="316"/>
      <c r="G24" s="316"/>
      <c r="H24" s="317"/>
      <c r="K24" s="19"/>
    </row>
  </sheetData>
  <mergeCells count="27">
    <mergeCell ref="B1:J1"/>
    <mergeCell ref="B2:C2"/>
    <mergeCell ref="D2:E2"/>
    <mergeCell ref="G2:H2"/>
    <mergeCell ref="I2:J2"/>
    <mergeCell ref="B8:C8"/>
    <mergeCell ref="B10:J10"/>
    <mergeCell ref="B11:J11"/>
    <mergeCell ref="B12:J12"/>
    <mergeCell ref="D13:F13"/>
    <mergeCell ref="G13:J13"/>
    <mergeCell ref="D14:F14"/>
    <mergeCell ref="G14:J14"/>
    <mergeCell ref="D15:F15"/>
    <mergeCell ref="G15:J15"/>
    <mergeCell ref="D16:F16"/>
    <mergeCell ref="G16:J16"/>
    <mergeCell ref="E18:F18"/>
    <mergeCell ref="E19:F19"/>
    <mergeCell ref="E20:F20"/>
    <mergeCell ref="E21:F21"/>
    <mergeCell ref="E22:F22"/>
    <mergeCell ref="E23:F23"/>
    <mergeCell ref="B13:B16"/>
    <mergeCell ref="C13:C16"/>
    <mergeCell ref="D18:D23"/>
    <mergeCell ref="I20:I22"/>
  </mergeCell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1"/>
  <sheetViews>
    <sheetView workbookViewId="0">
      <pane xSplit="8" ySplit="5" topLeftCell="I6" activePane="bottomRight" state="frozen"/>
      <selection/>
      <selection pane="topRight"/>
      <selection pane="bottomLeft"/>
      <selection pane="bottomRight" activeCell="I257" sqref="I257"/>
    </sheetView>
  </sheetViews>
  <sheetFormatPr defaultColWidth="9" defaultRowHeight="18" customHeight="1"/>
  <cols>
    <col min="1" max="1" width="5.125" style="228" customWidth="1"/>
    <col min="2" max="2" width="4.875" style="231" customWidth="1"/>
    <col min="3" max="3" width="16.25" style="228" customWidth="1"/>
    <col min="4" max="4" width="10.375" style="232" customWidth="1"/>
    <col min="5" max="5" width="9.625" style="232" customWidth="1"/>
    <col min="6" max="6" width="12.125" style="233" customWidth="1"/>
    <col min="7" max="7" width="14.375" style="234" customWidth="1"/>
    <col min="8" max="8" width="19.875" style="234" customWidth="1"/>
    <col min="9" max="9" width="24.125" style="234" customWidth="1"/>
    <col min="10" max="10" width="11" style="235" customWidth="1"/>
    <col min="11" max="11" width="21.625" style="235" customWidth="1"/>
    <col min="12" max="12" width="14.5" style="235" customWidth="1"/>
    <col min="13" max="13" width="15" style="236" customWidth="1"/>
    <col min="14" max="14" width="12.875" style="236" customWidth="1"/>
    <col min="15" max="15" width="11.75" style="235" customWidth="1"/>
    <col min="16" max="17" width="11.75" style="236" customWidth="1"/>
    <col min="18" max="18" width="11.75" style="235" customWidth="1"/>
    <col min="19" max="20" width="11.75" style="236" customWidth="1"/>
    <col min="21" max="21" width="11.75" style="235" customWidth="1"/>
    <col min="22" max="23" width="11.75" style="236" customWidth="1"/>
    <col min="24" max="24" width="11.75" style="235" customWidth="1"/>
    <col min="25" max="26" width="11.75" style="236" customWidth="1"/>
    <col min="27" max="27" width="11.75" style="235" customWidth="1"/>
    <col min="28" max="29" width="11.75" style="236" customWidth="1"/>
    <col min="30" max="30" width="11.75" style="235" customWidth="1"/>
    <col min="31" max="35" width="11.75" style="236" customWidth="1"/>
    <col min="36" max="36" width="12.875" style="236" customWidth="1"/>
    <col min="37" max="37" width="13.75" style="236" customWidth="1"/>
    <col min="38" max="38" width="11.25" style="237" customWidth="1"/>
    <col min="39" max="39" width="13.75" style="236" customWidth="1"/>
    <col min="40" max="40" width="9.375" style="238" customWidth="1"/>
    <col min="41" max="16384" width="9" style="228"/>
  </cols>
  <sheetData>
    <row r="1" s="228" customFormat="1" ht="12" customHeight="1" spans="2:40">
      <c r="B1" s="231">
        <v>1</v>
      </c>
      <c r="C1" s="228">
        <v>2</v>
      </c>
      <c r="D1" s="231">
        <v>3</v>
      </c>
      <c r="E1" s="228">
        <v>4</v>
      </c>
      <c r="F1" s="231">
        <v>5</v>
      </c>
      <c r="G1" s="228">
        <v>6</v>
      </c>
      <c r="H1" s="231">
        <v>7</v>
      </c>
      <c r="I1" s="228">
        <v>8</v>
      </c>
      <c r="J1" s="231">
        <v>9</v>
      </c>
      <c r="K1" s="228">
        <v>10</v>
      </c>
      <c r="L1" s="231">
        <v>11</v>
      </c>
      <c r="M1" s="228">
        <v>12</v>
      </c>
      <c r="N1" s="231">
        <v>13</v>
      </c>
      <c r="O1" s="228">
        <v>14</v>
      </c>
      <c r="P1" s="231">
        <v>15</v>
      </c>
      <c r="Q1" s="228">
        <v>16</v>
      </c>
      <c r="R1" s="231">
        <v>17</v>
      </c>
      <c r="S1" s="228">
        <v>18</v>
      </c>
      <c r="T1" s="231">
        <v>19</v>
      </c>
      <c r="U1" s="228">
        <v>20</v>
      </c>
      <c r="V1" s="231">
        <v>21</v>
      </c>
      <c r="W1" s="228">
        <v>22</v>
      </c>
      <c r="X1" s="231">
        <v>23</v>
      </c>
      <c r="Y1" s="228">
        <v>24</v>
      </c>
      <c r="Z1" s="231">
        <v>25</v>
      </c>
      <c r="AA1" s="228">
        <v>26</v>
      </c>
      <c r="AB1" s="231">
        <v>27</v>
      </c>
      <c r="AC1" s="228">
        <v>28</v>
      </c>
      <c r="AD1" s="231">
        <v>29</v>
      </c>
      <c r="AE1" s="228">
        <v>30</v>
      </c>
      <c r="AF1" s="231">
        <v>31</v>
      </c>
      <c r="AG1" s="228">
        <v>32</v>
      </c>
      <c r="AH1" s="231">
        <v>33</v>
      </c>
      <c r="AI1" s="228">
        <v>34</v>
      </c>
      <c r="AJ1" s="231">
        <v>35</v>
      </c>
      <c r="AK1" s="228">
        <v>36</v>
      </c>
      <c r="AL1" s="231">
        <v>37</v>
      </c>
      <c r="AM1" s="228">
        <v>38</v>
      </c>
      <c r="AN1" s="231">
        <v>39</v>
      </c>
    </row>
    <row r="2" s="229" customFormat="1" ht="24" customHeight="1" spans="1:40">
      <c r="A2" s="239" t="s">
        <v>47</v>
      </c>
      <c r="B2" s="240" t="s">
        <v>48</v>
      </c>
      <c r="C2" s="241" t="s">
        <v>49</v>
      </c>
      <c r="D2" s="242"/>
      <c r="E2" s="242"/>
      <c r="F2" s="243"/>
      <c r="G2" s="244"/>
      <c r="H2" s="244"/>
      <c r="I2" s="244"/>
      <c r="J2" s="270"/>
      <c r="K2" s="271"/>
      <c r="L2" s="272" t="s">
        <v>50</v>
      </c>
      <c r="M2" s="270"/>
      <c r="N2" s="270"/>
      <c r="O2" s="270"/>
      <c r="P2" s="270"/>
      <c r="Q2" s="270"/>
      <c r="R2" s="270"/>
      <c r="S2" s="270"/>
      <c r="T2" s="270"/>
      <c r="U2" s="270"/>
      <c r="V2" s="270"/>
      <c r="W2" s="270"/>
      <c r="X2" s="270"/>
      <c r="Y2" s="270"/>
      <c r="Z2" s="270"/>
      <c r="AA2" s="270"/>
      <c r="AB2" s="270"/>
      <c r="AC2" s="270"/>
      <c r="AD2" s="270"/>
      <c r="AE2" s="270"/>
      <c r="AF2" s="270"/>
      <c r="AG2" s="270"/>
      <c r="AH2" s="270"/>
      <c r="AI2" s="271"/>
      <c r="AJ2" s="272" t="s">
        <v>51</v>
      </c>
      <c r="AK2" s="270"/>
      <c r="AL2" s="294"/>
      <c r="AM2" s="270"/>
      <c r="AN2" s="295"/>
    </row>
    <row r="3" s="230" customFormat="1" customHeight="1" spans="1:40">
      <c r="A3" s="239"/>
      <c r="B3" s="245"/>
      <c r="C3" s="246" t="s">
        <v>52</v>
      </c>
      <c r="D3" s="247" t="s">
        <v>13</v>
      </c>
      <c r="E3" s="247" t="s">
        <v>53</v>
      </c>
      <c r="F3" s="248" t="s">
        <v>54</v>
      </c>
      <c r="G3" s="249" t="s">
        <v>39</v>
      </c>
      <c r="H3" s="249" t="s">
        <v>55</v>
      </c>
      <c r="I3" s="249" t="s">
        <v>56</v>
      </c>
      <c r="J3" s="273" t="s">
        <v>57</v>
      </c>
      <c r="K3" s="274" t="s">
        <v>58</v>
      </c>
      <c r="L3" s="275" t="s">
        <v>59</v>
      </c>
      <c r="M3" s="273"/>
      <c r="N3" s="273"/>
      <c r="O3" s="273" t="s">
        <v>60</v>
      </c>
      <c r="P3" s="273"/>
      <c r="Q3" s="273"/>
      <c r="R3" s="273" t="s">
        <v>61</v>
      </c>
      <c r="S3" s="273"/>
      <c r="T3" s="273"/>
      <c r="U3" s="273" t="s">
        <v>62</v>
      </c>
      <c r="V3" s="273"/>
      <c r="W3" s="273"/>
      <c r="X3" s="273" t="s">
        <v>63</v>
      </c>
      <c r="Y3" s="273"/>
      <c r="Z3" s="273"/>
      <c r="AA3" s="273" t="s">
        <v>64</v>
      </c>
      <c r="AB3" s="273"/>
      <c r="AC3" s="273"/>
      <c r="AD3" s="273" t="s">
        <v>65</v>
      </c>
      <c r="AE3" s="273"/>
      <c r="AF3" s="273"/>
      <c r="AG3" s="273" t="s">
        <v>66</v>
      </c>
      <c r="AH3" s="273"/>
      <c r="AI3" s="274"/>
      <c r="AJ3" s="275" t="s">
        <v>67</v>
      </c>
      <c r="AK3" s="273" t="s">
        <v>68</v>
      </c>
      <c r="AL3" s="296" t="s">
        <v>18</v>
      </c>
      <c r="AM3" s="277" t="s">
        <v>69</v>
      </c>
      <c r="AN3" s="297" t="s">
        <v>70</v>
      </c>
    </row>
    <row r="4" s="230" customFormat="1" ht="26" customHeight="1" spans="1:40">
      <c r="A4" s="239"/>
      <c r="B4" s="245"/>
      <c r="C4" s="246"/>
      <c r="D4" s="247"/>
      <c r="E4" s="247"/>
      <c r="F4" s="248"/>
      <c r="G4" s="249"/>
      <c r="H4" s="249"/>
      <c r="I4" s="249"/>
      <c r="J4" s="273"/>
      <c r="K4" s="274"/>
      <c r="L4" s="276" t="s">
        <v>71</v>
      </c>
      <c r="M4" s="277" t="s">
        <v>72</v>
      </c>
      <c r="N4" s="277" t="s">
        <v>73</v>
      </c>
      <c r="O4" s="277" t="s">
        <v>71</v>
      </c>
      <c r="P4" s="277" t="s">
        <v>72</v>
      </c>
      <c r="Q4" s="277" t="s">
        <v>73</v>
      </c>
      <c r="R4" s="277" t="s">
        <v>71</v>
      </c>
      <c r="S4" s="277" t="s">
        <v>72</v>
      </c>
      <c r="T4" s="277" t="s">
        <v>73</v>
      </c>
      <c r="U4" s="277" t="s">
        <v>71</v>
      </c>
      <c r="V4" s="277" t="s">
        <v>72</v>
      </c>
      <c r="W4" s="277" t="s">
        <v>73</v>
      </c>
      <c r="X4" s="277" t="s">
        <v>71</v>
      </c>
      <c r="Y4" s="277" t="s">
        <v>72</v>
      </c>
      <c r="Z4" s="277" t="s">
        <v>73</v>
      </c>
      <c r="AA4" s="277" t="s">
        <v>71</v>
      </c>
      <c r="AB4" s="277" t="s">
        <v>72</v>
      </c>
      <c r="AC4" s="277" t="s">
        <v>73</v>
      </c>
      <c r="AD4" s="277" t="s">
        <v>71</v>
      </c>
      <c r="AE4" s="277" t="s">
        <v>72</v>
      </c>
      <c r="AF4" s="277" t="s">
        <v>73</v>
      </c>
      <c r="AG4" s="277" t="s">
        <v>71</v>
      </c>
      <c r="AH4" s="277" t="s">
        <v>72</v>
      </c>
      <c r="AI4" s="298" t="s">
        <v>73</v>
      </c>
      <c r="AJ4" s="275"/>
      <c r="AK4" s="273"/>
      <c r="AL4" s="296"/>
      <c r="AM4" s="277"/>
      <c r="AN4" s="297"/>
    </row>
    <row r="5" s="230" customFormat="1" ht="21" customHeight="1" spans="1:40">
      <c r="A5" s="250"/>
      <c r="B5" s="251" t="s">
        <v>26</v>
      </c>
      <c r="C5" s="252" t="s">
        <v>74</v>
      </c>
      <c r="D5" s="253" t="s">
        <v>75</v>
      </c>
      <c r="E5" s="253" t="s">
        <v>75</v>
      </c>
      <c r="F5" s="254" t="s">
        <v>75</v>
      </c>
      <c r="G5" s="255">
        <f>SUM(G6:G13999)</f>
        <v>2649847551.76618</v>
      </c>
      <c r="H5" s="255" t="s">
        <v>75</v>
      </c>
      <c r="I5" s="255" t="s">
        <v>75</v>
      </c>
      <c r="J5" s="278" t="s">
        <v>75</v>
      </c>
      <c r="K5" s="279" t="s">
        <v>75</v>
      </c>
      <c r="L5" s="280" t="s">
        <v>75</v>
      </c>
      <c r="M5" s="281">
        <f>SUM(M6:M13999)</f>
        <v>1237363618.10794</v>
      </c>
      <c r="N5" s="281">
        <f>SUM(N6:N13999)</f>
        <v>867859824.0616</v>
      </c>
      <c r="O5" s="281" t="s">
        <v>75</v>
      </c>
      <c r="P5" s="281">
        <f>SUM(P6:P13999)</f>
        <v>547915724.178827</v>
      </c>
      <c r="Q5" s="281">
        <f t="shared" ref="Q5:AI5" si="0">SUM(Q6:Q13999)</f>
        <v>99113480.9384</v>
      </c>
      <c r="R5" s="281" t="s">
        <v>75</v>
      </c>
      <c r="S5" s="281">
        <f t="shared" si="0"/>
        <v>330302619.287909</v>
      </c>
      <c r="T5" s="281">
        <f t="shared" si="0"/>
        <v>18860416</v>
      </c>
      <c r="U5" s="281" t="s">
        <v>75</v>
      </c>
      <c r="V5" s="281">
        <f t="shared" si="0"/>
        <v>97849712.6715</v>
      </c>
      <c r="W5" s="281">
        <f t="shared" si="0"/>
        <v>1590000</v>
      </c>
      <c r="X5" s="281" t="s">
        <v>75</v>
      </c>
      <c r="Y5" s="281">
        <f t="shared" si="0"/>
        <v>84587698.44</v>
      </c>
      <c r="Z5" s="281">
        <f t="shared" si="0"/>
        <v>0</v>
      </c>
      <c r="AA5" s="281" t="s">
        <v>75</v>
      </c>
      <c r="AB5" s="281">
        <f t="shared" si="0"/>
        <v>79664227.92</v>
      </c>
      <c r="AC5" s="281">
        <f t="shared" si="0"/>
        <v>0</v>
      </c>
      <c r="AD5" s="281" t="s">
        <v>75</v>
      </c>
      <c r="AE5" s="281">
        <f t="shared" si="0"/>
        <v>52489825.56</v>
      </c>
      <c r="AF5" s="281">
        <f t="shared" si="0"/>
        <v>3920379</v>
      </c>
      <c r="AG5" s="281" t="s">
        <v>75</v>
      </c>
      <c r="AH5" s="281">
        <f t="shared" si="0"/>
        <v>219674125.6</v>
      </c>
      <c r="AI5" s="299">
        <f t="shared" si="0"/>
        <v>0</v>
      </c>
      <c r="AJ5" s="300">
        <f t="shared" ref="AJ5:AJ80" si="1">N5+Q5+T5+W5+Z5+AC5+AF5+AI5</f>
        <v>991344100</v>
      </c>
      <c r="AK5" s="301">
        <f t="shared" ref="AK5:AK80" si="2">G5-AJ5</f>
        <v>1658503451.76618</v>
      </c>
      <c r="AL5" s="302">
        <f t="shared" ref="AL5:AL80" si="3">AJ5/G5</f>
        <v>0.374113635080346</v>
      </c>
      <c r="AM5" s="301">
        <f t="shared" ref="AM5:AM80" si="4">M5+P5+S5+V5+Y5+AB5+AE5+AH5</f>
        <v>2649847551.76618</v>
      </c>
      <c r="AN5" s="303" t="str">
        <f t="shared" ref="AN5:AN80" si="5">IF(AM5-G5=0,"数据正确","数据错误")</f>
        <v>数据正确</v>
      </c>
    </row>
    <row r="6" s="228" customFormat="1" customHeight="1" spans="1:40">
      <c r="A6" s="228" t="str">
        <f>IF(AL6=100%,"已完毕","")</f>
        <v/>
      </c>
      <c r="B6" s="256">
        <v>1</v>
      </c>
      <c r="C6" s="257" t="str">
        <f>VLOOKUP($B6,'1、EPC合同'!$D:$AK,2,0)</f>
        <v>YRKJEPC-170001</v>
      </c>
      <c r="D6" s="258" t="str">
        <f>VLOOKUP($B6,'1、EPC合同'!$D:$AK,3,0)</f>
        <v>EPC合同</v>
      </c>
      <c r="E6" s="258" t="str">
        <f>VLOOKUP($B6,'1、EPC合同'!$D:$AK,4,0)</f>
        <v>2017010004</v>
      </c>
      <c r="F6" s="259">
        <f>VLOOKUP($B6,'1、EPC合同'!$D:$AK,5,0)</f>
        <v>42805</v>
      </c>
      <c r="G6" s="260">
        <f>VLOOKUP($B6,'1、EPC合同'!$D:$AK,6,0)</f>
        <v>394000000</v>
      </c>
      <c r="H6" s="260" t="str">
        <f>VLOOKUP($B6,'1、EPC合同'!$D:$AK,7,0)</f>
        <v>动力站EPC工程，含部分冷凝回收  合计</v>
      </c>
      <c r="I6" s="260" t="str">
        <f>VLOOKUP($B6,'1、EPC合同'!$D:$AK,8,0)</f>
        <v>中国联合工程公司</v>
      </c>
      <c r="J6" s="282" t="str">
        <f>VLOOKUP($B6,'1、EPC合同'!$D:$AK,9,0)</f>
        <v>动力站装置</v>
      </c>
      <c r="K6" s="283" t="str">
        <f>VLOOKUP($B6,'1、EPC合同'!$D:$AK,10,0)</f>
        <v>6个月承兑汇汇票70%/电汇30%</v>
      </c>
      <c r="L6" s="284" t="str">
        <f>VLOOKUP($B6,'1、EPC合同'!$D:$AK,11,0)</f>
        <v>-</v>
      </c>
      <c r="M6" s="285">
        <f>VLOOKUP($B6,'1、EPC合同'!$D:$AK,12,0)</f>
        <v>22945118.8</v>
      </c>
      <c r="N6" s="285">
        <f>VLOOKUP($B6,'1、EPC合同'!$D:$AK,13,0)</f>
        <v>22945118.8</v>
      </c>
      <c r="O6" s="282">
        <f>VLOOKUP($B6,'1、EPC合同'!$D:$AK,14,0)</f>
        <v>0</v>
      </c>
      <c r="P6" s="285">
        <f>VLOOKUP($B6,'1、EPC合同'!$D:$AK,15,0)</f>
        <v>90642155.2</v>
      </c>
      <c r="Q6" s="285">
        <f>VLOOKUP($B6,'1、EPC合同'!$D:$AK,16,0)</f>
        <v>8526474</v>
      </c>
      <c r="R6" s="282">
        <f>VLOOKUP($B6,'1、EPC合同'!$D:$AK,17,0)</f>
        <v>0</v>
      </c>
      <c r="S6" s="285">
        <f>VLOOKUP($B6,'1、EPC合同'!$D:$AK,18,0)</f>
        <v>129429417.6</v>
      </c>
      <c r="T6" s="285">
        <f>VLOOKUP($B6,'1、EPC合同'!$D:$AK,19,0)</f>
        <v>15785416</v>
      </c>
      <c r="U6" s="282">
        <f>VLOOKUP($B6,'1、EPC合同'!$D:$AK,20,0)</f>
        <v>0</v>
      </c>
      <c r="V6" s="285">
        <f>VLOOKUP($B6,'1、EPC合同'!$D:$AK,21,0)</f>
        <v>27118129.3</v>
      </c>
      <c r="W6" s="285">
        <f>VLOOKUP($B6,'1、EPC合同'!$D:$AK,22,0)</f>
        <v>0</v>
      </c>
      <c r="X6" s="282">
        <f>VLOOKUP($B6,'1、EPC合同'!$D:$AK,23,0)</f>
        <v>0</v>
      </c>
      <c r="Y6" s="285">
        <f>VLOOKUP($B6,'1、EPC合同'!$D:$AK,24,0)</f>
        <v>38590688.7</v>
      </c>
      <c r="Z6" s="285">
        <f>VLOOKUP($B6,'1、EPC合同'!$D:$AK,25,0)</f>
        <v>0</v>
      </c>
      <c r="AA6" s="282">
        <f>VLOOKUP($B6,'1、EPC合同'!$D:$AK,26,0)</f>
        <v>0</v>
      </c>
      <c r="AB6" s="285">
        <f>VLOOKUP($B6,'1、EPC合同'!$D:$AK,27,0)</f>
        <v>38590688.7</v>
      </c>
      <c r="AC6" s="285">
        <f>VLOOKUP($B6,'1、EPC合同'!$D:$AK,28,0)</f>
        <v>0</v>
      </c>
      <c r="AD6" s="282">
        <f>VLOOKUP($B6,'1、EPC合同'!$D:$AK,29,0)</f>
        <v>0</v>
      </c>
      <c r="AE6" s="285">
        <f>VLOOKUP($B6,'1、EPC合同'!$D:$AK,30,0)</f>
        <v>26983801.7</v>
      </c>
      <c r="AF6" s="285">
        <f>VLOOKUP($B6,'1、EPC合同'!$D:$AK,31,0)</f>
        <v>3920379</v>
      </c>
      <c r="AG6" s="285">
        <f>VLOOKUP($B6,'1、EPC合同'!$D:$AK,32,0)</f>
        <v>0</v>
      </c>
      <c r="AH6" s="285">
        <f>VLOOKUP($B6,'1、EPC合同'!$D:$AK,33,0)</f>
        <v>19700000</v>
      </c>
      <c r="AI6" s="304">
        <f>VLOOKUP($B6,'1、EPC合同'!$D:$AK,34,0)</f>
        <v>0</v>
      </c>
      <c r="AJ6" s="305">
        <f t="shared" si="1"/>
        <v>51177387.8</v>
      </c>
      <c r="AK6" s="285">
        <f t="shared" si="2"/>
        <v>342822612.2</v>
      </c>
      <c r="AL6" s="306">
        <f t="shared" si="3"/>
        <v>0.129891847208122</v>
      </c>
      <c r="AM6" s="285">
        <f t="shared" si="4"/>
        <v>394000000</v>
      </c>
      <c r="AN6" s="307" t="str">
        <f t="shared" si="5"/>
        <v>数据正确</v>
      </c>
    </row>
    <row r="7" s="228" customFormat="1" customHeight="1" spans="1:40">
      <c r="A7" s="228" t="str">
        <f t="shared" ref="A7:A38" si="6">IF(AL7=100%,"已完毕","")</f>
        <v/>
      </c>
      <c r="B7" s="261">
        <v>2</v>
      </c>
      <c r="C7" s="262" t="str">
        <f>VLOOKUP($B7,'1、EPC合同'!$D:$AK,2,0)</f>
        <v>YRKJEPC-170002</v>
      </c>
      <c r="D7" s="263" t="str">
        <f>VLOOKUP($B7,'1、EPC合同'!$D:$AK,3,0)</f>
        <v>EPC合同</v>
      </c>
      <c r="E7" s="263" t="str">
        <f>VLOOKUP($B7,'1、EPC合同'!$D:$AK,4,0)</f>
        <v>2016120034</v>
      </c>
      <c r="F7" s="264">
        <f>VLOOKUP($B7,'1、EPC合同'!$D:$AK,5,0)</f>
        <v>42805</v>
      </c>
      <c r="G7" s="265">
        <f>VLOOKUP($B7,'1、EPC合同'!$D:$AK,6,0)</f>
        <v>150000000</v>
      </c>
      <c r="H7" s="265" t="str">
        <f>VLOOKUP($B7,'1、EPC合同'!$D:$AK,7,0)</f>
        <v>双氧水EPC设置   合计</v>
      </c>
      <c r="I7" s="265" t="str">
        <f>VLOOKUP($B7,'1、EPC合同'!$D:$AK,8,0)</f>
        <v>湖南省工业设备安装有限公司</v>
      </c>
      <c r="J7" s="286" t="str">
        <f>VLOOKUP($B7,'1、EPC合同'!$D:$AK,9,0)</f>
        <v>双氧水装置</v>
      </c>
      <c r="K7" s="287" t="str">
        <f>VLOOKUP($B7,'1、EPC合同'!$D:$AK,10,0)</f>
        <v>6个月承兑汇汇票/电汇下浮1.5%</v>
      </c>
      <c r="L7" s="288" t="str">
        <f>VLOOKUP($B7,'1、EPC合同'!$D:$AK,11,0)</f>
        <v>-</v>
      </c>
      <c r="M7" s="289">
        <f>VLOOKUP($B7,'1、EPC合同'!$D:$AK,12,0)</f>
        <v>41912800</v>
      </c>
      <c r="N7" s="289">
        <f>VLOOKUP($B7,'1、EPC合同'!$D:$AK,13,0)</f>
        <v>18068318.6</v>
      </c>
      <c r="O7" s="286" t="str">
        <f>VLOOKUP($B7,'1、EPC合同'!$D:$AK,14,0)</f>
        <v>-</v>
      </c>
      <c r="P7" s="289">
        <f>VLOOKUP($B7,'1、EPC合同'!$D:$AK,15,0)</f>
        <v>33778600</v>
      </c>
      <c r="Q7" s="289">
        <f>VLOOKUP($B7,'1、EPC合同'!$D:$AK,16,0)</f>
        <v>8399050</v>
      </c>
      <c r="R7" s="286" t="str">
        <f>VLOOKUP($B7,'1、EPC合同'!$D:$AK,17,0)</f>
        <v>-</v>
      </c>
      <c r="S7" s="289">
        <f>VLOOKUP($B7,'1、EPC合同'!$D:$AK,18,0)</f>
        <v>27310250</v>
      </c>
      <c r="T7" s="289">
        <f>VLOOKUP($B7,'1、EPC合同'!$D:$AK,19,0)</f>
        <v>0</v>
      </c>
      <c r="U7" s="286" t="str">
        <f>VLOOKUP($B7,'1、EPC合同'!$D:$AK,20,0)</f>
        <v>-</v>
      </c>
      <c r="V7" s="289">
        <f>VLOOKUP($B7,'1、EPC合同'!$D:$AK,21,0)</f>
        <v>6714050</v>
      </c>
      <c r="W7" s="289">
        <f>VLOOKUP($B7,'1、EPC合同'!$D:$AK,22,0)</f>
        <v>0</v>
      </c>
      <c r="X7" s="286" t="str">
        <f>VLOOKUP($B7,'1、EPC合同'!$D:$AK,23,0)</f>
        <v>-</v>
      </c>
      <c r="Y7" s="289">
        <f>VLOOKUP($B7,'1、EPC合同'!$D:$AK,24,0)</f>
        <v>13428100</v>
      </c>
      <c r="Z7" s="289">
        <f>VLOOKUP($B7,'1、EPC合同'!$D:$AK,25,0)</f>
        <v>0</v>
      </c>
      <c r="AA7" s="286" t="str">
        <f>VLOOKUP($B7,'1、EPC合同'!$D:$AK,26,0)</f>
        <v>-</v>
      </c>
      <c r="AB7" s="289">
        <f>VLOOKUP($B7,'1、EPC合同'!$D:$AK,27,0)</f>
        <v>13428100</v>
      </c>
      <c r="AC7" s="289">
        <f>VLOOKUP($B7,'1、EPC合同'!$D:$AK,28,0)</f>
        <v>0</v>
      </c>
      <c r="AD7" s="286" t="str">
        <f>VLOOKUP($B7,'1、EPC合同'!$D:$AK,29,0)</f>
        <v>-</v>
      </c>
      <c r="AE7" s="289">
        <f>VLOOKUP($B7,'1、EPC合同'!$D:$AK,30,0)</f>
        <v>6714050</v>
      </c>
      <c r="AF7" s="289">
        <f>VLOOKUP($B7,'1、EPC合同'!$D:$AK,31,0)</f>
        <v>0</v>
      </c>
      <c r="AG7" s="289" t="str">
        <f>VLOOKUP($B7,'1、EPC合同'!$D:$AK,32,0)</f>
        <v>-</v>
      </c>
      <c r="AH7" s="289">
        <f>VLOOKUP($B7,'1、EPC合同'!$D:$AK,33,0)</f>
        <v>6714050</v>
      </c>
      <c r="AI7" s="308">
        <f>VLOOKUP($B7,'1、EPC合同'!$D:$AK,34,0)</f>
        <v>0</v>
      </c>
      <c r="AJ7" s="309">
        <f t="shared" si="1"/>
        <v>26467368.6</v>
      </c>
      <c r="AK7" s="289">
        <f t="shared" si="2"/>
        <v>123532631.4</v>
      </c>
      <c r="AL7" s="310">
        <f t="shared" si="3"/>
        <v>0.176449124</v>
      </c>
      <c r="AM7" s="289">
        <f t="shared" si="4"/>
        <v>150000000</v>
      </c>
      <c r="AN7" s="311" t="str">
        <f t="shared" si="5"/>
        <v>数据正确</v>
      </c>
    </row>
    <row r="8" s="228" customFormat="1" customHeight="1" spans="1:40">
      <c r="A8" s="228" t="str">
        <f t="shared" si="6"/>
        <v/>
      </c>
      <c r="B8" s="261">
        <v>3</v>
      </c>
      <c r="C8" s="262" t="str">
        <f>VLOOKUP($B8,'1、EPC合同'!$D:$AK,2,0)</f>
        <v>YRKJEPC-170003</v>
      </c>
      <c r="D8" s="263" t="str">
        <f>VLOOKUP($B8,'1、EPC合同'!$D:$AK,3,0)</f>
        <v>EPC合同</v>
      </c>
      <c r="E8" s="263" t="str">
        <f>VLOOKUP($B8,'1、EPC合同'!$D:$AK,4,0)</f>
        <v>2016120035</v>
      </c>
      <c r="F8" s="264">
        <f>VLOOKUP($B8,'1、EPC合同'!$D:$AK,5,0)</f>
        <v>42806</v>
      </c>
      <c r="G8" s="265">
        <f>VLOOKUP($B8,'1、EPC合同'!$D:$AK,6,0)</f>
        <v>84600000</v>
      </c>
      <c r="H8" s="265" t="str">
        <f>VLOOKUP($B8,'1、EPC合同'!$D:$AK,7,0)</f>
        <v>材料及工程设备采购费（硫酸装置EPC)  合计</v>
      </c>
      <c r="I8" s="265" t="str">
        <f>VLOOKUP($B8,'1、EPC合同'!$D:$AK,8,0)</f>
        <v>上海奥格利环保工程有限公司/浙江工程设计有限公司/浙江工业设备安装集团有限公司</v>
      </c>
      <c r="J8" s="286" t="str">
        <f>VLOOKUP($B8,'1、EPC合同'!$D:$AK,9,0)</f>
        <v>硫酸装置</v>
      </c>
      <c r="K8" s="287" t="str">
        <f>VLOOKUP($B8,'1、EPC合同'!$D:$AK,10,0)</f>
        <v>所有支付均为6个月承兑汇票，如采用现金转账，扣除付款金额的2%</v>
      </c>
      <c r="L8" s="288" t="str">
        <f>VLOOKUP($B8,'1、EPC合同'!$D:$AK,11,0)</f>
        <v>-</v>
      </c>
      <c r="M8" s="289">
        <f>VLOOKUP($B8,'1、EPC合同'!$D:$AK,12,0)</f>
        <v>5970000</v>
      </c>
      <c r="N8" s="289">
        <f>VLOOKUP($B8,'1、EPC合同'!$D:$AK,13,0)</f>
        <v>5970000</v>
      </c>
      <c r="O8" s="286" t="str">
        <f>VLOOKUP($B8,'1、EPC合同'!$D:$AK,14,0)</f>
        <v>-</v>
      </c>
      <c r="P8" s="289">
        <f>VLOOKUP($B8,'1、EPC合同'!$D:$AK,15,0)</f>
        <v>23700000</v>
      </c>
      <c r="Q8" s="289">
        <f>VLOOKUP($B8,'1、EPC合同'!$D:$AK,16,0)</f>
        <v>0</v>
      </c>
      <c r="R8" s="286" t="str">
        <f>VLOOKUP($B8,'1、EPC合同'!$D:$AK,17,0)</f>
        <v>-</v>
      </c>
      <c r="S8" s="289">
        <f>VLOOKUP($B8,'1、EPC合同'!$D:$AK,18,0)</f>
        <v>29010000</v>
      </c>
      <c r="T8" s="289">
        <f>VLOOKUP($B8,'1、EPC合同'!$D:$AK,19,0)</f>
        <v>0</v>
      </c>
      <c r="U8" s="286" t="str">
        <f>VLOOKUP($B8,'1、EPC合同'!$D:$AK,20,0)</f>
        <v>-</v>
      </c>
      <c r="V8" s="289">
        <f>VLOOKUP($B8,'1、EPC合同'!$D:$AK,21,0)</f>
        <v>9000000</v>
      </c>
      <c r="W8" s="289">
        <f>VLOOKUP($B8,'1、EPC合同'!$D:$AK,22,0)</f>
        <v>0</v>
      </c>
      <c r="X8" s="286" t="str">
        <f>VLOOKUP($B8,'1、EPC合同'!$D:$AK,23,0)</f>
        <v>-</v>
      </c>
      <c r="Y8" s="289">
        <f>VLOOKUP($B8,'1、EPC合同'!$D:$AK,24,0)</f>
        <v>4230000</v>
      </c>
      <c r="Z8" s="289">
        <f>VLOOKUP($B8,'1、EPC合同'!$D:$AK,25,0)</f>
        <v>0</v>
      </c>
      <c r="AA8" s="286" t="str">
        <f>VLOOKUP($B8,'1、EPC合同'!$D:$AK,26,0)</f>
        <v>-</v>
      </c>
      <c r="AB8" s="289">
        <f>VLOOKUP($B8,'1、EPC合同'!$D:$AK,27,0)</f>
        <v>4230000</v>
      </c>
      <c r="AC8" s="289">
        <f>VLOOKUP($B8,'1、EPC合同'!$D:$AK,28,0)</f>
        <v>0</v>
      </c>
      <c r="AD8" s="286" t="str">
        <f>VLOOKUP($B8,'1、EPC合同'!$D:$AK,29,0)</f>
        <v>-</v>
      </c>
      <c r="AE8" s="289">
        <f>VLOOKUP($B8,'1、EPC合同'!$D:$AK,30,0)</f>
        <v>4230000</v>
      </c>
      <c r="AF8" s="289">
        <f>VLOOKUP($B8,'1、EPC合同'!$D:$AK,31,0)</f>
        <v>0</v>
      </c>
      <c r="AG8" s="289" t="str">
        <f>VLOOKUP($B8,'1、EPC合同'!$D:$AK,32,0)</f>
        <v>-</v>
      </c>
      <c r="AH8" s="289">
        <f>VLOOKUP($B8,'1、EPC合同'!$D:$AK,33,0)</f>
        <v>4230000</v>
      </c>
      <c r="AI8" s="308">
        <f>VLOOKUP($B8,'1、EPC合同'!$D:$AK,34,0)</f>
        <v>0</v>
      </c>
      <c r="AJ8" s="309">
        <f t="shared" si="1"/>
        <v>5970000</v>
      </c>
      <c r="AK8" s="289">
        <f t="shared" si="2"/>
        <v>78630000</v>
      </c>
      <c r="AL8" s="310">
        <f t="shared" si="3"/>
        <v>0.0705673758865248</v>
      </c>
      <c r="AM8" s="289">
        <f t="shared" si="4"/>
        <v>84600000</v>
      </c>
      <c r="AN8" s="311" t="str">
        <f t="shared" si="5"/>
        <v>数据正确</v>
      </c>
    </row>
    <row r="9" s="228" customFormat="1" customHeight="1" spans="1:40">
      <c r="A9" s="228" t="str">
        <f t="shared" si="6"/>
        <v/>
      </c>
      <c r="B9" s="256">
        <v>4</v>
      </c>
      <c r="C9" s="262" t="str">
        <f>VLOOKUP($B9,'1、EPC合同'!$D:$AK,2,0)</f>
        <v>YRKJEPC-170004</v>
      </c>
      <c r="D9" s="263" t="str">
        <f>VLOOKUP($B9,'1、EPC合同'!$D:$AK,3,0)</f>
        <v>EPC合同</v>
      </c>
      <c r="E9" s="263" t="str">
        <f>VLOOKUP($B9,'1、EPC合同'!$D:$AK,4,0)</f>
        <v>2017010038</v>
      </c>
      <c r="F9" s="264">
        <f>VLOOKUP($B9,'1、EPC合同'!$D:$AK,5,0)</f>
        <v>42816</v>
      </c>
      <c r="G9" s="265">
        <f>VLOOKUP($B9,'1、EPC合同'!$D:$AK,6,0)</f>
        <v>10900000</v>
      </c>
      <c r="H9" s="265" t="str">
        <f>VLOOKUP($B9,'1、EPC合同'!$D:$AK,7,0)</f>
        <v>空分制氮装置EPC（不含土建施工）  合计</v>
      </c>
      <c r="I9" s="265" t="str">
        <f>VLOOKUP($B9,'1、EPC合同'!$D:$AK,8,0)</f>
        <v>杭州福斯达深冷装备股份有限公司/济宁市化工设计院唐山分院/江苏天目建设集团有限公司</v>
      </c>
      <c r="J9" s="286" t="str">
        <f>VLOOKUP($B9,'1、EPC合同'!$D:$AK,9,0)</f>
        <v>空分制氮装置</v>
      </c>
      <c r="K9" s="287" t="str">
        <f>VLOOKUP($B9,'1、EPC合同'!$D:$AK,10,0)</f>
        <v>6个月承兑汇汇票/电汇无下浮</v>
      </c>
      <c r="L9" s="288" t="str">
        <f>VLOOKUP($B9,'1、EPC合同'!$D:$AK,11,0)</f>
        <v>-</v>
      </c>
      <c r="M9" s="289">
        <f>VLOOKUP($B9,'1、EPC合同'!$D:$AK,12,0)</f>
        <v>1635000</v>
      </c>
      <c r="N9" s="289">
        <f>VLOOKUP($B9,'1、EPC合同'!$D:$AK,13,0)</f>
        <v>1635000</v>
      </c>
      <c r="O9" s="286" t="str">
        <f>VLOOKUP($B9,'1、EPC合同'!$D:$AK,14,0)</f>
        <v>-</v>
      </c>
      <c r="P9" s="289">
        <f>VLOOKUP($B9,'1、EPC合同'!$D:$AK,15,0)</f>
        <v>3815000</v>
      </c>
      <c r="Q9" s="289">
        <f>VLOOKUP($B9,'1、EPC合同'!$D:$AK,16,0)</f>
        <v>0</v>
      </c>
      <c r="R9" s="286" t="str">
        <f>VLOOKUP($B9,'1、EPC合同'!$D:$AK,17,0)</f>
        <v>-</v>
      </c>
      <c r="S9" s="289">
        <f>VLOOKUP($B9,'1、EPC合同'!$D:$AK,18,0)</f>
        <v>2180000</v>
      </c>
      <c r="T9" s="289">
        <f>VLOOKUP($B9,'1、EPC合同'!$D:$AK,19,0)</f>
        <v>0</v>
      </c>
      <c r="U9" s="286" t="str">
        <f>VLOOKUP($B9,'1、EPC合同'!$D:$AK,20,0)</f>
        <v>-</v>
      </c>
      <c r="V9" s="289">
        <f>VLOOKUP($B9,'1、EPC合同'!$D:$AK,21,0)</f>
        <v>1090000</v>
      </c>
      <c r="W9" s="289">
        <f>VLOOKUP($B9,'1、EPC合同'!$D:$AK,22,0)</f>
        <v>0</v>
      </c>
      <c r="X9" s="286" t="str">
        <f>VLOOKUP($B9,'1、EPC合同'!$D:$AK,23,0)</f>
        <v>-</v>
      </c>
      <c r="Y9" s="289">
        <f>VLOOKUP($B9,'1、EPC合同'!$D:$AK,24,0)</f>
        <v>1090000</v>
      </c>
      <c r="Z9" s="289">
        <f>VLOOKUP($B9,'1、EPC合同'!$D:$AK,25,0)</f>
        <v>0</v>
      </c>
      <c r="AA9" s="286" t="str">
        <f>VLOOKUP($B9,'1、EPC合同'!$D:$AK,26,0)</f>
        <v>-</v>
      </c>
      <c r="AB9" s="289">
        <f>VLOOKUP($B9,'1、EPC合同'!$D:$AK,27,0)</f>
        <v>545000</v>
      </c>
      <c r="AC9" s="289">
        <f>VLOOKUP($B9,'1、EPC合同'!$D:$AK,28,0)</f>
        <v>0</v>
      </c>
      <c r="AD9" s="286" t="str">
        <f>VLOOKUP($B9,'1、EPC合同'!$D:$AK,29,0)</f>
        <v>-</v>
      </c>
      <c r="AE9" s="289">
        <f>VLOOKUP($B9,'1、EPC合同'!$D:$AK,30,0)</f>
        <v>545000</v>
      </c>
      <c r="AF9" s="289">
        <f>VLOOKUP($B9,'1、EPC合同'!$D:$AK,31,0)</f>
        <v>0</v>
      </c>
      <c r="AG9" s="289">
        <f>VLOOKUP($B9,'1、EPC合同'!$D:$AK,32,0)</f>
        <v>0</v>
      </c>
      <c r="AH9" s="289">
        <f>VLOOKUP($B9,'1、EPC合同'!$D:$AK,33,0)</f>
        <v>0</v>
      </c>
      <c r="AI9" s="308">
        <f>VLOOKUP($B9,'1、EPC合同'!$D:$AK,34,0)</f>
        <v>0</v>
      </c>
      <c r="AJ9" s="309">
        <f t="shared" si="1"/>
        <v>1635000</v>
      </c>
      <c r="AK9" s="289">
        <f t="shared" si="2"/>
        <v>9265000</v>
      </c>
      <c r="AL9" s="310">
        <f t="shared" si="3"/>
        <v>0.15</v>
      </c>
      <c r="AM9" s="289">
        <f t="shared" si="4"/>
        <v>10900000</v>
      </c>
      <c r="AN9" s="311" t="str">
        <f t="shared" si="5"/>
        <v>数据正确</v>
      </c>
    </row>
    <row r="10" s="228" customFormat="1" customHeight="1" spans="1:40">
      <c r="A10" s="228" t="str">
        <f t="shared" si="6"/>
        <v/>
      </c>
      <c r="B10" s="261">
        <v>5</v>
      </c>
      <c r="C10" s="262" t="str">
        <f>VLOOKUP($B10,'2、设备合同'!$D:$AK,2,0)</f>
        <v>YRKJEQ-170001</v>
      </c>
      <c r="D10" s="263" t="str">
        <f>VLOOKUP($B10,'2、设备合同'!$D:$AK,3,0)</f>
        <v>设备合同</v>
      </c>
      <c r="E10" s="263" t="str">
        <f>VLOOKUP($B10,'2、设备合同'!$D:$AK,4,0)</f>
        <v>2016080002</v>
      </c>
      <c r="F10" s="264">
        <f>VLOOKUP($B10,'2、设备合同'!$D:$AK,5,0)</f>
        <v>42772</v>
      </c>
      <c r="G10" s="265">
        <f>VLOOKUP($B10,'2、设备合同'!$D:$AK,6,0)</f>
        <v>11300000</v>
      </c>
      <c r="H10" s="265" t="str">
        <f>VLOOKUP($B10,'2、设备合同'!$D:$AK,7,0)</f>
        <v>液氨球罐（原概算4台改成2台，含设计费等）</v>
      </c>
      <c r="I10" s="265" t="str">
        <f>VLOOKUP($B10,'2、设备合同'!$D:$AK,8,0)</f>
        <v>荆门宏图特种飞行器制造有限公司</v>
      </c>
      <c r="J10" s="286" t="str">
        <f>VLOOKUP($B10,'2、设备合同'!$D:$AK,9,0)</f>
        <v>    </v>
      </c>
      <c r="K10" s="287" t="str">
        <f>VLOOKUP($B10,'2、设备合同'!$D:$AK,10,0)</f>
        <v>6个月承兑汇票</v>
      </c>
      <c r="L10" s="288" t="str">
        <f>VLOOKUP($B10,'2、设备合同'!$D:$AK,11,0)</f>
        <v>乙方提供预付款等额的银行保函后10个工作日，支付20%预付款</v>
      </c>
      <c r="M10" s="289">
        <f>VLOOKUP($B10,'2、设备合同'!$D:$AK,12,0)</f>
        <v>2260000</v>
      </c>
      <c r="N10" s="289">
        <f>VLOOKUP($B10,'2、设备合同'!$D:$AK,13,0)</f>
        <v>2260000</v>
      </c>
      <c r="O10" s="286" t="str">
        <f>VLOOKUP($B10,'2、设备合同'!$D:$AK,14,0)</f>
        <v>乙方提供收款收据，全额17%专票等额的银行保函后10个工作日支付50%发货款</v>
      </c>
      <c r="P10" s="289">
        <f>VLOOKUP($B10,'2、设备合同'!$D:$AK,15,0)</f>
        <v>5650000</v>
      </c>
      <c r="Q10" s="289">
        <f>VLOOKUP($B10,'2、设备合同'!$D:$AK,16,0)</f>
        <v>565000</v>
      </c>
      <c r="R10" s="286" t="str">
        <f>VLOOKUP($B10,'2、设备合同'!$D:$AK,17,0)</f>
        <v>取得监检证后支付30%验收款</v>
      </c>
      <c r="S10" s="289">
        <f>VLOOKUP($B10,'2、设备合同'!$D:$AK,18,0)</f>
        <v>3390000</v>
      </c>
      <c r="T10" s="289">
        <f>VLOOKUP($B10,'2、设备合同'!$D:$AK,19,0)</f>
        <v>0</v>
      </c>
      <c r="U10" s="286">
        <f>VLOOKUP($B10,'2、设备合同'!$D:$AK,20,0)</f>
        <v>0</v>
      </c>
      <c r="V10" s="289">
        <f>VLOOKUP($B10,'2、设备合同'!$D:$AK,21,0)</f>
        <v>0</v>
      </c>
      <c r="W10" s="289">
        <f>VLOOKUP($B10,'2、设备合同'!$D:$AK,22,0)</f>
        <v>0</v>
      </c>
      <c r="X10" s="286">
        <f>VLOOKUP($B10,'2、设备合同'!$D:$AK,23,0)</f>
        <v>0</v>
      </c>
      <c r="Y10" s="289">
        <f>VLOOKUP($B10,'2、设备合同'!$D:$AK,24,0)</f>
        <v>0</v>
      </c>
      <c r="Z10" s="289">
        <f>VLOOKUP($B10,'2、设备合同'!$D:$AK,25,0)</f>
        <v>0</v>
      </c>
      <c r="AA10" s="286">
        <f>VLOOKUP($B10,'2、设备合同'!$D:$AK,26,0)</f>
        <v>0</v>
      </c>
      <c r="AB10" s="289">
        <f>VLOOKUP($B10,'2、设备合同'!$D:$AK,27,0)</f>
        <v>0</v>
      </c>
      <c r="AC10" s="289">
        <f>VLOOKUP($B10,'2、设备合同'!$D:$AK,28,0)</f>
        <v>0</v>
      </c>
      <c r="AD10" s="286">
        <f>VLOOKUP($B10,'2、设备合同'!$D:$AK,29,0)</f>
        <v>0</v>
      </c>
      <c r="AE10" s="289">
        <f>VLOOKUP($B10,'2、设备合同'!$D:$AK,30,0)</f>
        <v>0</v>
      </c>
      <c r="AF10" s="289">
        <f>VLOOKUP($B10,'2、设备合同'!$D:$AK,31,0)</f>
        <v>0</v>
      </c>
      <c r="AG10" s="289">
        <f>VLOOKUP($B10,'2、设备合同'!$D:$AK,32,0)</f>
        <v>0</v>
      </c>
      <c r="AH10" s="289">
        <f>VLOOKUP($B10,'2、设备合同'!$D:$AK,33,0)</f>
        <v>0</v>
      </c>
      <c r="AI10" s="308">
        <f>VLOOKUP($B10,'2、设备合同'!$D:$AK,34,0)</f>
        <v>0</v>
      </c>
      <c r="AJ10" s="309">
        <f t="shared" si="1"/>
        <v>2825000</v>
      </c>
      <c r="AK10" s="289">
        <f t="shared" si="2"/>
        <v>8475000</v>
      </c>
      <c r="AL10" s="310">
        <f t="shared" si="3"/>
        <v>0.25</v>
      </c>
      <c r="AM10" s="289">
        <f t="shared" si="4"/>
        <v>11300000</v>
      </c>
      <c r="AN10" s="311" t="str">
        <f t="shared" si="5"/>
        <v>数据正确</v>
      </c>
    </row>
    <row r="11" s="228" customFormat="1" customHeight="1" spans="1:40">
      <c r="A11" s="228" t="str">
        <f t="shared" si="6"/>
        <v>已完毕</v>
      </c>
      <c r="B11" s="261">
        <v>6</v>
      </c>
      <c r="C11" s="262" t="str">
        <f>VLOOKUP($B11,'2、设备合同'!$D:$AK,2,0)</f>
        <v>YRKJEQ-170002</v>
      </c>
      <c r="D11" s="263" t="str">
        <f>VLOOKUP($B11,'2、设备合同'!$D:$AK,3,0)</f>
        <v>设备合同</v>
      </c>
      <c r="E11" s="263">
        <f>VLOOKUP($B11,'2、设备合同'!$D:$AK,4,0)</f>
        <v>2016070031</v>
      </c>
      <c r="F11" s="264">
        <f>VLOOKUP($B11,'2、设备合同'!$D:$AK,5,0)</f>
        <v>42750</v>
      </c>
      <c r="G11" s="265">
        <f>VLOOKUP($B11,'2、设备合同'!$D:$AK,6,0)</f>
        <v>0.001</v>
      </c>
      <c r="H11" s="265" t="str">
        <f>VLOOKUP($B11,'2、设备合同'!$D:$AK,7,0)</f>
        <v>离心机（同锦江香港合同一份）</v>
      </c>
      <c r="I11" s="265" t="str">
        <f>VLOOKUP($B11,'2、设备合同'!$D:$AK,8,0)</f>
        <v>安德里茨克玛有限公司</v>
      </c>
      <c r="J11" s="286">
        <f>VLOOKUP($B11,'2、设备合同'!$D:$AK,9,0)</f>
        <v>0</v>
      </c>
      <c r="K11" s="287" t="str">
        <f>VLOOKUP($B11,'2、设备合同'!$D:$AK,10,0)</f>
        <v>英文未知</v>
      </c>
      <c r="L11" s="288" t="str">
        <f>VLOOKUP($B11,'2、设备合同'!$D:$AK,11,0)</f>
        <v>英文未知</v>
      </c>
      <c r="M11" s="289">
        <f>VLOOKUP($B11,'2、设备合同'!$D:$AK,12,0)</f>
        <v>0.001</v>
      </c>
      <c r="N11" s="289">
        <f>VLOOKUP($B11,'2、设备合同'!$D:$AK,13,0)</f>
        <v>0.001</v>
      </c>
      <c r="O11" s="286">
        <f>VLOOKUP($B11,'2、设备合同'!$D:$AK,14,0)</f>
        <v>0</v>
      </c>
      <c r="P11" s="289">
        <f>VLOOKUP($B11,'2、设备合同'!$D:$AK,15,0)</f>
        <v>0</v>
      </c>
      <c r="Q11" s="289">
        <f>VLOOKUP($B11,'2、设备合同'!$D:$AK,16,0)</f>
        <v>0</v>
      </c>
      <c r="R11" s="286">
        <f>VLOOKUP($B11,'2、设备合同'!$D:$AK,17,0)</f>
        <v>0</v>
      </c>
      <c r="S11" s="289">
        <f>VLOOKUP($B11,'2、设备合同'!$D:$AK,18,0)</f>
        <v>0</v>
      </c>
      <c r="T11" s="289">
        <f>VLOOKUP($B11,'2、设备合同'!$D:$AK,19,0)</f>
        <v>0</v>
      </c>
      <c r="U11" s="286">
        <f>VLOOKUP($B11,'2、设备合同'!$D:$AK,20,0)</f>
        <v>0</v>
      </c>
      <c r="V11" s="289">
        <f>VLOOKUP($B11,'2、设备合同'!$D:$AK,21,0)</f>
        <v>0</v>
      </c>
      <c r="W11" s="289">
        <f>VLOOKUP($B11,'2、设备合同'!$D:$AK,22,0)</f>
        <v>0</v>
      </c>
      <c r="X11" s="286">
        <f>VLOOKUP($B11,'2、设备合同'!$D:$AK,23,0)</f>
        <v>0</v>
      </c>
      <c r="Y11" s="289">
        <f>VLOOKUP($B11,'2、设备合同'!$D:$AK,24,0)</f>
        <v>0</v>
      </c>
      <c r="Z11" s="289">
        <f>VLOOKUP($B11,'2、设备合同'!$D:$AK,25,0)</f>
        <v>0</v>
      </c>
      <c r="AA11" s="286">
        <f>VLOOKUP($B11,'2、设备合同'!$D:$AK,26,0)</f>
        <v>0</v>
      </c>
      <c r="AB11" s="289">
        <f>VLOOKUP($B11,'2、设备合同'!$D:$AK,27,0)</f>
        <v>0</v>
      </c>
      <c r="AC11" s="289">
        <f>VLOOKUP($B11,'2、设备合同'!$D:$AK,28,0)</f>
        <v>0</v>
      </c>
      <c r="AD11" s="286">
        <f>VLOOKUP($B11,'2、设备合同'!$D:$AK,29,0)</f>
        <v>0</v>
      </c>
      <c r="AE11" s="289">
        <f>VLOOKUP($B11,'2、设备合同'!$D:$AK,30,0)</f>
        <v>0</v>
      </c>
      <c r="AF11" s="289">
        <f>VLOOKUP($B11,'2、设备合同'!$D:$AK,31,0)</f>
        <v>0</v>
      </c>
      <c r="AG11" s="289">
        <f>VLOOKUP($B11,'2、设备合同'!$D:$AK,32,0)</f>
        <v>0</v>
      </c>
      <c r="AH11" s="289">
        <f>VLOOKUP($B11,'2、设备合同'!$D:$AK,33,0)</f>
        <v>0</v>
      </c>
      <c r="AI11" s="308">
        <f>VLOOKUP($B11,'2、设备合同'!$D:$AK,34,0)</f>
        <v>0</v>
      </c>
      <c r="AJ11" s="309">
        <f t="shared" si="1"/>
        <v>0.001</v>
      </c>
      <c r="AK11" s="289">
        <f t="shared" si="2"/>
        <v>0</v>
      </c>
      <c r="AL11" s="310">
        <f t="shared" si="3"/>
        <v>1</v>
      </c>
      <c r="AM11" s="289">
        <f t="shared" si="4"/>
        <v>0.001</v>
      </c>
      <c r="AN11" s="311" t="str">
        <f t="shared" si="5"/>
        <v>数据正确</v>
      </c>
    </row>
    <row r="12" s="228" customFormat="1" customHeight="1" spans="1:40">
      <c r="A12" s="228" t="str">
        <f t="shared" si="6"/>
        <v/>
      </c>
      <c r="B12" s="256">
        <v>7</v>
      </c>
      <c r="C12" s="262" t="str">
        <f>VLOOKUP($B12,'2、设备合同'!$D:$AK,2,0)</f>
        <v>YRKJEQ-170003</v>
      </c>
      <c r="D12" s="263" t="str">
        <f>VLOOKUP($B12,'2、设备合同'!$D:$AK,3,0)</f>
        <v>设备合同</v>
      </c>
      <c r="E12" s="263" t="str">
        <f>VLOOKUP($B12,'2、设备合同'!$D:$AK,4,0)</f>
        <v>2017010003</v>
      </c>
      <c r="F12" s="264">
        <f>VLOOKUP($B12,'2、设备合同'!$D:$AK,5,0)</f>
        <v>42758</v>
      </c>
      <c r="G12" s="265">
        <f>VLOOKUP($B12,'2、设备合同'!$D:$AK,6,0)</f>
        <v>1280000</v>
      </c>
      <c r="H12" s="265" t="str">
        <f>VLOOKUP($B12,'2、设备合同'!$D:$AK,7,0)</f>
        <v>16吨高喷消防车共2辆</v>
      </c>
      <c r="I12" s="265" t="str">
        <f>VLOOKUP($B12,'2、设备合同'!$D:$AK,8,0)</f>
        <v>陕西银河消防科技装备股份有限公司</v>
      </c>
      <c r="J12" s="286" t="str">
        <f>VLOOKUP($B12,'2、设备合同'!$D:$AK,9,0)</f>
        <v>安全环保部</v>
      </c>
      <c r="K12" s="287" t="str">
        <f>VLOOKUP($B12,'2、设备合同'!$D:$AK,10,0)</f>
        <v>6个月承兑汇票</v>
      </c>
      <c r="L12" s="288" t="str">
        <f>VLOOKUP($B12,'2、设备合同'!$D:$AK,11,0)</f>
        <v>承揽人提交完整车辆资料（含上牌照资料）经定作人确认；提交合同总价100%车辆购置专用发票后，十个工作日内付货物全款的90%验收合格款，每延迟一日，定作人按合同总价的0.3%计算承揽人支付违约金。</v>
      </c>
      <c r="M12" s="289">
        <f>VLOOKUP($B12,'2、设备合同'!$D:$AK,12,0)</f>
        <v>1152000</v>
      </c>
      <c r="N12" s="289">
        <f>VLOOKUP($B12,'2、设备合同'!$D:$AK,13,0)</f>
        <v>1152000</v>
      </c>
      <c r="O12" s="286" t="str">
        <f>VLOOKUP($B12,'2、设备合同'!$D:$AK,14,0)</f>
        <v>本合同总金额的10%留作质量保证金，满一年后十个工作日付清，每延迟一日，定作人按合同总价的0.3%计算承揽人支付违约金。</v>
      </c>
      <c r="P12" s="289">
        <f>VLOOKUP($B12,'2、设备合同'!$D:$AK,15,0)</f>
        <v>128000</v>
      </c>
      <c r="Q12" s="289">
        <f>VLOOKUP($B12,'2、设备合同'!$D:$AK,16,0)</f>
        <v>0</v>
      </c>
      <c r="R12" s="286">
        <f>VLOOKUP($B12,'2、设备合同'!$D:$AK,17,0)</f>
        <v>0</v>
      </c>
      <c r="S12" s="289">
        <f>VLOOKUP($B12,'2、设备合同'!$D:$AK,18,0)</f>
        <v>0</v>
      </c>
      <c r="T12" s="289">
        <f>VLOOKUP($B12,'2、设备合同'!$D:$AK,19,0)</f>
        <v>0</v>
      </c>
      <c r="U12" s="286">
        <f>VLOOKUP($B12,'2、设备合同'!$D:$AK,20,0)</f>
        <v>0</v>
      </c>
      <c r="V12" s="289">
        <f>VLOOKUP($B12,'2、设备合同'!$D:$AK,21,0)</f>
        <v>0</v>
      </c>
      <c r="W12" s="289">
        <f>VLOOKUP($B12,'2、设备合同'!$D:$AK,22,0)</f>
        <v>0</v>
      </c>
      <c r="X12" s="286">
        <f>VLOOKUP($B12,'2、设备合同'!$D:$AK,23,0)</f>
        <v>0</v>
      </c>
      <c r="Y12" s="289">
        <f>VLOOKUP($B12,'2、设备合同'!$D:$AK,24,0)</f>
        <v>0</v>
      </c>
      <c r="Z12" s="289">
        <f>VLOOKUP($B12,'2、设备合同'!$D:$AK,25,0)</f>
        <v>0</v>
      </c>
      <c r="AA12" s="286">
        <f>VLOOKUP($B12,'2、设备合同'!$D:$AK,26,0)</f>
        <v>0</v>
      </c>
      <c r="AB12" s="289">
        <f>VLOOKUP($B12,'2、设备合同'!$D:$AK,27,0)</f>
        <v>0</v>
      </c>
      <c r="AC12" s="289">
        <f>VLOOKUP($B12,'2、设备合同'!$D:$AK,28,0)</f>
        <v>0</v>
      </c>
      <c r="AD12" s="286">
        <f>VLOOKUP($B12,'2、设备合同'!$D:$AK,29,0)</f>
        <v>0</v>
      </c>
      <c r="AE12" s="289">
        <f>VLOOKUP($B12,'2、设备合同'!$D:$AK,30,0)</f>
        <v>0</v>
      </c>
      <c r="AF12" s="289">
        <f>VLOOKUP($B12,'2、设备合同'!$D:$AK,31,0)</f>
        <v>0</v>
      </c>
      <c r="AG12" s="289">
        <f>VLOOKUP($B12,'2、设备合同'!$D:$AK,32,0)</f>
        <v>0</v>
      </c>
      <c r="AH12" s="289">
        <f>VLOOKUP($B12,'2、设备合同'!$D:$AK,33,0)</f>
        <v>0</v>
      </c>
      <c r="AI12" s="308">
        <f>VLOOKUP($B12,'2、设备合同'!$D:$AK,34,0)</f>
        <v>0</v>
      </c>
      <c r="AJ12" s="309">
        <f t="shared" si="1"/>
        <v>1152000</v>
      </c>
      <c r="AK12" s="289">
        <f t="shared" si="2"/>
        <v>128000</v>
      </c>
      <c r="AL12" s="310">
        <f t="shared" si="3"/>
        <v>0.9</v>
      </c>
      <c r="AM12" s="289">
        <f t="shared" si="4"/>
        <v>1280000</v>
      </c>
      <c r="AN12" s="311" t="str">
        <f t="shared" si="5"/>
        <v>数据正确</v>
      </c>
    </row>
    <row r="13" s="228" customFormat="1" customHeight="1" spans="1:40">
      <c r="A13" s="228" t="str">
        <f t="shared" si="6"/>
        <v/>
      </c>
      <c r="B13" s="261">
        <v>8</v>
      </c>
      <c r="C13" s="262" t="str">
        <f>VLOOKUP($B13,'2、设备合同'!$D:$AK,2,0)</f>
        <v>YRKJEQ-170004</v>
      </c>
      <c r="D13" s="263" t="str">
        <f>VLOOKUP($B13,'2、设备合同'!$D:$AK,3,0)</f>
        <v>设备合同</v>
      </c>
      <c r="E13" s="263" t="str">
        <f>VLOOKUP($B13,'2、设备合同'!$D:$AK,4,0)</f>
        <v>2017010002</v>
      </c>
      <c r="F13" s="264">
        <f>VLOOKUP($B13,'2、设备合同'!$D:$AK,5,0)</f>
        <v>42817</v>
      </c>
      <c r="G13" s="265">
        <f>VLOOKUP($B13,'2、设备合同'!$D:$AK,6,0)</f>
        <v>76580000</v>
      </c>
      <c r="H13" s="265" t="str">
        <f>VLOOKUP($B13,'2、设备合同'!$D:$AK,7,0)</f>
        <v>氨肟化反应分离系统</v>
      </c>
      <c r="I13" s="265" t="str">
        <f>VLOOKUP($B13,'2、设备合同'!$D:$AK,8,0)</f>
        <v>河北美邦工程科技股份有限公司</v>
      </c>
      <c r="J13" s="286" t="str">
        <f>VLOOKUP($B13,'2、设备合同'!$D:$AK,9,0)</f>
        <v>氨肟化装置（氨肟化装置金属膜反应分离系统1套）</v>
      </c>
      <c r="K13" s="287" t="str">
        <f>VLOOKUP($B13,'2、设备合同'!$D:$AK,10,0)</f>
        <v>电汇或6个月承汇</v>
      </c>
      <c r="L13" s="288" t="str">
        <f>VLOOKUP($B13,'2、设备合同'!$D:$AK,11,0)</f>
        <v>-</v>
      </c>
      <c r="M13" s="289">
        <f>VLOOKUP($B13,'2、设备合同'!$D:$AK,12,0)</f>
        <v>14858000</v>
      </c>
      <c r="N13" s="289">
        <f>VLOOKUP($B13,'2、设备合同'!$D:$AK,13,0)</f>
        <v>8498000</v>
      </c>
      <c r="O13" s="286" t="str">
        <f>VLOOKUP($B13,'2、设备合同'!$D:$AK,14,0)</f>
        <v>-</v>
      </c>
      <c r="P13" s="289">
        <f>VLOOKUP($B13,'2、设备合同'!$D:$AK,15,0)</f>
        <v>16542000</v>
      </c>
      <c r="Q13" s="289">
        <f>VLOOKUP($B13,'2、设备合同'!$D:$AK,16,0)</f>
        <v>0</v>
      </c>
      <c r="R13" s="286" t="str">
        <f>VLOOKUP($B13,'2、设备合同'!$D:$AK,17,0)</f>
        <v>-</v>
      </c>
      <c r="S13" s="289">
        <f>VLOOKUP($B13,'2、设备合同'!$D:$AK,18,0)</f>
        <v>16542000</v>
      </c>
      <c r="T13" s="289">
        <f>VLOOKUP($B13,'2、设备合同'!$D:$AK,19,0)</f>
        <v>0</v>
      </c>
      <c r="U13" s="286" t="str">
        <f>VLOOKUP($B13,'2、设备合同'!$D:$AK,20,0)</f>
        <v>-</v>
      </c>
      <c r="V13" s="289">
        <f>VLOOKUP($B13,'2、设备合同'!$D:$AK,21,0)</f>
        <v>13044000</v>
      </c>
      <c r="W13" s="289">
        <f>VLOOKUP($B13,'2、设备合同'!$D:$AK,22,0)</f>
        <v>0</v>
      </c>
      <c r="X13" s="286" t="str">
        <f>VLOOKUP($B13,'2、设备合同'!$D:$AK,23,0)</f>
        <v>-</v>
      </c>
      <c r="Y13" s="289">
        <f>VLOOKUP($B13,'2、设备合同'!$D:$AK,24,0)</f>
        <v>9546000</v>
      </c>
      <c r="Z13" s="289">
        <f>VLOOKUP($B13,'2、设备合同'!$D:$AK,25,0)</f>
        <v>0</v>
      </c>
      <c r="AA13" s="286" t="str">
        <f>VLOOKUP($B13,'2、设备合同'!$D:$AK,26,0)</f>
        <v>-</v>
      </c>
      <c r="AB13" s="289">
        <f>VLOOKUP($B13,'2、设备合同'!$D:$AK,27,0)</f>
        <v>6048000</v>
      </c>
      <c r="AC13" s="289">
        <f>VLOOKUP($B13,'2、设备合同'!$D:$AK,28,0)</f>
        <v>0</v>
      </c>
      <c r="AD13" s="286" t="str">
        <f>VLOOKUP($B13,'2、设备合同'!$D:$AK,29,0)</f>
        <v>-</v>
      </c>
      <c r="AE13" s="289">
        <f>VLOOKUP($B13,'2、设备合同'!$D:$AK,30,0)</f>
        <v>0</v>
      </c>
      <c r="AF13" s="289">
        <f>VLOOKUP($B13,'2、设备合同'!$D:$AK,31,0)</f>
        <v>0</v>
      </c>
      <c r="AG13" s="289" t="str">
        <f>VLOOKUP($B13,'2、设备合同'!$D:$AK,32,0)</f>
        <v>-</v>
      </c>
      <c r="AH13" s="289">
        <f>VLOOKUP($B13,'2、设备合同'!$D:$AK,33,0)</f>
        <v>0</v>
      </c>
      <c r="AI13" s="308">
        <f>VLOOKUP($B13,'2、设备合同'!$D:$AK,34,0)</f>
        <v>0</v>
      </c>
      <c r="AJ13" s="309">
        <f t="shared" si="1"/>
        <v>8498000</v>
      </c>
      <c r="AK13" s="289">
        <f t="shared" si="2"/>
        <v>68082000</v>
      </c>
      <c r="AL13" s="310">
        <f t="shared" si="3"/>
        <v>0.110968921389397</v>
      </c>
      <c r="AM13" s="289">
        <f t="shared" si="4"/>
        <v>76580000</v>
      </c>
      <c r="AN13" s="311" t="str">
        <f t="shared" si="5"/>
        <v>数据正确</v>
      </c>
    </row>
    <row r="14" s="228" customFormat="1" customHeight="1" spans="1:40">
      <c r="A14" s="228" t="str">
        <f t="shared" si="6"/>
        <v/>
      </c>
      <c r="B14" s="261">
        <v>9</v>
      </c>
      <c r="C14" s="262" t="str">
        <f>VLOOKUP($B14,'2、设备合同'!$D:$AK,2,0)</f>
        <v>YRKJEQ-170005</v>
      </c>
      <c r="D14" s="263" t="str">
        <f>VLOOKUP($B14,'2、设备合同'!$D:$AK,3,0)</f>
        <v>设备合同</v>
      </c>
      <c r="E14" s="263" t="str">
        <f>VLOOKUP($B14,'2、设备合同'!$D:$AK,4,0)</f>
        <v>2016110032</v>
      </c>
      <c r="F14" s="264">
        <f>VLOOKUP($B14,'2、设备合同'!$D:$AK,5,0)</f>
        <v>42793</v>
      </c>
      <c r="G14" s="265">
        <f>VLOOKUP($B14,'2、设备合同'!$D:$AK,6,0)</f>
        <v>1398000</v>
      </c>
      <c r="H14" s="265" t="str">
        <f>VLOOKUP($B14,'2、设备合同'!$D:$AK,7,0)</f>
        <v>板式换热器5台(叔丁醇循环冷却器1台+结晶器冷凝器4台)</v>
      </c>
      <c r="I14" s="265" t="str">
        <f>VLOOKUP($B14,'2、设备合同'!$D:$AK,8,0)</f>
        <v>阿法拉伐（上海）技术有限公司</v>
      </c>
      <c r="J14" s="286" t="str">
        <f>VLOOKUP($B14,'2、设备合同'!$D:$AK,9,0)</f>
        <v>氨肟化装置1台3.6万元，硫铵装置4台136.2万元</v>
      </c>
      <c r="K14" s="287" t="str">
        <f>VLOOKUP($B14,'2、设备合同'!$D:$AK,10,0)</f>
        <v>电汇</v>
      </c>
      <c r="L14" s="288" t="str">
        <f>VLOOKUP($B14,'2、设备合同'!$D:$AK,11,0)</f>
        <v>乙方开具有效期为发货后30天内，合同总价20%预付款保函和本合同20%总价之财务收据后15个工作日内，甲方支付20%预付款。10%的履约保函</v>
      </c>
      <c r="M14" s="289">
        <f>VLOOKUP($B14,'2、设备合同'!$D:$AK,12,0)</f>
        <v>279600</v>
      </c>
      <c r="N14" s="289">
        <f>VLOOKUP($B14,'2、设备合同'!$D:$AK,13,0)</f>
        <v>279600</v>
      </c>
      <c r="O14" s="286" t="str">
        <f>VLOOKUP($B14,'2、设备合同'!$D:$AK,14,0)</f>
        <v>乙方开具有效期为发货后30天内，本合同总价70%发货款保函和本合同100%总价之17%增值税专用发票、以及本合同标的物对应完整资料后15个工作日内，甲方支付70%发货款。</v>
      </c>
      <c r="P14" s="289">
        <f>VLOOKUP($B14,'2、设备合同'!$D:$AK,15,0)</f>
        <v>978600</v>
      </c>
      <c r="Q14" s="289">
        <f>VLOOKUP($B14,'2、设备合同'!$D:$AK,16,0)</f>
        <v>0</v>
      </c>
      <c r="R14" s="286" t="str">
        <f>VLOOKUP($B14,'2、设备合同'!$D:$AK,17,0)</f>
        <v> </v>
      </c>
      <c r="S14" s="289">
        <f>VLOOKUP($B14,'2、设备合同'!$D:$AK,18,0)</f>
        <v>139800</v>
      </c>
      <c r="T14" s="289">
        <f>VLOOKUP($B14,'2、设备合同'!$D:$AK,19,0)</f>
        <v>0</v>
      </c>
      <c r="U14" s="286">
        <f>VLOOKUP($B14,'2、设备合同'!$D:$AK,20,0)</f>
        <v>0</v>
      </c>
      <c r="V14" s="289">
        <f>VLOOKUP($B14,'2、设备合同'!$D:$AK,21,0)</f>
        <v>0</v>
      </c>
      <c r="W14" s="289">
        <f>VLOOKUP($B14,'2、设备合同'!$D:$AK,22,0)</f>
        <v>0</v>
      </c>
      <c r="X14" s="286">
        <f>VLOOKUP($B14,'2、设备合同'!$D:$AK,23,0)</f>
        <v>0</v>
      </c>
      <c r="Y14" s="289">
        <f>VLOOKUP($B14,'2、设备合同'!$D:$AK,24,0)</f>
        <v>0</v>
      </c>
      <c r="Z14" s="289">
        <f>VLOOKUP($B14,'2、设备合同'!$D:$AK,25,0)</f>
        <v>0</v>
      </c>
      <c r="AA14" s="286">
        <f>VLOOKUP($B14,'2、设备合同'!$D:$AK,26,0)</f>
        <v>0</v>
      </c>
      <c r="AB14" s="289">
        <f>VLOOKUP($B14,'2、设备合同'!$D:$AK,27,0)</f>
        <v>0</v>
      </c>
      <c r="AC14" s="289">
        <f>VLOOKUP($B14,'2、设备合同'!$D:$AK,28,0)</f>
        <v>0</v>
      </c>
      <c r="AD14" s="286">
        <f>VLOOKUP($B14,'2、设备合同'!$D:$AK,29,0)</f>
        <v>0</v>
      </c>
      <c r="AE14" s="289">
        <f>VLOOKUP($B14,'2、设备合同'!$D:$AK,30,0)</f>
        <v>0</v>
      </c>
      <c r="AF14" s="289">
        <f>VLOOKUP($B14,'2、设备合同'!$D:$AK,31,0)</f>
        <v>0</v>
      </c>
      <c r="AG14" s="289">
        <f>VLOOKUP($B14,'2、设备合同'!$D:$AK,32,0)</f>
        <v>0</v>
      </c>
      <c r="AH14" s="289">
        <f>VLOOKUP($B14,'2、设备合同'!$D:$AK,33,0)</f>
        <v>0</v>
      </c>
      <c r="AI14" s="308">
        <f>VLOOKUP($B14,'2、设备合同'!$D:$AK,34,0)</f>
        <v>0</v>
      </c>
      <c r="AJ14" s="309">
        <f t="shared" si="1"/>
        <v>279600</v>
      </c>
      <c r="AK14" s="289">
        <f t="shared" si="2"/>
        <v>1118400</v>
      </c>
      <c r="AL14" s="310">
        <f t="shared" si="3"/>
        <v>0.2</v>
      </c>
      <c r="AM14" s="289">
        <f t="shared" si="4"/>
        <v>1398000</v>
      </c>
      <c r="AN14" s="311" t="str">
        <f t="shared" si="5"/>
        <v>数据正确</v>
      </c>
    </row>
    <row r="15" s="228" customFormat="1" customHeight="1" spans="1:40">
      <c r="A15" s="228" t="str">
        <f t="shared" si="6"/>
        <v/>
      </c>
      <c r="B15" s="256">
        <v>10</v>
      </c>
      <c r="C15" s="262" t="str">
        <f>VLOOKUP($B15,'2、设备合同'!$D:$AK,2,0)</f>
        <v>YRKJEQ-170006</v>
      </c>
      <c r="D15" s="263" t="str">
        <f>VLOOKUP($B15,'2、设备合同'!$D:$AK,3,0)</f>
        <v>设备合同</v>
      </c>
      <c r="E15" s="263" t="str">
        <f>VLOOKUP($B15,'2、设备合同'!$D:$AK,4,0)</f>
        <v>2016110024</v>
      </c>
      <c r="F15" s="264">
        <f>VLOOKUP($B15,'2、设备合同'!$D:$AK,5,0)</f>
        <v>42817</v>
      </c>
      <c r="G15" s="265">
        <f>VLOOKUP($B15,'2、设备合同'!$D:$AK,6,0)</f>
        <v>830000</v>
      </c>
      <c r="H15" s="265" t="str">
        <f>VLOOKUP($B15,'2、设备合同'!$D:$AK,7,0)</f>
        <v>降膜蒸发器（第二叔丁醇回收塔再沸器）</v>
      </c>
      <c r="I15" s="265" t="str">
        <f>VLOOKUP($B15,'2、设备合同'!$D:$AK,8,0)</f>
        <v>无锡化工装备股份有限公司</v>
      </c>
      <c r="J15" s="286">
        <f>VLOOKUP($B15,'2、设备合同'!$D:$AK,9,0)</f>
        <v>0</v>
      </c>
      <c r="K15" s="287" t="str">
        <f>VLOOKUP($B15,'2、设备合同'!$D:$AK,10,0)</f>
        <v>6个月承兑汇票</v>
      </c>
      <c r="L15" s="288" t="str">
        <f>VLOOKUP($B15,'2、设备合同'!$D:$AK,11,0)</f>
        <v>乙方开具有效期至货物到达交货地点后15个工作日预付款等额的保函和等额的17%专票后15个工作日支付20%预付款</v>
      </c>
      <c r="M15" s="289">
        <f>VLOOKUP($B15,'2、设备合同'!$D:$AK,12,0)</f>
        <v>166000</v>
      </c>
      <c r="N15" s="289">
        <f>VLOOKUP($B15,'2、设备合同'!$D:$AK,13,0)</f>
        <v>166000</v>
      </c>
      <c r="O15" s="286" t="str">
        <f>VLOOKUP($B15,'2、设备合同'!$D:$AK,14,0)</f>
        <v>甲方相关人员检验及收到80%专票后15个工作日，支付60%发货款，乙方收到发货款安排发货</v>
      </c>
      <c r="P15" s="289">
        <f>VLOOKUP($B15,'2、设备合同'!$D:$AK,15,0)</f>
        <v>498000</v>
      </c>
      <c r="Q15" s="289">
        <f>VLOOKUP($B15,'2、设备合同'!$D:$AK,16,0)</f>
        <v>0</v>
      </c>
      <c r="R15" s="286" t="str">
        <f>VLOOKUP($B15,'2、设备合同'!$D:$AK,17,0)</f>
        <v>货物到达甲方验收合格后2个月或货到现场后6个月，乙方开具到货后24个月质量保函后15个工作日，支付10%验收款</v>
      </c>
      <c r="S15" s="289">
        <f>VLOOKUP($B15,'2、设备合同'!$D:$AK,18,0)</f>
        <v>83000</v>
      </c>
      <c r="T15" s="289">
        <f>VLOOKUP($B15,'2、设备合同'!$D:$AK,19,0)</f>
        <v>0</v>
      </c>
      <c r="U15" s="286" t="str">
        <f>VLOOKUP($B15,'2、设备合同'!$D:$AK,20,0)</f>
        <v>本合同的10%为质量保函，验收合格后18个月或货到现场24个月后，甲方退还乙方</v>
      </c>
      <c r="V15" s="289">
        <f>VLOOKUP($B15,'2、设备合同'!$D:$AK,21,0)</f>
        <v>83000</v>
      </c>
      <c r="W15" s="289">
        <f>VLOOKUP($B15,'2、设备合同'!$D:$AK,22,0)</f>
        <v>0</v>
      </c>
      <c r="X15" s="286">
        <f>VLOOKUP($B15,'2、设备合同'!$D:$AK,23,0)</f>
        <v>0</v>
      </c>
      <c r="Y15" s="289">
        <f>VLOOKUP($B15,'2、设备合同'!$D:$AK,24,0)</f>
        <v>0</v>
      </c>
      <c r="Z15" s="289">
        <f>VLOOKUP($B15,'2、设备合同'!$D:$AK,25,0)</f>
        <v>0</v>
      </c>
      <c r="AA15" s="286">
        <f>VLOOKUP($B15,'2、设备合同'!$D:$AK,26,0)</f>
        <v>0</v>
      </c>
      <c r="AB15" s="289">
        <f>VLOOKUP($B15,'2、设备合同'!$D:$AK,27,0)</f>
        <v>0</v>
      </c>
      <c r="AC15" s="289">
        <f>VLOOKUP($B15,'2、设备合同'!$D:$AK,28,0)</f>
        <v>0</v>
      </c>
      <c r="AD15" s="286">
        <f>VLOOKUP($B15,'2、设备合同'!$D:$AK,29,0)</f>
        <v>0</v>
      </c>
      <c r="AE15" s="289">
        <f>VLOOKUP($B15,'2、设备合同'!$D:$AK,30,0)</f>
        <v>0</v>
      </c>
      <c r="AF15" s="289">
        <f>VLOOKUP($B15,'2、设备合同'!$D:$AK,31,0)</f>
        <v>0</v>
      </c>
      <c r="AG15" s="289">
        <f>VLOOKUP($B15,'2、设备合同'!$D:$AK,32,0)</f>
        <v>0</v>
      </c>
      <c r="AH15" s="289">
        <f>VLOOKUP($B15,'2、设备合同'!$D:$AK,33,0)</f>
        <v>0</v>
      </c>
      <c r="AI15" s="308">
        <f>VLOOKUP($B15,'2、设备合同'!$D:$AK,34,0)</f>
        <v>0</v>
      </c>
      <c r="AJ15" s="309">
        <f t="shared" si="1"/>
        <v>166000</v>
      </c>
      <c r="AK15" s="289">
        <f t="shared" si="2"/>
        <v>664000</v>
      </c>
      <c r="AL15" s="310">
        <f t="shared" si="3"/>
        <v>0.2</v>
      </c>
      <c r="AM15" s="289">
        <f t="shared" si="4"/>
        <v>830000</v>
      </c>
      <c r="AN15" s="311" t="str">
        <f t="shared" si="5"/>
        <v>数据正确</v>
      </c>
    </row>
    <row r="16" s="228" customFormat="1" customHeight="1" spans="1:40">
      <c r="A16" s="228" t="str">
        <f t="shared" si="6"/>
        <v/>
      </c>
      <c r="B16" s="261">
        <v>11</v>
      </c>
      <c r="C16" s="262" t="str">
        <f>VLOOKUP($B16,'2、设备合同'!$D:$AK,2,0)</f>
        <v>YRKJEQ-170007</v>
      </c>
      <c r="D16" s="263" t="str">
        <f>VLOOKUP($B16,'2、设备合同'!$D:$AK,3,0)</f>
        <v>设备合同</v>
      </c>
      <c r="E16" s="263" t="str">
        <f>VLOOKUP($B16,'2、设备合同'!$D:$AK,4,0)</f>
        <v>2016090032</v>
      </c>
      <c r="F16" s="264">
        <f>VLOOKUP($B16,'2、设备合同'!$D:$AK,5,0)</f>
        <v>42788</v>
      </c>
      <c r="G16" s="265">
        <f>VLOOKUP($B16,'2、设备合同'!$D:$AK,6,0)</f>
        <v>4120000</v>
      </c>
      <c r="H16" s="265" t="str">
        <f>VLOOKUP($B16,'2、设备合同'!$D:$AK,7,0)</f>
        <v>硫铵干燥系统 成套设备</v>
      </c>
      <c r="I16" s="265" t="str">
        <f>VLOOKUP($B16,'2、设备合同'!$D:$AK,8,0)</f>
        <v>山东天力能源股份有限公司</v>
      </c>
      <c r="J16" s="286">
        <f>VLOOKUP($B16,'2、设备合同'!$D:$AK,9,0)</f>
        <v>0</v>
      </c>
      <c r="K16" s="287" t="str">
        <f>VLOOKUP($B16,'2、设备合同'!$D:$AK,10,0)</f>
        <v>6个月承兑汇票</v>
      </c>
      <c r="L16" s="288" t="str">
        <f>VLOOKUP($B16,'2、设备合同'!$D:$AK,11,0)</f>
        <v>乙方提供10%合同金额的银行履约保函，预付款等额的银行保函和对应款的收据后10个工作日支付20%预付款</v>
      </c>
      <c r="M16" s="289">
        <f>VLOOKUP($B16,'2、设备合同'!$D:$AK,12,0)</f>
        <v>824000</v>
      </c>
      <c r="N16" s="289">
        <f>VLOOKUP($B16,'2、设备合同'!$D:$AK,13,0)</f>
        <v>824000</v>
      </c>
      <c r="O16" s="286" t="str">
        <f>VLOOKUP($B16,'2、设备合同'!$D:$AK,14,0)</f>
        <v>甲方初步验收合格后，收到乙方60%合同金额的银行保函，对应款项收据以及全额的17%专票后7日内支付60%提货款</v>
      </c>
      <c r="P16" s="289">
        <f>VLOOKUP($B16,'2、设备合同'!$D:$AK,15,0)</f>
        <v>2472000</v>
      </c>
      <c r="Q16" s="289">
        <f>VLOOKUP($B16,'2、设备合同'!$D:$AK,16,0)</f>
        <v>0</v>
      </c>
      <c r="R16" s="286" t="str">
        <f>VLOOKUP($B16,'2、设备合同'!$D:$AK,17,0)</f>
        <v>安装调试验收合格后支付10%验收款</v>
      </c>
      <c r="S16" s="289">
        <f>VLOOKUP($B16,'2、设备合同'!$D:$AK,18,0)</f>
        <v>412000</v>
      </c>
      <c r="T16" s="289">
        <f>VLOOKUP($B16,'2、设备合同'!$D:$AK,19,0)</f>
        <v>0</v>
      </c>
      <c r="U16" s="286" t="str">
        <f>VLOOKUP($B16,'2、设备合同'!$D:$AK,20,0)</f>
        <v>质量保质期满后支付10%的质量保证金</v>
      </c>
      <c r="V16" s="289">
        <f>VLOOKUP($B16,'2、设备合同'!$D:$AK,21,0)</f>
        <v>412000</v>
      </c>
      <c r="W16" s="289">
        <f>VLOOKUP($B16,'2、设备合同'!$D:$AK,22,0)</f>
        <v>0</v>
      </c>
      <c r="X16" s="286">
        <f>VLOOKUP($B16,'2、设备合同'!$D:$AK,23,0)</f>
        <v>0</v>
      </c>
      <c r="Y16" s="289">
        <f>VLOOKUP($B16,'2、设备合同'!$D:$AK,24,0)</f>
        <v>0</v>
      </c>
      <c r="Z16" s="289">
        <f>VLOOKUP($B16,'2、设备合同'!$D:$AK,25,0)</f>
        <v>0</v>
      </c>
      <c r="AA16" s="286">
        <f>VLOOKUP($B16,'2、设备合同'!$D:$AK,26,0)</f>
        <v>0</v>
      </c>
      <c r="AB16" s="289">
        <f>VLOOKUP($B16,'2、设备合同'!$D:$AK,27,0)</f>
        <v>0</v>
      </c>
      <c r="AC16" s="289">
        <f>VLOOKUP($B16,'2、设备合同'!$D:$AK,28,0)</f>
        <v>0</v>
      </c>
      <c r="AD16" s="286">
        <f>VLOOKUP($B16,'2、设备合同'!$D:$AK,29,0)</f>
        <v>0</v>
      </c>
      <c r="AE16" s="289">
        <f>VLOOKUP($B16,'2、设备合同'!$D:$AK,30,0)</f>
        <v>0</v>
      </c>
      <c r="AF16" s="289">
        <f>VLOOKUP($B16,'2、设备合同'!$D:$AK,31,0)</f>
        <v>0</v>
      </c>
      <c r="AG16" s="289">
        <f>VLOOKUP($B16,'2、设备合同'!$D:$AK,32,0)</f>
        <v>0</v>
      </c>
      <c r="AH16" s="289">
        <f>VLOOKUP($B16,'2、设备合同'!$D:$AK,33,0)</f>
        <v>0</v>
      </c>
      <c r="AI16" s="308">
        <f>VLOOKUP($B16,'2、设备合同'!$D:$AK,34,0)</f>
        <v>0</v>
      </c>
      <c r="AJ16" s="309">
        <f t="shared" si="1"/>
        <v>824000</v>
      </c>
      <c r="AK16" s="289">
        <f t="shared" si="2"/>
        <v>3296000</v>
      </c>
      <c r="AL16" s="310">
        <f t="shared" si="3"/>
        <v>0.2</v>
      </c>
      <c r="AM16" s="289">
        <f t="shared" si="4"/>
        <v>4120000</v>
      </c>
      <c r="AN16" s="311" t="str">
        <f t="shared" si="5"/>
        <v>数据正确</v>
      </c>
    </row>
    <row r="17" s="228" customFormat="1" customHeight="1" spans="1:40">
      <c r="A17" s="228" t="str">
        <f t="shared" si="6"/>
        <v/>
      </c>
      <c r="B17" s="261">
        <v>12</v>
      </c>
      <c r="C17" s="262" t="str">
        <f>VLOOKUP($B17,'2、设备合同'!$D:$AK,2,0)</f>
        <v>YRKJEQ-170008</v>
      </c>
      <c r="D17" s="263" t="str">
        <f>VLOOKUP($B17,'2、设备合同'!$D:$AK,3,0)</f>
        <v>设备合同</v>
      </c>
      <c r="E17" s="263" t="str">
        <f>VLOOKUP($B17,'2、设备合同'!$D:$AK,4,0)</f>
        <v>2017010030</v>
      </c>
      <c r="F17" s="264">
        <f>VLOOKUP($B17,'2、设备合同'!$D:$AK,5,0)</f>
        <v>42788</v>
      </c>
      <c r="G17" s="265">
        <f>VLOOKUP($B17,'2、设备合同'!$D:$AK,6,0)</f>
        <v>500000</v>
      </c>
      <c r="H17" s="265" t="str">
        <f>VLOOKUP($B17,'2、设备合同'!$D:$AK,7,0)</f>
        <v>聚结器2台（第一聚结器、第二聚结器）</v>
      </c>
      <c r="I17" s="265" t="str">
        <f>VLOOKUP($B17,'2、设备合同'!$D:$AK,8,0)</f>
        <v>张家港市常洁机械有限公司</v>
      </c>
      <c r="J17" s="286">
        <f>VLOOKUP($B17,'2、设备合同'!$D:$AK,9,0)</f>
        <v>0</v>
      </c>
      <c r="K17" s="287" t="str">
        <f>VLOOKUP($B17,'2、设备合同'!$D:$AK,10,0)</f>
        <v>6个月承兑汇票</v>
      </c>
      <c r="L17" s="288" t="str">
        <f>VLOOKUP($B17,'2、设备合同'!$D:$AK,11,0)</f>
        <v>收到乙方全额的17%专票，货到交货点后15个工作日支付80%货款</v>
      </c>
      <c r="M17" s="289">
        <f>VLOOKUP($B17,'2、设备合同'!$D:$AK,12,0)</f>
        <v>400000</v>
      </c>
      <c r="N17" s="289">
        <f>VLOOKUP($B17,'2、设备合同'!$D:$AK,13,0)</f>
        <v>0</v>
      </c>
      <c r="O17" s="286" t="str">
        <f>VLOOKUP($B17,'2、设备合同'!$D:$AK,14,0)</f>
        <v>验收合格或货到现场6个月后支付10%验收款</v>
      </c>
      <c r="P17" s="289">
        <f>VLOOKUP($B17,'2、设备合同'!$D:$AK,15,0)</f>
        <v>50000</v>
      </c>
      <c r="Q17" s="289">
        <f>VLOOKUP($B17,'2、设备合同'!$D:$AK,16,0)</f>
        <v>0</v>
      </c>
      <c r="R17" s="286" t="str">
        <f>VLOOKUP($B17,'2、设备合同'!$D:$AK,17,0)</f>
        <v>质保期满6个月后支付质保金5%</v>
      </c>
      <c r="S17" s="289">
        <f>VLOOKUP($B17,'2、设备合同'!$D:$AK,18,0)</f>
        <v>25000</v>
      </c>
      <c r="T17" s="289">
        <f>VLOOKUP($B17,'2、设备合同'!$D:$AK,19,0)</f>
        <v>0</v>
      </c>
      <c r="U17" s="286" t="str">
        <f>VLOOKUP($B17,'2、设备合同'!$D:$AK,20,0)</f>
        <v>质保期满24个月后支付5%</v>
      </c>
      <c r="V17" s="289">
        <f>VLOOKUP($B17,'2、设备合同'!$D:$AK,21,0)</f>
        <v>25000</v>
      </c>
      <c r="W17" s="289">
        <f>VLOOKUP($B17,'2、设备合同'!$D:$AK,22,0)</f>
        <v>0</v>
      </c>
      <c r="X17" s="286">
        <f>VLOOKUP($B17,'2、设备合同'!$D:$AK,23,0)</f>
        <v>0</v>
      </c>
      <c r="Y17" s="289">
        <f>VLOOKUP($B17,'2、设备合同'!$D:$AK,24,0)</f>
        <v>0</v>
      </c>
      <c r="Z17" s="289">
        <f>VLOOKUP($B17,'2、设备合同'!$D:$AK,25,0)</f>
        <v>0</v>
      </c>
      <c r="AA17" s="286">
        <f>VLOOKUP($B17,'2、设备合同'!$D:$AK,26,0)</f>
        <v>0</v>
      </c>
      <c r="AB17" s="289">
        <f>VLOOKUP($B17,'2、设备合同'!$D:$AK,27,0)</f>
        <v>0</v>
      </c>
      <c r="AC17" s="289">
        <f>VLOOKUP($B17,'2、设备合同'!$D:$AK,28,0)</f>
        <v>0</v>
      </c>
      <c r="AD17" s="286">
        <f>VLOOKUP($B17,'2、设备合同'!$D:$AK,29,0)</f>
        <v>0</v>
      </c>
      <c r="AE17" s="289">
        <f>VLOOKUP($B17,'2、设备合同'!$D:$AK,30,0)</f>
        <v>0</v>
      </c>
      <c r="AF17" s="289">
        <f>VLOOKUP($B17,'2、设备合同'!$D:$AK,31,0)</f>
        <v>0</v>
      </c>
      <c r="AG17" s="289">
        <f>VLOOKUP($B17,'2、设备合同'!$D:$AK,32,0)</f>
        <v>0</v>
      </c>
      <c r="AH17" s="289">
        <f>VLOOKUP($B17,'2、设备合同'!$D:$AK,33,0)</f>
        <v>0</v>
      </c>
      <c r="AI17" s="308">
        <f>VLOOKUP($B17,'2、设备合同'!$D:$AK,34,0)</f>
        <v>0</v>
      </c>
      <c r="AJ17" s="309">
        <f t="shared" si="1"/>
        <v>0</v>
      </c>
      <c r="AK17" s="289">
        <f t="shared" si="2"/>
        <v>500000</v>
      </c>
      <c r="AL17" s="310">
        <f t="shared" si="3"/>
        <v>0</v>
      </c>
      <c r="AM17" s="289">
        <f t="shared" si="4"/>
        <v>500000</v>
      </c>
      <c r="AN17" s="311" t="str">
        <f t="shared" si="5"/>
        <v>数据正确</v>
      </c>
    </row>
    <row r="18" s="228" customFormat="1" customHeight="1" spans="1:40">
      <c r="A18" s="228" t="str">
        <f t="shared" si="6"/>
        <v/>
      </c>
      <c r="B18" s="261">
        <v>13</v>
      </c>
      <c r="C18" s="262" t="str">
        <f>VLOOKUP($B18,'2、设备合同'!$D:$AK,2,0)</f>
        <v>YRKJEQ-170009</v>
      </c>
      <c r="D18" s="263" t="str">
        <f>VLOOKUP($B18,'2、设备合同'!$D:$AK,3,0)</f>
        <v>设备合同</v>
      </c>
      <c r="E18" s="263" t="str">
        <f>VLOOKUP($B18,'2、设备合同'!$D:$AK,4,0)</f>
        <v>2016110028</v>
      </c>
      <c r="F18" s="264">
        <f>VLOOKUP($B18,'2、设备合同'!$D:$AK,5,0)</f>
        <v>42800</v>
      </c>
      <c r="G18" s="265">
        <f>VLOOKUP($B18,'2、设备合同'!$D:$AK,6,0)</f>
        <v>899000</v>
      </c>
      <c r="H18" s="265" t="str">
        <f>VLOOKUP($B18,'2、设备合同'!$D:$AK,7,0)</f>
        <v>水蒸汽喷射真空系统</v>
      </c>
      <c r="I18" s="265" t="str">
        <f>VLOOKUP($B18,'2、设备合同'!$D:$AK,8,0)</f>
        <v>浙江杭真能源科技股份有限公司</v>
      </c>
      <c r="J18" s="286" t="str">
        <f>VLOOKUP($B18,'2、设备合同'!$D:$AK,9,0)</f>
        <v>氨肟化装置3套10.02万元，己内酰胺精装置5套79.88万元</v>
      </c>
      <c r="K18" s="287" t="str">
        <f>VLOOKUP($B18,'2、设备合同'!$D:$AK,10,0)</f>
        <v>6个月承兑汇票</v>
      </c>
      <c r="L18" s="288" t="str">
        <f>VLOOKUP($B18,'2、设备合同'!$D:$AK,11,0)</f>
        <v>乙方开具有效期至2017年9月30日10%的预付款保函和预付款保函，合同总价10%增值税专用发票</v>
      </c>
      <c r="M18" s="289">
        <f>VLOOKUP($B18,'2、设备合同'!$D:$AK,12,0)</f>
        <v>89900</v>
      </c>
      <c r="N18" s="289">
        <f>VLOOKUP($B18,'2、设备合同'!$D:$AK,13,0)</f>
        <v>89900</v>
      </c>
      <c r="O18" s="286" t="str">
        <f>VLOOKUP($B18,'2、设备合同'!$D:$AK,14,0)</f>
        <v>货物到达交货地点后，甲方收到本合同总价的90%的增值税专用发票，以及本合同标的物对应完整资料后15个工作日内，甲方支付70%</v>
      </c>
      <c r="P18" s="289">
        <f>VLOOKUP($B18,'2、设备合同'!$D:$AK,15,0)</f>
        <v>629300</v>
      </c>
      <c r="Q18" s="289">
        <f>VLOOKUP($B18,'2、设备合同'!$D:$AK,16,0)</f>
        <v>0</v>
      </c>
      <c r="R18" s="286" t="str">
        <f>VLOOKUP($B18,'2、设备合同'!$D:$AK,17,0)</f>
        <v>货物到达甲方现场验收合格或货到现场6个月（以两者先到为准）乙方开具有效期为货物到货之日起24个月、本合同总价10%的质量保函后15个工作日，甲方支付20%验收款</v>
      </c>
      <c r="S18" s="289">
        <f>VLOOKUP($B18,'2、设备合同'!$D:$AK,18,0)</f>
        <v>179800</v>
      </c>
      <c r="T18" s="289">
        <f>VLOOKUP($B18,'2、设备合同'!$D:$AK,19,0)</f>
        <v>0</v>
      </c>
      <c r="U18" s="286">
        <f>VLOOKUP($B18,'2、设备合同'!$D:$AK,20,0)</f>
        <v>0</v>
      </c>
      <c r="V18" s="289">
        <f>VLOOKUP($B18,'2、设备合同'!$D:$AK,21,0)</f>
        <v>0</v>
      </c>
      <c r="W18" s="289">
        <f>VLOOKUP($B18,'2、设备合同'!$D:$AK,22,0)</f>
        <v>0</v>
      </c>
      <c r="X18" s="286">
        <f>VLOOKUP($B18,'2、设备合同'!$D:$AK,23,0)</f>
        <v>0</v>
      </c>
      <c r="Y18" s="289">
        <f>VLOOKUP($B18,'2、设备合同'!$D:$AK,24,0)</f>
        <v>0</v>
      </c>
      <c r="Z18" s="289">
        <f>VLOOKUP($B18,'2、设备合同'!$D:$AK,25,0)</f>
        <v>0</v>
      </c>
      <c r="AA18" s="286">
        <f>VLOOKUP($B18,'2、设备合同'!$D:$AK,26,0)</f>
        <v>0</v>
      </c>
      <c r="AB18" s="289">
        <f>VLOOKUP($B18,'2、设备合同'!$D:$AK,27,0)</f>
        <v>0</v>
      </c>
      <c r="AC18" s="289">
        <f>VLOOKUP($B18,'2、设备合同'!$D:$AK,28,0)</f>
        <v>0</v>
      </c>
      <c r="AD18" s="286">
        <f>VLOOKUP($B18,'2、设备合同'!$D:$AK,29,0)</f>
        <v>0</v>
      </c>
      <c r="AE18" s="289">
        <f>VLOOKUP($B18,'2、设备合同'!$D:$AK,30,0)</f>
        <v>0</v>
      </c>
      <c r="AF18" s="289">
        <f>VLOOKUP($B18,'2、设备合同'!$D:$AK,31,0)</f>
        <v>0</v>
      </c>
      <c r="AG18" s="289">
        <f>VLOOKUP($B18,'2、设备合同'!$D:$AK,32,0)</f>
        <v>0</v>
      </c>
      <c r="AH18" s="289">
        <f>VLOOKUP($B18,'2、设备合同'!$D:$AK,33,0)</f>
        <v>0</v>
      </c>
      <c r="AI18" s="308">
        <f>VLOOKUP($B18,'2、设备合同'!$D:$AK,34,0)</f>
        <v>0</v>
      </c>
      <c r="AJ18" s="309">
        <f t="shared" si="1"/>
        <v>89900</v>
      </c>
      <c r="AK18" s="289">
        <f t="shared" si="2"/>
        <v>809100</v>
      </c>
      <c r="AL18" s="310">
        <f t="shared" si="3"/>
        <v>0.1</v>
      </c>
      <c r="AM18" s="289">
        <f t="shared" si="4"/>
        <v>899000</v>
      </c>
      <c r="AN18" s="311" t="str">
        <f t="shared" si="5"/>
        <v>数据正确</v>
      </c>
    </row>
    <row r="19" s="228" customFormat="1" customHeight="1" spans="1:40">
      <c r="A19" s="228" t="str">
        <f t="shared" si="6"/>
        <v/>
      </c>
      <c r="B19" s="261">
        <v>14</v>
      </c>
      <c r="C19" s="262" t="str">
        <f>VLOOKUP($B19,'2、设备合同'!$D:$AK,2,0)</f>
        <v>YRKJEQ-170010</v>
      </c>
      <c r="D19" s="263" t="str">
        <f>VLOOKUP($B19,'2、设备合同'!$D:$AK,3,0)</f>
        <v>设备合同</v>
      </c>
      <c r="E19" s="263">
        <f>VLOOKUP($B19,'2、设备合同'!$D:$AK,4,0)</f>
        <v>2017020054</v>
      </c>
      <c r="F19" s="264">
        <f>VLOOKUP($B19,'2、设备合同'!$D:$AK,5,0)</f>
        <v>42807</v>
      </c>
      <c r="G19" s="265">
        <f>VLOOKUP($B19,'2、设备合同'!$D:$AK,6,0)</f>
        <v>1950000</v>
      </c>
      <c r="H19" s="265" t="str">
        <f>VLOOKUP($B19,'2、设备合同'!$D:$AK,7,0)</f>
        <v>氨肟化装置塔内件</v>
      </c>
      <c r="I19" s="265" t="str">
        <f>VLOOKUP($B19,'2、设备合同'!$D:$AK,8,0)</f>
        <v>岳阳恒忠机械工程技术有限公司</v>
      </c>
      <c r="J19" s="286" t="str">
        <f>VLOOKUP($B19,'2、设备合同'!$D:$AK,9,0)</f>
        <v>氨肟化装置195万元</v>
      </c>
      <c r="K19" s="287" t="str">
        <f>VLOOKUP($B19,'2、设备合同'!$D:$AK,10,0)</f>
        <v>6个月承兑汇票</v>
      </c>
      <c r="L19" s="288" t="str">
        <f>VLOOKUP($B19,'2、设备合同'!$D:$AK,11,0)</f>
        <v>甲方收到乙方开具有效期为到货后30天内合同金额的20%预付款保函，合同20%的17%专票后的15个工作日支付20%预付款</v>
      </c>
      <c r="M19" s="289">
        <f>VLOOKUP($B19,'2、设备合同'!$D:$AK,12,0)</f>
        <v>390000</v>
      </c>
      <c r="N19" s="289">
        <f>VLOOKUP($B19,'2、设备合同'!$D:$AK,13,0)</f>
        <v>390000</v>
      </c>
      <c r="O19" s="286" t="str">
        <f>VLOOKUP($B19,'2、设备合同'!$D:$AK,14,0)</f>
        <v>甲方确认满足发货条件，收到合同金额30%的17%专票后15个工作日，支付30%发货款</v>
      </c>
      <c r="P19" s="289">
        <f>VLOOKUP($B19,'2、设备合同'!$D:$AK,15,0)</f>
        <v>585000</v>
      </c>
      <c r="Q19" s="289">
        <f>VLOOKUP($B19,'2、设备合同'!$D:$AK,16,0)</f>
        <v>0</v>
      </c>
      <c r="R19" s="286" t="str">
        <f>VLOOKUP($B19,'2、设备合同'!$D:$AK,17,0)</f>
        <v>货物到达甲方验收合格，收到合同金额的50%专票后15个工作日支付20%到货款</v>
      </c>
      <c r="S19" s="289">
        <f>VLOOKUP($B19,'2、设备合同'!$D:$AK,18,0)</f>
        <v>390000</v>
      </c>
      <c r="T19" s="289">
        <f>VLOOKUP($B19,'2、设备合同'!$D:$AK,19,0)</f>
        <v>0</v>
      </c>
      <c r="U19" s="286" t="str">
        <f>VLOOKUP($B19,'2、设备合同'!$D:$AK,20,0)</f>
        <v>三个月内验收或到货后6个月，支付20%验收合格款</v>
      </c>
      <c r="V19" s="289">
        <f>VLOOKUP($B19,'2、设备合同'!$D:$AK,21,0)</f>
        <v>390000</v>
      </c>
      <c r="W19" s="289">
        <f>VLOOKUP($B19,'2、设备合同'!$D:$AK,22,0)</f>
        <v>0</v>
      </c>
      <c r="X19" s="286" t="str">
        <f>VLOOKUP($B19,'2、设备合同'!$D:$AK,23,0)</f>
        <v>质保期24个月后15个工作日支付10%</v>
      </c>
      <c r="Y19" s="289">
        <f>VLOOKUP($B19,'2、设备合同'!$D:$AK,24,0)</f>
        <v>195000</v>
      </c>
      <c r="Z19" s="289">
        <f>VLOOKUP($B19,'2、设备合同'!$D:$AK,25,0)</f>
        <v>0</v>
      </c>
      <c r="AA19" s="286">
        <f>VLOOKUP($B19,'2、设备合同'!$D:$AK,26,0)</f>
        <v>0</v>
      </c>
      <c r="AB19" s="289">
        <f>VLOOKUP($B19,'2、设备合同'!$D:$AK,27,0)</f>
        <v>0</v>
      </c>
      <c r="AC19" s="289">
        <f>VLOOKUP($B19,'2、设备合同'!$D:$AK,28,0)</f>
        <v>0</v>
      </c>
      <c r="AD19" s="286">
        <f>VLOOKUP($B19,'2、设备合同'!$D:$AK,29,0)</f>
        <v>0</v>
      </c>
      <c r="AE19" s="289">
        <f>VLOOKUP($B19,'2、设备合同'!$D:$AK,30,0)</f>
        <v>0</v>
      </c>
      <c r="AF19" s="289">
        <f>VLOOKUP($B19,'2、设备合同'!$D:$AK,31,0)</f>
        <v>0</v>
      </c>
      <c r="AG19" s="289">
        <f>VLOOKUP($B19,'2、设备合同'!$D:$AK,32,0)</f>
        <v>0</v>
      </c>
      <c r="AH19" s="289">
        <f>VLOOKUP($B19,'2、设备合同'!$D:$AK,33,0)</f>
        <v>0</v>
      </c>
      <c r="AI19" s="308">
        <f>VLOOKUP($B19,'2、设备合同'!$D:$AK,34,0)</f>
        <v>0</v>
      </c>
      <c r="AJ19" s="309">
        <f t="shared" si="1"/>
        <v>390000</v>
      </c>
      <c r="AK19" s="289">
        <f t="shared" si="2"/>
        <v>1560000</v>
      </c>
      <c r="AL19" s="310">
        <f t="shared" si="3"/>
        <v>0.2</v>
      </c>
      <c r="AM19" s="289">
        <f t="shared" si="4"/>
        <v>1950000</v>
      </c>
      <c r="AN19" s="311" t="str">
        <f t="shared" si="5"/>
        <v>数据正确</v>
      </c>
    </row>
    <row r="20" s="228" customFormat="1" customHeight="1" spans="1:40">
      <c r="A20" s="228" t="str">
        <f t="shared" si="6"/>
        <v/>
      </c>
      <c r="B20" s="261">
        <v>15</v>
      </c>
      <c r="C20" s="262" t="str">
        <f>VLOOKUP($B20,'2、设备合同'!$D:$AK,2,0)</f>
        <v>YRKJEQ-170011</v>
      </c>
      <c r="D20" s="263" t="str">
        <f>VLOOKUP($B20,'2、设备合同'!$D:$AK,3,0)</f>
        <v>设备合同</v>
      </c>
      <c r="E20" s="263">
        <f>VLOOKUP($B20,'2、设备合同'!$D:$AK,4,0)</f>
        <v>2017020026</v>
      </c>
      <c r="F20" s="264">
        <f>VLOOKUP($B20,'2、设备合同'!$D:$AK,5,0)</f>
        <v>42807</v>
      </c>
      <c r="G20" s="265">
        <f>VLOOKUP($B20,'2、设备合同'!$D:$AK,6,0)</f>
        <v>794000</v>
      </c>
      <c r="H20" s="265" t="str">
        <f>VLOOKUP($B20,'2、设备合同'!$D:$AK,7,0)</f>
        <v>塔装置内件共8套</v>
      </c>
      <c r="I20" s="265" t="str">
        <f>VLOOKUP($B20,'2、设备合同'!$D:$AK,8,0)</f>
        <v>北洋国家精馏技术工程发展有限公司</v>
      </c>
      <c r="J20" s="286">
        <f>VLOOKUP($B20,'2、设备合同'!$D:$AK,9,0)</f>
        <v>0</v>
      </c>
      <c r="K20" s="287" t="str">
        <f>VLOOKUP($B20,'2、设备合同'!$D:$AK,10,0)</f>
        <v>6个月承兑汇票</v>
      </c>
      <c r="L20" s="288" t="str">
        <f>VLOOKUP($B20,'2、设备合同'!$D:$AK,11,0)</f>
        <v>乙方货物制造完成，甲方人员在乙方工厂清点验货无误，并收到60%的专票（17%）后15个工作日支付60%发货款</v>
      </c>
      <c r="M20" s="289">
        <f>VLOOKUP($B20,'2、设备合同'!$D:$AK,12,0)</f>
        <v>476400</v>
      </c>
      <c r="N20" s="289">
        <f>VLOOKUP($B20,'2、设备合同'!$D:$AK,13,0)</f>
        <v>0</v>
      </c>
      <c r="O20" s="286" t="str">
        <f>VLOOKUP($B20,'2、设备合同'!$D:$AK,14,0)</f>
        <v>货物到达甲方指定地点后一个月内验收并收到40%专票（17%）的15个工作日内支付30%货款</v>
      </c>
      <c r="P20" s="289">
        <f>VLOOKUP($B20,'2、设备合同'!$D:$AK,15,0)</f>
        <v>238200</v>
      </c>
      <c r="Q20" s="289">
        <f>VLOOKUP($B20,'2、设备合同'!$D:$AK,16,0)</f>
        <v>0</v>
      </c>
      <c r="R20" s="286" t="str">
        <f>VLOOKUP($B20,'2、设备合同'!$D:$AK,17,0)</f>
        <v>10%总价作质保金，在24个月质保期满后15个工作日内支付</v>
      </c>
      <c r="S20" s="289">
        <f>VLOOKUP($B20,'2、设备合同'!$D:$AK,18,0)</f>
        <v>79400</v>
      </c>
      <c r="T20" s="289">
        <f>VLOOKUP($B20,'2、设备合同'!$D:$AK,19,0)</f>
        <v>0</v>
      </c>
      <c r="U20" s="286">
        <f>VLOOKUP($B20,'2、设备合同'!$D:$AK,20,0)</f>
        <v>0</v>
      </c>
      <c r="V20" s="289">
        <f>VLOOKUP($B20,'2、设备合同'!$D:$AK,21,0)</f>
        <v>0</v>
      </c>
      <c r="W20" s="289">
        <f>VLOOKUP($B20,'2、设备合同'!$D:$AK,22,0)</f>
        <v>0</v>
      </c>
      <c r="X20" s="286">
        <f>VLOOKUP($B20,'2、设备合同'!$D:$AK,23,0)</f>
        <v>0</v>
      </c>
      <c r="Y20" s="289">
        <f>VLOOKUP($B20,'2、设备合同'!$D:$AK,24,0)</f>
        <v>0</v>
      </c>
      <c r="Z20" s="289">
        <f>VLOOKUP($B20,'2、设备合同'!$D:$AK,25,0)</f>
        <v>0</v>
      </c>
      <c r="AA20" s="286">
        <f>VLOOKUP($B20,'2、设备合同'!$D:$AK,26,0)</f>
        <v>0</v>
      </c>
      <c r="AB20" s="289">
        <f>VLOOKUP($B20,'2、设备合同'!$D:$AK,27,0)</f>
        <v>0</v>
      </c>
      <c r="AC20" s="289">
        <f>VLOOKUP($B20,'2、设备合同'!$D:$AK,28,0)</f>
        <v>0</v>
      </c>
      <c r="AD20" s="286">
        <f>VLOOKUP($B20,'2、设备合同'!$D:$AK,29,0)</f>
        <v>0</v>
      </c>
      <c r="AE20" s="289">
        <f>VLOOKUP($B20,'2、设备合同'!$D:$AK,30,0)</f>
        <v>0</v>
      </c>
      <c r="AF20" s="289">
        <f>VLOOKUP($B20,'2、设备合同'!$D:$AK,31,0)</f>
        <v>0</v>
      </c>
      <c r="AG20" s="289">
        <f>VLOOKUP($B20,'2、设备合同'!$D:$AK,32,0)</f>
        <v>0</v>
      </c>
      <c r="AH20" s="289">
        <f>VLOOKUP($B20,'2、设备合同'!$D:$AK,33,0)</f>
        <v>0</v>
      </c>
      <c r="AI20" s="308">
        <f>VLOOKUP($B20,'2、设备合同'!$D:$AK,34,0)</f>
        <v>0</v>
      </c>
      <c r="AJ20" s="309">
        <f t="shared" si="1"/>
        <v>0</v>
      </c>
      <c r="AK20" s="289">
        <f t="shared" si="2"/>
        <v>794000</v>
      </c>
      <c r="AL20" s="310">
        <f t="shared" si="3"/>
        <v>0</v>
      </c>
      <c r="AM20" s="289">
        <f t="shared" si="4"/>
        <v>794000</v>
      </c>
      <c r="AN20" s="311" t="str">
        <f t="shared" si="5"/>
        <v>数据正确</v>
      </c>
    </row>
    <row r="21" s="228" customFormat="1" customHeight="1" spans="1:40">
      <c r="A21" s="228" t="str">
        <f t="shared" si="6"/>
        <v/>
      </c>
      <c r="B21" s="256">
        <v>16</v>
      </c>
      <c r="C21" s="262" t="str">
        <f>VLOOKUP($B21,'2、设备合同'!$D:$AK,2,0)</f>
        <v>YRKJEQ-170012</v>
      </c>
      <c r="D21" s="263" t="str">
        <f>VLOOKUP($B21,'2、设备合同'!$D:$AK,3,0)</f>
        <v>设备合同</v>
      </c>
      <c r="E21" s="263">
        <f>VLOOKUP($B21,'2、设备合同'!$D:$AK,4,0)</f>
        <v>2017020025</v>
      </c>
      <c r="F21" s="264">
        <f>VLOOKUP($B21,'2、设备合同'!$D:$AK,5,0)</f>
        <v>42833</v>
      </c>
      <c r="G21" s="265">
        <f>VLOOKUP($B21,'2、设备合同'!$D:$AK,6,0)</f>
        <v>4890000</v>
      </c>
      <c r="H21" s="265" t="str">
        <f>VLOOKUP($B21,'2、设备合同'!$D:$AK,7,0)</f>
        <v>化工流程泵共83台</v>
      </c>
      <c r="I21" s="265" t="str">
        <f>VLOOKUP($B21,'2、设备合同'!$D:$AK,8,0)</f>
        <v>江苏双达泵阀集团有限公司</v>
      </c>
      <c r="J21" s="286" t="str">
        <f>VLOOKUP($B21,'2、设备合同'!$D:$AK,9,0)</f>
        <v>氨肟化装置24台共358.922万元，己内酰胺精装置59台共130.078万元</v>
      </c>
      <c r="K21" s="287" t="str">
        <f>VLOOKUP($B21,'2、设备合同'!$D:$AK,10,0)</f>
        <v>6个月承兑汇票，如采用现金转账，扣除付款金额的2%</v>
      </c>
      <c r="L21" s="288" t="str">
        <f>VLOOKUP($B21,'2、设备合同'!$D:$AK,11,0)</f>
        <v>乙方开具有效期为货到后30天内、本合同总价20%预付款保函和本合同20%总价之17%增值税专用发票后15个工作日内，甲方支付20%预付款。</v>
      </c>
      <c r="M21" s="289">
        <f>VLOOKUP($B21,'2、设备合同'!$D:$AK,12,0)</f>
        <v>978000</v>
      </c>
      <c r="N21" s="289">
        <f>VLOOKUP($B21,'2、设备合同'!$D:$AK,13,0)</f>
        <v>978000</v>
      </c>
      <c r="O21" s="286" t="str">
        <f>VLOOKUP($B21,'2、设备合同'!$D:$AK,14,0)</f>
        <v>乙方生产的本合同标的物具备发货条件并通知甲方人员确认满足要求，以及收到本合同30%的17%增值税专用发票，以及本合同标的物对应完整资料后15个工作日，甲方支付30%发货款。</v>
      </c>
      <c r="P21" s="289">
        <f>VLOOKUP($B21,'2、设备合同'!$D:$AK,15,0)</f>
        <v>1467000</v>
      </c>
      <c r="Q21" s="289">
        <f>VLOOKUP($B21,'2、设备合同'!$D:$AK,16,0)</f>
        <v>0</v>
      </c>
      <c r="R21" s="286" t="str">
        <f>VLOOKUP($B21,'2、设备合同'!$D:$AK,17,0)</f>
        <v>货物到达甲方指定地点初验合格且甲方收到乙方提交的本合同50%总价之17%增值税专用发票后，15个工作日内支付20%到货款。</v>
      </c>
      <c r="S21" s="289">
        <f>VLOOKUP($B21,'2、设备合同'!$D:$AK,18,0)</f>
        <v>978000</v>
      </c>
      <c r="T21" s="289">
        <f>VLOOKUP($B21,'2、设备合同'!$D:$AK,19,0)</f>
        <v>0</v>
      </c>
      <c r="U21" s="286" t="str">
        <f>VLOOKUP($B21,'2、设备合同'!$D:$AK,20,0)</f>
        <v>货物到达甲方现场三个月内验收或货到现场6个月内（以条件先到者为准）甲方在15个工作日内支付20%验收合格款。</v>
      </c>
      <c r="V21" s="289">
        <f>VLOOKUP($B21,'2、设备合同'!$D:$AK,21,0)</f>
        <v>978000</v>
      </c>
      <c r="W21" s="289">
        <f>VLOOKUP($B21,'2、设备合同'!$D:$AK,22,0)</f>
        <v>0</v>
      </c>
      <c r="X21" s="286" t="str">
        <f>VLOOKUP($B21,'2、设备合同'!$D:$AK,23,0)</f>
        <v>本合同10%总价留作质保金，验收合格后18个月或货到现场24个月（以条件先到者为准）后15个工作日内支付</v>
      </c>
      <c r="Y21" s="289">
        <f>VLOOKUP($B21,'2、设备合同'!$D:$AK,24,0)</f>
        <v>489000</v>
      </c>
      <c r="Z21" s="289">
        <f>VLOOKUP($B21,'2、设备合同'!$D:$AK,25,0)</f>
        <v>0</v>
      </c>
      <c r="AA21" s="286">
        <f>VLOOKUP($B21,'2、设备合同'!$D:$AK,26,0)</f>
        <v>0</v>
      </c>
      <c r="AB21" s="289">
        <f>VLOOKUP($B21,'2、设备合同'!$D:$AK,27,0)</f>
        <v>0</v>
      </c>
      <c r="AC21" s="289">
        <f>VLOOKUP($B21,'2、设备合同'!$D:$AK,28,0)</f>
        <v>0</v>
      </c>
      <c r="AD21" s="286">
        <f>VLOOKUP($B21,'2、设备合同'!$D:$AK,29,0)</f>
        <v>0</v>
      </c>
      <c r="AE21" s="289">
        <f>VLOOKUP($B21,'2、设备合同'!$D:$AK,30,0)</f>
        <v>0</v>
      </c>
      <c r="AF21" s="289">
        <f>VLOOKUP($B21,'2、设备合同'!$D:$AK,31,0)</f>
        <v>0</v>
      </c>
      <c r="AG21" s="289">
        <f>VLOOKUP($B21,'2、设备合同'!$D:$AK,32,0)</f>
        <v>0</v>
      </c>
      <c r="AH21" s="289">
        <f>VLOOKUP($B21,'2、设备合同'!$D:$AK,33,0)</f>
        <v>0</v>
      </c>
      <c r="AI21" s="308">
        <f>VLOOKUP($B21,'2、设备合同'!$D:$AK,34,0)</f>
        <v>0</v>
      </c>
      <c r="AJ21" s="309">
        <f t="shared" si="1"/>
        <v>978000</v>
      </c>
      <c r="AK21" s="289">
        <f t="shared" si="2"/>
        <v>3912000</v>
      </c>
      <c r="AL21" s="310">
        <f t="shared" si="3"/>
        <v>0.2</v>
      </c>
      <c r="AM21" s="289">
        <f t="shared" si="4"/>
        <v>4890000</v>
      </c>
      <c r="AN21" s="311" t="str">
        <f t="shared" si="5"/>
        <v>数据正确</v>
      </c>
    </row>
    <row r="22" s="228" customFormat="1" customHeight="1" spans="1:40">
      <c r="A22" s="228" t="str">
        <f t="shared" si="6"/>
        <v/>
      </c>
      <c r="B22" s="261">
        <v>17</v>
      </c>
      <c r="C22" s="262" t="str">
        <f>VLOOKUP($B22,'2、设备合同'!$D:$AK,2,0)</f>
        <v>YRKJEQ-170013</v>
      </c>
      <c r="D22" s="263" t="str">
        <f>VLOOKUP($B22,'2、设备合同'!$D:$AK,3,0)</f>
        <v>设备合同</v>
      </c>
      <c r="E22" s="263">
        <f>VLOOKUP($B22,'2、设备合同'!$D:$AK,4,0)</f>
        <v>2017020016</v>
      </c>
      <c r="F22" s="264">
        <f>VLOOKUP($B22,'2、设备合同'!$D:$AK,5,0)</f>
        <v>42830</v>
      </c>
      <c r="G22" s="265">
        <f>VLOOKUP($B22,'2、设备合同'!$D:$AK,6,0)</f>
        <v>5000000</v>
      </c>
      <c r="H22" s="265" t="str">
        <f>VLOOKUP($B22,'2、设备合同'!$D:$AK,7,0)</f>
        <v>己萃塔1台</v>
      </c>
      <c r="I22" s="265" t="str">
        <f>VLOOKUP($B22,'2、设备合同'!$D:$AK,8,0)</f>
        <v>长沙博能科技发展有限公司</v>
      </c>
      <c r="J22" s="286" t="str">
        <f>VLOOKUP($B22,'2、设备合同'!$D:$AK,9,0)</f>
        <v>己内酰胺精制装置500万元</v>
      </c>
      <c r="K22" s="287" t="str">
        <f>VLOOKUP($B22,'2、设备合同'!$D:$AK,10,0)</f>
        <v>电汇</v>
      </c>
      <c r="L22" s="288" t="str">
        <f>VLOOKUP($B22,'2、设备合同'!$D:$AK,11,0)</f>
        <v>乙方开具有效期为货到后30天内（2017年11月30日）、本合同总价20%预付款保函和本合同20%总价之乙方财务收据后5个工作日内，甲方支付20%预付款</v>
      </c>
      <c r="M22" s="289">
        <f>VLOOKUP($B22,'2、设备合同'!$D:$AK,12,0)</f>
        <v>1000000</v>
      </c>
      <c r="N22" s="289">
        <f>VLOOKUP($B22,'2、设备合同'!$D:$AK,13,0)</f>
        <v>0</v>
      </c>
      <c r="O22" s="286" t="str">
        <f>VLOOKUP($B22,'2、设备合同'!$D:$AK,14,0)</f>
        <v>本合同标的物生产完成具备发货条件、甲方人员在乙方现场确认无误，且收到乙方提交的本合同100%总价之17%增值税专用发票后15个工作日内，甲方支付40%发货款。</v>
      </c>
      <c r="P22" s="289">
        <f>VLOOKUP($B22,'2、设备合同'!$D:$AK,15,0)</f>
        <v>2000000</v>
      </c>
      <c r="Q22" s="289">
        <f>VLOOKUP($B22,'2、设备合同'!$D:$AK,16,0)</f>
        <v>0</v>
      </c>
      <c r="R22" s="286" t="str">
        <f>VLOOKUP($B22,'2、设备合同'!$D:$AK,17,0)</f>
        <v>货物到达甲方指定地点后一个月内初验合格或货到现场1个月后（以条件先到者为准），甲方在15个工作日内支付10%到货款。</v>
      </c>
      <c r="S22" s="289">
        <f>VLOOKUP($B22,'2、设备合同'!$D:$AK,18,0)</f>
        <v>500000</v>
      </c>
      <c r="T22" s="289">
        <f>VLOOKUP($B22,'2、设备合同'!$D:$AK,19,0)</f>
        <v>0</v>
      </c>
      <c r="U22" s="286" t="str">
        <f>VLOOKUP($B22,'2、设备合同'!$D:$AK,20,0)</f>
        <v>货物到达甲方指定地点后一个月内初验收或货到现场1个月后（以条件先到者为准）甲方在15个工作日内支付10%验收合格款。</v>
      </c>
      <c r="V22" s="289">
        <f>VLOOKUP($B22,'2、设备合同'!$D:$AK,21,0)</f>
        <v>1000000</v>
      </c>
      <c r="W22" s="289">
        <f>VLOOKUP($B22,'2、设备合同'!$D:$AK,22,0)</f>
        <v>0</v>
      </c>
      <c r="X22" s="286" t="str">
        <f>VLOOKUP($B22,'2、设备合同'!$D:$AK,23,0)</f>
        <v>本合同10%总价留作质保金，在24个月质保期满后15个工作日内支付</v>
      </c>
      <c r="Y22" s="289">
        <f>VLOOKUP($B22,'2、设备合同'!$D:$AK,24,0)</f>
        <v>500000</v>
      </c>
      <c r="Z22" s="289">
        <f>VLOOKUP($B22,'2、设备合同'!$D:$AK,25,0)</f>
        <v>0</v>
      </c>
      <c r="AA22" s="286">
        <f>VLOOKUP($B22,'2、设备合同'!$D:$AK,26,0)</f>
        <v>0</v>
      </c>
      <c r="AB22" s="289">
        <f>VLOOKUP($B22,'2、设备合同'!$D:$AK,27,0)</f>
        <v>0</v>
      </c>
      <c r="AC22" s="289">
        <f>VLOOKUP($B22,'2、设备合同'!$D:$AK,28,0)</f>
        <v>0</v>
      </c>
      <c r="AD22" s="286">
        <f>VLOOKUP($B22,'2、设备合同'!$D:$AK,29,0)</f>
        <v>0</v>
      </c>
      <c r="AE22" s="289">
        <f>VLOOKUP($B22,'2、设备合同'!$D:$AK,30,0)</f>
        <v>0</v>
      </c>
      <c r="AF22" s="289">
        <f>VLOOKUP($B22,'2、设备合同'!$D:$AK,31,0)</f>
        <v>0</v>
      </c>
      <c r="AG22" s="289">
        <f>VLOOKUP($B22,'2、设备合同'!$D:$AK,32,0)</f>
        <v>0</v>
      </c>
      <c r="AH22" s="289">
        <f>VLOOKUP($B22,'2、设备合同'!$D:$AK,33,0)</f>
        <v>0</v>
      </c>
      <c r="AI22" s="308">
        <f>VLOOKUP($B22,'2、设备合同'!$D:$AK,34,0)</f>
        <v>0</v>
      </c>
      <c r="AJ22" s="309">
        <f t="shared" si="1"/>
        <v>0</v>
      </c>
      <c r="AK22" s="289">
        <f t="shared" si="2"/>
        <v>5000000</v>
      </c>
      <c r="AL22" s="310">
        <f t="shared" si="3"/>
        <v>0</v>
      </c>
      <c r="AM22" s="289">
        <f t="shared" si="4"/>
        <v>5000000</v>
      </c>
      <c r="AN22" s="311" t="str">
        <f t="shared" si="5"/>
        <v>数据正确</v>
      </c>
    </row>
    <row r="23" s="228" customFormat="1" customHeight="1" spans="1:40">
      <c r="A23" s="228" t="str">
        <f t="shared" si="6"/>
        <v/>
      </c>
      <c r="B23" s="261">
        <v>18</v>
      </c>
      <c r="C23" s="262" t="str">
        <f>VLOOKUP($B23,'2、设备合同'!$D:$AK,2,0)</f>
        <v>YRKJEQ-170014</v>
      </c>
      <c r="D23" s="263" t="str">
        <f>VLOOKUP($B23,'2、设备合同'!$D:$AK,3,0)</f>
        <v>设备合同</v>
      </c>
      <c r="E23" s="263">
        <f>VLOOKUP($B23,'2、设备合同'!$D:$AK,4,0)</f>
        <v>2017020024</v>
      </c>
      <c r="F23" s="264">
        <f>VLOOKUP($B23,'2、设备合同'!$D:$AK,5,0)</f>
        <v>42832</v>
      </c>
      <c r="G23" s="265">
        <f>VLOOKUP($B23,'2、设备合同'!$D:$AK,6,0)</f>
        <v>1560000</v>
      </c>
      <c r="H23" s="265" t="str">
        <f>VLOOKUP($B23,'2、设备合同'!$D:$AK,7,0)</f>
        <v>晶浆泵及配件一批</v>
      </c>
      <c r="I23" s="265" t="str">
        <f>VLOOKUP($B23,'2、设备合同'!$D:$AK,8,0)</f>
        <v>昆明嘉和科技股份有限公司</v>
      </c>
      <c r="J23" s="286">
        <f>VLOOKUP($B23,'2、设备合同'!$D:$AK,9,0)</f>
        <v>0</v>
      </c>
      <c r="K23" s="287" t="str">
        <f>VLOOKUP($B23,'2、设备合同'!$D:$AK,10,0)</f>
        <v>6个月承兑汇票，电汇的话按153万元算</v>
      </c>
      <c r="L23" s="288" t="str">
        <f>VLOOKUP($B23,'2、设备合同'!$D:$AK,11,0)</f>
        <v>甲方接到货物后，收到乙方提供的20%预付款保函，并收到等额的专票后支付20%货款。乙方提供10%履约保函</v>
      </c>
      <c r="M23" s="289">
        <f>VLOOKUP($B23,'2、设备合同'!$D:$AK,12,0)</f>
        <v>312000</v>
      </c>
      <c r="N23" s="289">
        <f>VLOOKUP($B23,'2、设备合同'!$D:$AK,13,0)</f>
        <v>0</v>
      </c>
      <c r="O23" s="286" t="str">
        <f>VLOOKUP($B23,'2、设备合同'!$D:$AK,14,0)</f>
        <v>收到乙方提供的30%发货款保函，甲方至乙方工厂初步检验合格后，并收到等额的专票后支付30%的货款</v>
      </c>
      <c r="P23" s="289">
        <f>VLOOKUP($B23,'2、设备合同'!$D:$AK,15,0)</f>
        <v>468000</v>
      </c>
      <c r="Q23" s="289">
        <f>VLOOKUP($B23,'2、设备合同'!$D:$AK,16,0)</f>
        <v>0</v>
      </c>
      <c r="R23" s="286" t="str">
        <f>VLOOKUP($B23,'2、设备合同'!$D:$AK,17,0)</f>
        <v>甲方收到货物，并收到等额的专票后，支付30%的货款</v>
      </c>
      <c r="S23" s="289">
        <f>VLOOKUP($B23,'2、设备合同'!$D:$AK,18,0)</f>
        <v>468000</v>
      </c>
      <c r="T23" s="289">
        <f>VLOOKUP($B23,'2、设备合同'!$D:$AK,19,0)</f>
        <v>0</v>
      </c>
      <c r="U23" s="286" t="str">
        <f>VLOOKUP($B23,'2、设备合同'!$D:$AK,20,0)</f>
        <v>甲方验收合格后，并收到乙方等额的专票后支付10%的验收款</v>
      </c>
      <c r="V23" s="289">
        <f>VLOOKUP($B23,'2、设备合同'!$D:$AK,21,0)</f>
        <v>156000</v>
      </c>
      <c r="W23" s="289">
        <f>VLOOKUP($B23,'2、设备合同'!$D:$AK,22,0)</f>
        <v>0</v>
      </c>
      <c r="X23" s="286" t="str">
        <f>VLOOKUP($B23,'2、设备合同'!$D:$AK,23,0)</f>
        <v>10%作为质保金，质保期满后并收到乙方等额的专票后支付10%货款</v>
      </c>
      <c r="Y23" s="289">
        <f>VLOOKUP($B23,'2、设备合同'!$D:$AK,24,0)</f>
        <v>156000</v>
      </c>
      <c r="Z23" s="289">
        <f>VLOOKUP($B23,'2、设备合同'!$D:$AK,25,0)</f>
        <v>0</v>
      </c>
      <c r="AA23" s="286">
        <f>VLOOKUP($B23,'2、设备合同'!$D:$AK,26,0)</f>
        <v>0</v>
      </c>
      <c r="AB23" s="289">
        <f>VLOOKUP($B23,'2、设备合同'!$D:$AK,27,0)</f>
        <v>0</v>
      </c>
      <c r="AC23" s="289">
        <f>VLOOKUP($B23,'2、设备合同'!$D:$AK,28,0)</f>
        <v>0</v>
      </c>
      <c r="AD23" s="286">
        <f>VLOOKUP($B23,'2、设备合同'!$D:$AK,29,0)</f>
        <v>0</v>
      </c>
      <c r="AE23" s="289">
        <f>VLOOKUP($B23,'2、设备合同'!$D:$AK,30,0)</f>
        <v>0</v>
      </c>
      <c r="AF23" s="289">
        <f>VLOOKUP($B23,'2、设备合同'!$D:$AK,31,0)</f>
        <v>0</v>
      </c>
      <c r="AG23" s="289">
        <f>VLOOKUP($B23,'2、设备合同'!$D:$AK,32,0)</f>
        <v>0</v>
      </c>
      <c r="AH23" s="289">
        <f>VLOOKUP($B23,'2、设备合同'!$D:$AK,33,0)</f>
        <v>0</v>
      </c>
      <c r="AI23" s="308">
        <f>VLOOKUP($B23,'2、设备合同'!$D:$AK,34,0)</f>
        <v>0</v>
      </c>
      <c r="AJ23" s="309">
        <f t="shared" si="1"/>
        <v>0</v>
      </c>
      <c r="AK23" s="289">
        <f t="shared" si="2"/>
        <v>1560000</v>
      </c>
      <c r="AL23" s="310">
        <f t="shared" si="3"/>
        <v>0</v>
      </c>
      <c r="AM23" s="289">
        <f t="shared" si="4"/>
        <v>1560000</v>
      </c>
      <c r="AN23" s="311" t="str">
        <f t="shared" si="5"/>
        <v>数据正确</v>
      </c>
    </row>
    <row r="24" s="228" customFormat="1" customHeight="1" spans="1:40">
      <c r="A24" s="228" t="str">
        <f t="shared" si="6"/>
        <v/>
      </c>
      <c r="B24" s="256">
        <v>19</v>
      </c>
      <c r="C24" s="262" t="str">
        <f>VLOOKUP($B24,'2、设备合同'!$D:$AK,2,0)</f>
        <v>YRKJEQ-170015</v>
      </c>
      <c r="D24" s="263" t="str">
        <f>VLOOKUP($B24,'2、设备合同'!$D:$AK,3,0)</f>
        <v>设备合同</v>
      </c>
      <c r="E24" s="263">
        <f>VLOOKUP($B24,'2、设备合同'!$D:$AK,4,0)</f>
        <v>2017020022</v>
      </c>
      <c r="F24" s="264">
        <f>VLOOKUP($B24,'2、设备合同'!$D:$AK,5,0)</f>
        <v>42832</v>
      </c>
      <c r="G24" s="265">
        <f>VLOOKUP($B24,'2、设备合同'!$D:$AK,6,0)</f>
        <v>386588</v>
      </c>
      <c r="H24" s="265" t="str">
        <f>VLOOKUP($B24,'2、设备合同'!$D:$AK,7,0)</f>
        <v>磁力泵及配件</v>
      </c>
      <c r="I24" s="265" t="str">
        <f>VLOOKUP($B24,'2、设备合同'!$D:$AK,8,0)</f>
        <v>丹东克隆集团有限责任公司</v>
      </c>
      <c r="J24" s="286">
        <f>VLOOKUP($B24,'2、设备合同'!$D:$AK,9,0)</f>
        <v>0</v>
      </c>
      <c r="K24" s="287" t="str">
        <f>VLOOKUP($B24,'2、设备合同'!$D:$AK,10,0)</f>
        <v>6个月承兑汇票</v>
      </c>
      <c r="L24" s="288" t="str">
        <f>VLOOKUP($B24,'2、设备合同'!$D:$AK,11,0)</f>
        <v>甲方收到乙方提供的20%预付款保函，乙方提供10%履约保函</v>
      </c>
      <c r="M24" s="289">
        <f>VLOOKUP($B24,'2、设备合同'!$D:$AK,12,0)</f>
        <v>77317.6</v>
      </c>
      <c r="N24" s="289">
        <f>VLOOKUP($B24,'2、设备合同'!$D:$AK,13,0)</f>
        <v>0</v>
      </c>
      <c r="O24" s="286" t="str">
        <f>VLOOKUP($B24,'2、设备合同'!$D:$AK,14,0)</f>
        <v>收到乙方提供的30%发货款保函，甲方至乙方工厂初步检验合格后，并收到等额的专票后支付30%的货款</v>
      </c>
      <c r="P24" s="289">
        <f>VLOOKUP($B24,'2、设备合同'!$D:$AK,15,0)</f>
        <v>115976.4</v>
      </c>
      <c r="Q24" s="289">
        <f>VLOOKUP($B24,'2、设备合同'!$D:$AK,16,0)</f>
        <v>0</v>
      </c>
      <c r="R24" s="286" t="str">
        <f>VLOOKUP($B24,'2、设备合同'!$D:$AK,17,0)</f>
        <v>甲方收到货物后支付20%的货款</v>
      </c>
      <c r="S24" s="289">
        <f>VLOOKUP($B24,'2、设备合同'!$D:$AK,18,0)</f>
        <v>77317.6</v>
      </c>
      <c r="T24" s="289">
        <f>VLOOKUP($B24,'2、设备合同'!$D:$AK,19,0)</f>
        <v>0</v>
      </c>
      <c r="U24" s="286" t="str">
        <f>VLOOKUP($B24,'2、设备合同'!$D:$AK,20,0)</f>
        <v>甲方验收合格后，并收到乙方90%的专票后支付20%的验收款</v>
      </c>
      <c r="V24" s="289">
        <f>VLOOKUP($B24,'2、设备合同'!$D:$AK,21,0)</f>
        <v>77317.6</v>
      </c>
      <c r="W24" s="289">
        <f>VLOOKUP($B24,'2、设备合同'!$D:$AK,22,0)</f>
        <v>0</v>
      </c>
      <c r="X24" s="286" t="str">
        <f>VLOOKUP($B24,'2、设备合同'!$D:$AK,23,0)</f>
        <v>10%作为质保金，质保期满后并收到乙方等额的专票后支付10%货款</v>
      </c>
      <c r="Y24" s="289">
        <f>VLOOKUP($B24,'2、设备合同'!$D:$AK,24,0)</f>
        <v>38658.8</v>
      </c>
      <c r="Z24" s="289">
        <f>VLOOKUP($B24,'2、设备合同'!$D:$AK,25,0)</f>
        <v>0</v>
      </c>
      <c r="AA24" s="286">
        <f>VLOOKUP($B24,'2、设备合同'!$D:$AK,26,0)</f>
        <v>0</v>
      </c>
      <c r="AB24" s="289">
        <f>VLOOKUP($B24,'2、设备合同'!$D:$AK,27,0)</f>
        <v>0</v>
      </c>
      <c r="AC24" s="289">
        <f>VLOOKUP($B24,'2、设备合同'!$D:$AK,28,0)</f>
        <v>0</v>
      </c>
      <c r="AD24" s="286">
        <f>VLOOKUP($B24,'2、设备合同'!$D:$AK,29,0)</f>
        <v>0</v>
      </c>
      <c r="AE24" s="289">
        <f>VLOOKUP($B24,'2、设备合同'!$D:$AK,30,0)</f>
        <v>0</v>
      </c>
      <c r="AF24" s="289">
        <f>VLOOKUP($B24,'2、设备合同'!$D:$AK,31,0)</f>
        <v>0</v>
      </c>
      <c r="AG24" s="289">
        <f>VLOOKUP($B24,'2、设备合同'!$D:$AK,32,0)</f>
        <v>0</v>
      </c>
      <c r="AH24" s="289">
        <f>VLOOKUP($B24,'2、设备合同'!$D:$AK,33,0)</f>
        <v>0</v>
      </c>
      <c r="AI24" s="308">
        <f>VLOOKUP($B24,'2、设备合同'!$D:$AK,34,0)</f>
        <v>0</v>
      </c>
      <c r="AJ24" s="309">
        <f t="shared" si="1"/>
        <v>0</v>
      </c>
      <c r="AK24" s="289">
        <f t="shared" si="2"/>
        <v>386588</v>
      </c>
      <c r="AL24" s="310">
        <f t="shared" si="3"/>
        <v>0</v>
      </c>
      <c r="AM24" s="289">
        <f t="shared" si="4"/>
        <v>386588</v>
      </c>
      <c r="AN24" s="311" t="str">
        <f t="shared" si="5"/>
        <v>数据正确</v>
      </c>
    </row>
    <row r="25" s="228" customFormat="1" customHeight="1" spans="1:40">
      <c r="A25" s="228" t="str">
        <f t="shared" si="6"/>
        <v/>
      </c>
      <c r="B25" s="261">
        <v>20</v>
      </c>
      <c r="C25" s="262" t="str">
        <f>VLOOKUP($B25,'2、设备合同'!$D:$AK,2,0)</f>
        <v>YRKJEQ-170016</v>
      </c>
      <c r="D25" s="263" t="str">
        <f>VLOOKUP($B25,'2、设备合同'!$D:$AK,3,0)</f>
        <v>设备合同</v>
      </c>
      <c r="E25" s="263">
        <f>VLOOKUP($B25,'2、设备合同'!$D:$AK,4,0)</f>
        <v>2017030067</v>
      </c>
      <c r="F25" s="264">
        <f>VLOOKUP($B25,'2、设备合同'!$D:$AK,5,0)</f>
        <v>42832</v>
      </c>
      <c r="G25" s="265">
        <f>VLOOKUP($B25,'2、设备合同'!$D:$AK,6,0)</f>
        <v>18460000</v>
      </c>
      <c r="H25" s="265" t="str">
        <f>VLOOKUP($B25,'2、设备合同'!$D:$AK,7,0)</f>
        <v>压缩机与汽轮机1套</v>
      </c>
      <c r="I25" s="265" t="str">
        <f>VLOOKUP($B25,'2、设备合同'!$D:$AK,8,0)</f>
        <v>上海晗益流体设备有限公司</v>
      </c>
      <c r="J25" s="286" t="str">
        <f>VLOOKUP($B25,'2、设备合同'!$D:$AK,9,0)</f>
        <v>双氧水装置1846万元</v>
      </c>
      <c r="K25" s="287" t="str">
        <f>VLOOKUP($B25,'2、设备合同'!$D:$AK,10,0)</f>
        <v>电汇</v>
      </c>
      <c r="L25" s="288" t="str">
        <f>VLOOKUP($B25,'2、设备合同'!$D:$AK,11,0)</f>
        <v>买方应于收到卖方递交的合同总额20%的以买方为受益人的银行预付款保函后15个工作日内向卖方以电汇方式支付合同总额20%</v>
      </c>
      <c r="M25" s="289">
        <f>VLOOKUP($B25,'2、设备合同'!$D:$AK,12,0)</f>
        <v>3692000</v>
      </c>
      <c r="N25" s="289">
        <f>VLOOKUP($B25,'2、设备合同'!$D:$AK,13,0)</f>
        <v>3692000</v>
      </c>
      <c r="O25" s="286" t="str">
        <f>VLOOKUP($B25,'2、设备合同'!$D:$AK,14,0)</f>
        <v>余款80%于收到卖方递交的合同总金额5%的以买方为受益人的银行质量保函，及全额增值税发票后，在交货前壹个月以电汇全部付清</v>
      </c>
      <c r="P25" s="289">
        <f>VLOOKUP($B25,'2、设备合同'!$D:$AK,15,0)</f>
        <v>14768000</v>
      </c>
      <c r="Q25" s="289">
        <f>VLOOKUP($B25,'2、设备合同'!$D:$AK,16,0)</f>
        <v>0</v>
      </c>
      <c r="R25" s="286">
        <f>VLOOKUP($B25,'2、设备合同'!$D:$AK,17,0)</f>
        <v>0</v>
      </c>
      <c r="S25" s="289">
        <f>VLOOKUP($B25,'2、设备合同'!$D:$AK,18,0)</f>
        <v>0</v>
      </c>
      <c r="T25" s="289">
        <f>VLOOKUP($B25,'2、设备合同'!$D:$AK,19,0)</f>
        <v>0</v>
      </c>
      <c r="U25" s="286">
        <f>VLOOKUP($B25,'2、设备合同'!$D:$AK,20,0)</f>
        <v>0</v>
      </c>
      <c r="V25" s="289">
        <f>VLOOKUP($B25,'2、设备合同'!$D:$AK,21,0)</f>
        <v>0</v>
      </c>
      <c r="W25" s="289">
        <f>VLOOKUP($B25,'2、设备合同'!$D:$AK,22,0)</f>
        <v>0</v>
      </c>
      <c r="X25" s="286">
        <f>VLOOKUP($B25,'2、设备合同'!$D:$AK,23,0)</f>
        <v>0</v>
      </c>
      <c r="Y25" s="289">
        <f>VLOOKUP($B25,'2、设备合同'!$D:$AK,24,0)</f>
        <v>0</v>
      </c>
      <c r="Z25" s="289">
        <f>VLOOKUP($B25,'2、设备合同'!$D:$AK,25,0)</f>
        <v>0</v>
      </c>
      <c r="AA25" s="286">
        <f>VLOOKUP($B25,'2、设备合同'!$D:$AK,26,0)</f>
        <v>0</v>
      </c>
      <c r="AB25" s="289">
        <f>VLOOKUP($B25,'2、设备合同'!$D:$AK,27,0)</f>
        <v>0</v>
      </c>
      <c r="AC25" s="289">
        <f>VLOOKUP($B25,'2、设备合同'!$D:$AK,28,0)</f>
        <v>0</v>
      </c>
      <c r="AD25" s="286">
        <f>VLOOKUP($B25,'2、设备合同'!$D:$AK,29,0)</f>
        <v>0</v>
      </c>
      <c r="AE25" s="289">
        <f>VLOOKUP($B25,'2、设备合同'!$D:$AK,30,0)</f>
        <v>0</v>
      </c>
      <c r="AF25" s="289">
        <f>VLOOKUP($B25,'2、设备合同'!$D:$AK,31,0)</f>
        <v>0</v>
      </c>
      <c r="AG25" s="289">
        <f>VLOOKUP($B25,'2、设备合同'!$D:$AK,32,0)</f>
        <v>0</v>
      </c>
      <c r="AH25" s="289">
        <f>VLOOKUP($B25,'2、设备合同'!$D:$AK,33,0)</f>
        <v>0</v>
      </c>
      <c r="AI25" s="308">
        <f>VLOOKUP($B25,'2、设备合同'!$D:$AK,34,0)</f>
        <v>0</v>
      </c>
      <c r="AJ25" s="309">
        <f t="shared" si="1"/>
        <v>3692000</v>
      </c>
      <c r="AK25" s="289">
        <f t="shared" si="2"/>
        <v>14768000</v>
      </c>
      <c r="AL25" s="310">
        <f t="shared" si="3"/>
        <v>0.2</v>
      </c>
      <c r="AM25" s="289">
        <f t="shared" si="4"/>
        <v>18460000</v>
      </c>
      <c r="AN25" s="311" t="str">
        <f t="shared" si="5"/>
        <v>数据正确</v>
      </c>
    </row>
    <row r="26" s="228" customFormat="1" customHeight="1" spans="1:40">
      <c r="A26" s="228" t="str">
        <f t="shared" si="6"/>
        <v/>
      </c>
      <c r="B26" s="261">
        <v>21</v>
      </c>
      <c r="C26" s="262" t="str">
        <f>VLOOKUP($B26,'2、设备合同'!$D:$AK,2,0)</f>
        <v>YRKJEQ-170018</v>
      </c>
      <c r="D26" s="263" t="str">
        <f>VLOOKUP($B26,'2、设备合同'!$D:$AK,3,0)</f>
        <v>设备合同</v>
      </c>
      <c r="E26" s="263">
        <f>VLOOKUP($B26,'2、设备合同'!$D:$AK,4,0)</f>
        <v>2017030076</v>
      </c>
      <c r="F26" s="264">
        <f>VLOOKUP($B26,'2、设备合同'!$D:$AK,5,0)</f>
        <v>42857</v>
      </c>
      <c r="G26" s="265">
        <f>VLOOKUP($B26,'2、设备合同'!$D:$AK,6,0)</f>
        <v>59800000</v>
      </c>
      <c r="H26" s="265" t="str">
        <f>VLOOKUP($B26,'2、设备合同'!$D:$AK,7,0)</f>
        <v>环己酮装置哈氏合金设备24台</v>
      </c>
      <c r="I26" s="265" t="str">
        <f>VLOOKUP($B26,'2、设备合同'!$D:$AK,8,0)</f>
        <v>上海勃冠自动化设备有限公司</v>
      </c>
      <c r="J26" s="286" t="str">
        <f>VLOOKUP($B26,'2、设备合同'!$D:$AK,9,0)</f>
        <v>环己酮装置</v>
      </c>
      <c r="K26" s="287" t="str">
        <f>VLOOKUP($B26,'2、设备合同'!$D:$AK,10,0)</f>
        <v>电汇</v>
      </c>
      <c r="L26" s="288" t="str">
        <f>VLOOKUP($B26,'2、设备合同'!$D:$AK,11,0)</f>
        <v>合同签订后1周内卖方向买方提交本合同总价20%财务收据后15天内，买方向卖方支付合同总价的20%</v>
      </c>
      <c r="M26" s="289">
        <f>VLOOKUP($B26,'2、设备合同'!$D:$AK,12,0)</f>
        <v>11960000</v>
      </c>
      <c r="N26" s="289">
        <f>VLOOKUP($B26,'2、设备合同'!$D:$AK,13,0)</f>
        <v>11960000</v>
      </c>
      <c r="O26" s="286" t="str">
        <f>VLOOKUP($B26,'2、设备合同'!$D:$AK,14,0)</f>
        <v>合同签订后4个月内买方见证卖方进度（见证三分技术协议）中丙方已签订的哈式合金板材订购合同、复合板订购合同、哈式合金内盘管订购合同、主要锻件订购合同、减速机订购合同、机械密封订购合同、以上均为无价格原始合同，且收到卖方支付本合同总价40%的进度款</v>
      </c>
      <c r="P26" s="289">
        <f>VLOOKUP($B26,'2、设备合同'!$D:$AK,15,0)</f>
        <v>23920000</v>
      </c>
      <c r="Q26" s="289">
        <f>VLOOKUP($B26,'2、设备合同'!$D:$AK,16,0)</f>
        <v>23920000</v>
      </c>
      <c r="R26" s="286" t="str">
        <f>VLOOKUP($B26,'2、设备合同'!$D:$AK,17,0)</f>
        <v>本合同全部设备生产制造完成，并由三方技术协议中丙方提交完整对应资料，买方受到卖方提交本合同总价100%增值税专用发票以及本合同总价5%的质量保函（质量保函失效期为2020年5月9日）后15天内，支付合同总价40%的发货款</v>
      </c>
      <c r="S26" s="289">
        <f>VLOOKUP($B26,'2、设备合同'!$D:$AK,18,0)</f>
        <v>23920000</v>
      </c>
      <c r="T26" s="289">
        <f>VLOOKUP($B26,'2、设备合同'!$D:$AK,19,0)</f>
        <v>0</v>
      </c>
      <c r="U26" s="286" t="str">
        <f>VLOOKUP($B26,'2、设备合同'!$D:$AK,20,0)</f>
        <v>卖方收到买方发货款后3天内将本合同货物全部发出，并对出厂全部货物购买对应运输保险</v>
      </c>
      <c r="V26" s="289">
        <f>VLOOKUP($B26,'2、设备合同'!$D:$AK,21,0)</f>
        <v>0</v>
      </c>
      <c r="W26" s="289">
        <f>VLOOKUP($B26,'2、设备合同'!$D:$AK,22,0)</f>
        <v>0</v>
      </c>
      <c r="X26" s="286">
        <f>VLOOKUP($B26,'2、设备合同'!$D:$AK,23,0)</f>
        <v>0</v>
      </c>
      <c r="Y26" s="289">
        <f>VLOOKUP($B26,'2、设备合同'!$D:$AK,24,0)</f>
        <v>0</v>
      </c>
      <c r="Z26" s="289">
        <f>VLOOKUP($B26,'2、设备合同'!$D:$AK,25,0)</f>
        <v>0</v>
      </c>
      <c r="AA26" s="286">
        <f>VLOOKUP($B26,'2、设备合同'!$D:$AK,26,0)</f>
        <v>0</v>
      </c>
      <c r="AB26" s="289">
        <f>VLOOKUP($B26,'2、设备合同'!$D:$AK,27,0)</f>
        <v>0</v>
      </c>
      <c r="AC26" s="289">
        <f>VLOOKUP($B26,'2、设备合同'!$D:$AK,28,0)</f>
        <v>0</v>
      </c>
      <c r="AD26" s="286">
        <f>VLOOKUP($B26,'2、设备合同'!$D:$AK,29,0)</f>
        <v>0</v>
      </c>
      <c r="AE26" s="289">
        <f>VLOOKUP($B26,'2、设备合同'!$D:$AK,30,0)</f>
        <v>0</v>
      </c>
      <c r="AF26" s="289">
        <f>VLOOKUP($B26,'2、设备合同'!$D:$AK,31,0)</f>
        <v>0</v>
      </c>
      <c r="AG26" s="289">
        <f>VLOOKUP($B26,'2、设备合同'!$D:$AK,32,0)</f>
        <v>0</v>
      </c>
      <c r="AH26" s="289">
        <f>VLOOKUP($B26,'2、设备合同'!$D:$AK,33,0)</f>
        <v>0</v>
      </c>
      <c r="AI26" s="308">
        <f>VLOOKUP($B26,'2、设备合同'!$D:$AK,34,0)</f>
        <v>0</v>
      </c>
      <c r="AJ26" s="309">
        <f t="shared" si="1"/>
        <v>35880000</v>
      </c>
      <c r="AK26" s="289">
        <f t="shared" si="2"/>
        <v>23920000</v>
      </c>
      <c r="AL26" s="310">
        <f t="shared" si="3"/>
        <v>0.6</v>
      </c>
      <c r="AM26" s="289">
        <f t="shared" si="4"/>
        <v>59800000</v>
      </c>
      <c r="AN26" s="311" t="str">
        <f t="shared" si="5"/>
        <v>数据正确</v>
      </c>
    </row>
    <row r="27" s="228" customFormat="1" customHeight="1" spans="1:40">
      <c r="A27" s="228" t="str">
        <f t="shared" si="6"/>
        <v/>
      </c>
      <c r="B27" s="256">
        <v>22</v>
      </c>
      <c r="C27" s="262" t="str">
        <f>VLOOKUP($B27,'2、设备合同'!$D:$AK,2,0)</f>
        <v>YRKJEQ-170019</v>
      </c>
      <c r="D27" s="263" t="str">
        <f>VLOOKUP($B27,'2、设备合同'!$D:$AK,3,0)</f>
        <v>设备合同</v>
      </c>
      <c r="E27" s="263">
        <f>VLOOKUP($B27,'2、设备合同'!$D:$AK,4,0)</f>
        <v>2017040001</v>
      </c>
      <c r="F27" s="264">
        <f>VLOOKUP($B27,'2、设备合同'!$D:$AK,5,0)</f>
        <v>42859</v>
      </c>
      <c r="G27" s="265">
        <f>VLOOKUP($B27,'2、设备合同'!$D:$AK,6,0)</f>
        <v>1460000</v>
      </c>
      <c r="H27" s="265" t="str">
        <f>VLOOKUP($B27,'2、设备合同'!$D:$AK,7,0)</f>
        <v>洗涤塔塔内件</v>
      </c>
      <c r="I27" s="265" t="str">
        <f>VLOOKUP($B27,'2、设备合同'!$D:$AK,8,0)</f>
        <v>长沙市弘达石化设备有限公司</v>
      </c>
      <c r="J27" s="286">
        <f>VLOOKUP($B27,'2、设备合同'!$D:$AK,9,0)</f>
        <v>0</v>
      </c>
      <c r="K27" s="287" t="str">
        <f>VLOOKUP($B27,'2、设备合同'!$D:$AK,10,0)</f>
        <v>6个月承兑汇票</v>
      </c>
      <c r="L27" s="288" t="str">
        <f>VLOOKUP($B27,'2、设备合同'!$D:$AK,11,0)</f>
        <v>甲方至乙方工厂清点验货无误后，收到乙方30%的银行保函，并收到17%专票后15个工作日内支付</v>
      </c>
      <c r="M27" s="289">
        <f>VLOOKUP($B27,'2、设备合同'!$D:$AK,12,0)</f>
        <v>438000</v>
      </c>
      <c r="N27" s="289">
        <f>VLOOKUP($B27,'2、设备合同'!$D:$AK,13,0)</f>
        <v>0</v>
      </c>
      <c r="O27" s="286" t="str">
        <f>VLOOKUP($B27,'2、设备合同'!$D:$AK,14,0)</f>
        <v>甲方验收合格后，15个工作日内支付60%的货款</v>
      </c>
      <c r="P27" s="289">
        <f>VLOOKUP($B27,'2、设备合同'!$D:$AK,15,0)</f>
        <v>876000</v>
      </c>
      <c r="Q27" s="289">
        <f>VLOOKUP($B27,'2、设备合同'!$D:$AK,16,0)</f>
        <v>0</v>
      </c>
      <c r="R27" s="286" t="str">
        <f>VLOOKUP($B27,'2、设备合同'!$D:$AK,17,0)</f>
        <v>10%的货款作为质保金，验收合格后18个月后支付</v>
      </c>
      <c r="S27" s="289">
        <f>VLOOKUP($B27,'2、设备合同'!$D:$AK,18,0)</f>
        <v>146000</v>
      </c>
      <c r="T27" s="289">
        <f>VLOOKUP($B27,'2、设备合同'!$D:$AK,19,0)</f>
        <v>0</v>
      </c>
      <c r="U27" s="286">
        <f>VLOOKUP($B27,'2、设备合同'!$D:$AK,20,0)</f>
        <v>0</v>
      </c>
      <c r="V27" s="289">
        <f>VLOOKUP($B27,'2、设备合同'!$D:$AK,21,0)</f>
        <v>0</v>
      </c>
      <c r="W27" s="289">
        <f>VLOOKUP($B27,'2、设备合同'!$D:$AK,22,0)</f>
        <v>0</v>
      </c>
      <c r="X27" s="286">
        <f>VLOOKUP($B27,'2、设备合同'!$D:$AK,23,0)</f>
        <v>0</v>
      </c>
      <c r="Y27" s="289">
        <f>VLOOKUP($B27,'2、设备合同'!$D:$AK,24,0)</f>
        <v>0</v>
      </c>
      <c r="Z27" s="289">
        <f>VLOOKUP($B27,'2、设备合同'!$D:$AK,25,0)</f>
        <v>0</v>
      </c>
      <c r="AA27" s="286">
        <f>VLOOKUP($B27,'2、设备合同'!$D:$AK,26,0)</f>
        <v>0</v>
      </c>
      <c r="AB27" s="289">
        <f>VLOOKUP($B27,'2、设备合同'!$D:$AK,27,0)</f>
        <v>0</v>
      </c>
      <c r="AC27" s="289">
        <f>VLOOKUP($B27,'2、设备合同'!$D:$AK,28,0)</f>
        <v>0</v>
      </c>
      <c r="AD27" s="286">
        <f>VLOOKUP($B27,'2、设备合同'!$D:$AK,29,0)</f>
        <v>0</v>
      </c>
      <c r="AE27" s="289">
        <f>VLOOKUP($B27,'2、设备合同'!$D:$AK,30,0)</f>
        <v>0</v>
      </c>
      <c r="AF27" s="289">
        <f>VLOOKUP($B27,'2、设备合同'!$D:$AK,31,0)</f>
        <v>0</v>
      </c>
      <c r="AG27" s="289">
        <f>VLOOKUP($B27,'2、设备合同'!$D:$AK,32,0)</f>
        <v>0</v>
      </c>
      <c r="AH27" s="289">
        <f>VLOOKUP($B27,'2、设备合同'!$D:$AK,33,0)</f>
        <v>0</v>
      </c>
      <c r="AI27" s="308">
        <f>VLOOKUP($B27,'2、设备合同'!$D:$AK,34,0)</f>
        <v>0</v>
      </c>
      <c r="AJ27" s="309">
        <f t="shared" si="1"/>
        <v>0</v>
      </c>
      <c r="AK27" s="289">
        <f t="shared" si="2"/>
        <v>1460000</v>
      </c>
      <c r="AL27" s="310">
        <f t="shared" si="3"/>
        <v>0</v>
      </c>
      <c r="AM27" s="289">
        <f t="shared" si="4"/>
        <v>1460000</v>
      </c>
      <c r="AN27" s="311" t="str">
        <f t="shared" si="5"/>
        <v>数据正确</v>
      </c>
    </row>
    <row r="28" s="228" customFormat="1" customHeight="1" spans="1:40">
      <c r="A28" s="228" t="str">
        <f t="shared" si="6"/>
        <v/>
      </c>
      <c r="B28" s="261">
        <v>23</v>
      </c>
      <c r="C28" s="262" t="str">
        <f>VLOOKUP($B28,'2、设备合同'!$D:$AK,2,0)</f>
        <v>YRKJEQ-170021</v>
      </c>
      <c r="D28" s="263" t="str">
        <f>VLOOKUP($B28,'2、设备合同'!$D:$AK,3,0)</f>
        <v>设备合同</v>
      </c>
      <c r="E28" s="263">
        <f>VLOOKUP($B28,'2、设备合同'!$D:$AK,4,0)</f>
        <v>2017040050</v>
      </c>
      <c r="F28" s="264">
        <f>VLOOKUP($B28,'2、设备合同'!$D:$AK,5,0)</f>
        <v>42898</v>
      </c>
      <c r="G28" s="265">
        <f>VLOOKUP($B28,'2、设备合同'!$D:$AK,6,0)</f>
        <v>3550000</v>
      </c>
      <c r="H28" s="265" t="str">
        <f>VLOOKUP($B28,'2、设备合同'!$D:$AK,7,0)</f>
        <v>硫铵自动包装线</v>
      </c>
      <c r="I28" s="265" t="str">
        <f>VLOOKUP($B28,'2、设备合同'!$D:$AK,8,0)</f>
        <v>无锡力马化工机械有限公司</v>
      </c>
      <c r="J28" s="286" t="str">
        <f>VLOOKUP($B28,'2、设备合同'!$D:$AK,9,0)</f>
        <v>硫铵装置</v>
      </c>
      <c r="K28" s="287" t="str">
        <f>VLOOKUP($B28,'2、设备合同'!$D:$AK,10,0)</f>
        <v>6个月承兑汇票</v>
      </c>
      <c r="L28" s="288" t="str">
        <f>VLOOKUP($B28,'2、设备合同'!$D:$AK,11,0)</f>
        <v>收到乙方有效期2018年3月1日合同20%预付保函和20%财务收据后15个工作日内支付20%预付款</v>
      </c>
      <c r="M28" s="289">
        <f>VLOOKUP($B28,'2、设备合同'!$D:$AK,12,0)</f>
        <v>710000</v>
      </c>
      <c r="N28" s="289">
        <f>VLOOKUP($B28,'2、设备合同'!$D:$AK,13,0)</f>
        <v>710000</v>
      </c>
      <c r="O28" s="286" t="str">
        <f>VLOOKUP($B28,'2、设备合同'!$D:$AK,14,0)</f>
        <v>甲方到乙方现场确认无误后，收到17%全额专票，15个工作日内支付40%发货款</v>
      </c>
      <c r="P28" s="289">
        <f>VLOOKUP($B28,'2、设备合同'!$D:$AK,15,0)</f>
        <v>1420000</v>
      </c>
      <c r="Q28" s="289">
        <f>VLOOKUP($B28,'2、设备合同'!$D:$AK,16,0)</f>
        <v>0</v>
      </c>
      <c r="R28" s="286" t="str">
        <f>VLOOKUP($B28,'2、设备合同'!$D:$AK,17,0)</f>
        <v>货物到达甲方清点无误，收到6个月（有效期2018年9月1日）履约保函后，15个工作日内支付30%货款</v>
      </c>
      <c r="S28" s="289">
        <f>VLOOKUP($B28,'2、设备合同'!$D:$AK,18,0)</f>
        <v>1065000</v>
      </c>
      <c r="T28" s="289">
        <f>VLOOKUP($B28,'2、设备合同'!$D:$AK,19,0)</f>
        <v>0</v>
      </c>
      <c r="U28" s="286" t="str">
        <f>VLOOKUP($B28,'2、设备合同'!$D:$AK,20,0)</f>
        <v>10%总价作为质保金，验收合格后12个月保期满后15个工作日支付</v>
      </c>
      <c r="V28" s="289">
        <f>VLOOKUP($B28,'2、设备合同'!$D:$AK,21,0)</f>
        <v>355000</v>
      </c>
      <c r="W28" s="289">
        <f>VLOOKUP($B28,'2、设备合同'!$D:$AK,22,0)</f>
        <v>0</v>
      </c>
      <c r="X28" s="286">
        <f>VLOOKUP($B28,'2、设备合同'!$D:$AK,23,0)</f>
        <v>0</v>
      </c>
      <c r="Y28" s="289">
        <f>VLOOKUP($B28,'2、设备合同'!$D:$AK,24,0)</f>
        <v>0</v>
      </c>
      <c r="Z28" s="289">
        <f>VLOOKUP($B28,'2、设备合同'!$D:$AK,25,0)</f>
        <v>0</v>
      </c>
      <c r="AA28" s="286">
        <f>VLOOKUP($B28,'2、设备合同'!$D:$AK,26,0)</f>
        <v>0</v>
      </c>
      <c r="AB28" s="289">
        <f>VLOOKUP($B28,'2、设备合同'!$D:$AK,27,0)</f>
        <v>0</v>
      </c>
      <c r="AC28" s="289">
        <f>VLOOKUP($B28,'2、设备合同'!$D:$AK,28,0)</f>
        <v>0</v>
      </c>
      <c r="AD28" s="286">
        <f>VLOOKUP($B28,'2、设备合同'!$D:$AK,29,0)</f>
        <v>0</v>
      </c>
      <c r="AE28" s="289">
        <f>VLOOKUP($B28,'2、设备合同'!$D:$AK,30,0)</f>
        <v>0</v>
      </c>
      <c r="AF28" s="289">
        <f>VLOOKUP($B28,'2、设备合同'!$D:$AK,31,0)</f>
        <v>0</v>
      </c>
      <c r="AG28" s="289">
        <f>VLOOKUP($B28,'2、设备合同'!$D:$AK,32,0)</f>
        <v>0</v>
      </c>
      <c r="AH28" s="289">
        <f>VLOOKUP($B28,'2、设备合同'!$D:$AK,33,0)</f>
        <v>0</v>
      </c>
      <c r="AI28" s="308">
        <f>VLOOKUP($B28,'2、设备合同'!$D:$AK,34,0)</f>
        <v>0</v>
      </c>
      <c r="AJ28" s="309">
        <f t="shared" si="1"/>
        <v>710000</v>
      </c>
      <c r="AK28" s="289">
        <f t="shared" si="2"/>
        <v>2840000</v>
      </c>
      <c r="AL28" s="310">
        <f t="shared" si="3"/>
        <v>0.2</v>
      </c>
      <c r="AM28" s="289">
        <f t="shared" si="4"/>
        <v>3550000</v>
      </c>
      <c r="AN28" s="311" t="str">
        <f t="shared" si="5"/>
        <v>数据正确</v>
      </c>
    </row>
    <row r="29" s="228" customFormat="1" customHeight="1" spans="1:40">
      <c r="A29" s="228" t="str">
        <f t="shared" si="6"/>
        <v/>
      </c>
      <c r="B29" s="261">
        <v>24</v>
      </c>
      <c r="C29" s="262" t="str">
        <f>VLOOKUP($B29,'2、设备合同'!$D:$AK,2,0)</f>
        <v>YRKJEQ-170024</v>
      </c>
      <c r="D29" s="263" t="str">
        <f>VLOOKUP($B29,'2、设备合同'!$D:$AK,3,0)</f>
        <v>设备合同</v>
      </c>
      <c r="E29" s="263">
        <f>VLOOKUP($B29,'2、设备合同'!$D:$AK,4,0)</f>
        <v>2017050008</v>
      </c>
      <c r="F29" s="264">
        <f>VLOOKUP($B29,'2、设备合同'!$D:$AK,5,0)</f>
        <v>42892</v>
      </c>
      <c r="G29" s="265">
        <f>VLOOKUP($B29,'2、设备合同'!$D:$AK,6,0)</f>
        <v>745000</v>
      </c>
      <c r="H29" s="265" t="str">
        <f>VLOOKUP($B29,'2、设备合同'!$D:$AK,7,0)</f>
        <v>第一批过滤器</v>
      </c>
      <c r="I29" s="265" t="str">
        <f>VLOOKUP($B29,'2、设备合同'!$D:$AK,8,0)</f>
        <v>上海泽尔石化设备有限公司</v>
      </c>
      <c r="J29" s="286">
        <f>VLOOKUP($B29,'2、设备合同'!$D:$AK,9,0)</f>
        <v>0</v>
      </c>
      <c r="K29" s="287" t="str">
        <f>VLOOKUP($B29,'2、设备合同'!$D:$AK,10,0)</f>
        <v>承兑汇票</v>
      </c>
      <c r="L29" s="288" t="str">
        <f>VLOOKUP($B29,'2、设备合同'!$D:$AK,11,0)</f>
        <v>乙方工厂初步验收后支付60%作为发货款。乙方提供10%的履约保证金</v>
      </c>
      <c r="M29" s="289">
        <f>VLOOKUP($B29,'2、设备合同'!$D:$AK,12,0)</f>
        <v>447000</v>
      </c>
      <c r="N29" s="289">
        <f>VLOOKUP($B29,'2、设备合同'!$D:$AK,13,0)</f>
        <v>0</v>
      </c>
      <c r="O29" s="286" t="str">
        <f>VLOOKUP($B29,'2、设备合同'!$D:$AK,14,0)</f>
        <v>甲方验收合格后，且受到全额的增值税发票，30个工作日内支付30%的货款。</v>
      </c>
      <c r="P29" s="289">
        <f>VLOOKUP($B29,'2、设备合同'!$D:$AK,15,0)</f>
        <v>223500</v>
      </c>
      <c r="Q29" s="289">
        <f>VLOOKUP($B29,'2、设备合同'!$D:$AK,16,0)</f>
        <v>0</v>
      </c>
      <c r="R29" s="286" t="str">
        <f>VLOOKUP($B29,'2、设备合同'!$D:$AK,17,0)</f>
        <v>本合同的10%作为质量包装呢赶紧，自验收合格后18个月后支付</v>
      </c>
      <c r="S29" s="289">
        <f>VLOOKUP($B29,'2、设备合同'!$D:$AK,18,0)</f>
        <v>74500</v>
      </c>
      <c r="T29" s="289">
        <f>VLOOKUP($B29,'2、设备合同'!$D:$AK,19,0)</f>
        <v>0</v>
      </c>
      <c r="U29" s="286">
        <f>VLOOKUP($B29,'2、设备合同'!$D:$AK,20,0)</f>
        <v>0</v>
      </c>
      <c r="V29" s="289">
        <f>VLOOKUP($B29,'2、设备合同'!$D:$AK,21,0)</f>
        <v>0</v>
      </c>
      <c r="W29" s="289">
        <f>VLOOKUP($B29,'2、设备合同'!$D:$AK,22,0)</f>
        <v>0</v>
      </c>
      <c r="X29" s="286">
        <f>VLOOKUP($B29,'2、设备合同'!$D:$AK,23,0)</f>
        <v>0</v>
      </c>
      <c r="Y29" s="289">
        <f>VLOOKUP($B29,'2、设备合同'!$D:$AK,24,0)</f>
        <v>0</v>
      </c>
      <c r="Z29" s="289">
        <f>VLOOKUP($B29,'2、设备合同'!$D:$AK,25,0)</f>
        <v>0</v>
      </c>
      <c r="AA29" s="286">
        <f>VLOOKUP($B29,'2、设备合同'!$D:$AK,26,0)</f>
        <v>0</v>
      </c>
      <c r="AB29" s="289">
        <f>VLOOKUP($B29,'2、设备合同'!$D:$AK,27,0)</f>
        <v>0</v>
      </c>
      <c r="AC29" s="289">
        <f>VLOOKUP($B29,'2、设备合同'!$D:$AK,28,0)</f>
        <v>0</v>
      </c>
      <c r="AD29" s="286">
        <f>VLOOKUP($B29,'2、设备合同'!$D:$AK,29,0)</f>
        <v>0</v>
      </c>
      <c r="AE29" s="289">
        <f>VLOOKUP($B29,'2、设备合同'!$D:$AK,30,0)</f>
        <v>0</v>
      </c>
      <c r="AF29" s="289">
        <f>VLOOKUP($B29,'2、设备合同'!$D:$AK,31,0)</f>
        <v>0</v>
      </c>
      <c r="AG29" s="289">
        <f>VLOOKUP($B29,'2、设备合同'!$D:$AK,32,0)</f>
        <v>0</v>
      </c>
      <c r="AH29" s="289">
        <f>VLOOKUP($B29,'2、设备合同'!$D:$AK,33,0)</f>
        <v>0</v>
      </c>
      <c r="AI29" s="308">
        <f>VLOOKUP($B29,'2、设备合同'!$D:$AK,34,0)</f>
        <v>0</v>
      </c>
      <c r="AJ29" s="309">
        <f t="shared" si="1"/>
        <v>0</v>
      </c>
      <c r="AK29" s="289">
        <f t="shared" si="2"/>
        <v>745000</v>
      </c>
      <c r="AL29" s="310">
        <f t="shared" si="3"/>
        <v>0</v>
      </c>
      <c r="AM29" s="289">
        <f t="shared" si="4"/>
        <v>745000</v>
      </c>
      <c r="AN29" s="311" t="str">
        <f t="shared" si="5"/>
        <v>数据正确</v>
      </c>
    </row>
    <row r="30" s="228" customFormat="1" customHeight="1" spans="1:40">
      <c r="A30" s="228" t="str">
        <f t="shared" si="6"/>
        <v/>
      </c>
      <c r="B30" s="256">
        <v>25</v>
      </c>
      <c r="C30" s="262" t="str">
        <f>VLOOKUP($B30,'2、设备合同'!$D:$AK,2,0)</f>
        <v>YRKJEQ-170029</v>
      </c>
      <c r="D30" s="263" t="str">
        <f>VLOOKUP($B30,'2、设备合同'!$D:$AK,3,0)</f>
        <v>设备合同</v>
      </c>
      <c r="E30" s="263">
        <f>VLOOKUP($B30,'2、设备合同'!$D:$AK,4,0)</f>
        <v>2017040009</v>
      </c>
      <c r="F30" s="264">
        <f>VLOOKUP($B30,'2、设备合同'!$D:$AK,5,0)</f>
        <v>42898</v>
      </c>
      <c r="G30" s="265">
        <f>VLOOKUP($B30,'2、设备合同'!$D:$AK,6,0)</f>
        <v>3500000</v>
      </c>
      <c r="H30" s="265" t="str">
        <f>VLOOKUP($B30,'2、设备合同'!$D:$AK,7,0)</f>
        <v>液环真空泵共9台</v>
      </c>
      <c r="I30" s="265" t="str">
        <f>VLOOKUP($B30,'2、设备合同'!$D:$AK,8,0)</f>
        <v>广东肯富来泵业股份有限公司</v>
      </c>
      <c r="J30" s="286" t="str">
        <f>VLOOKUP($B30,'2、设备合同'!$D:$AK,9,0)</f>
        <v>己内酰胺装置3台39.9万元，环己酮肟化装置2台221.9万，硫氨装置4台88.2万元</v>
      </c>
      <c r="K30" s="287" t="str">
        <f>VLOOKUP($B30,'2、设备合同'!$D:$AK,10,0)</f>
        <v>承兑汇票</v>
      </c>
      <c r="L30" s="288" t="str">
        <f>VLOOKUP($B30,'2、设备合同'!$D:$AK,11,0)</f>
        <v>甲方收到乙方30%的预付款保函（有限期2017.12.30）以及本合同的30%专票（17%）后15个工作日支付30%货款</v>
      </c>
      <c r="M30" s="289">
        <f>VLOOKUP($B30,'2、设备合同'!$D:$AK,12,0)</f>
        <v>1050000</v>
      </c>
      <c r="N30" s="289">
        <f>VLOOKUP($B30,'2、设备合同'!$D:$AK,13,0)</f>
        <v>700000</v>
      </c>
      <c r="O30" s="286" t="str">
        <f>VLOOKUP($B30,'2、设备合同'!$D:$AK,14,0)</f>
        <v>甲方在乙方现场确认无误，且受到乙方70%的专票后，15个工作日内支付40%的货款</v>
      </c>
      <c r="P30" s="289">
        <f>VLOOKUP($B30,'2、设备合同'!$D:$AK,15,0)</f>
        <v>1400000</v>
      </c>
      <c r="Q30" s="289">
        <f>VLOOKUP($B30,'2、设备合同'!$D:$AK,16,0)</f>
        <v>0</v>
      </c>
      <c r="R30" s="286" t="str">
        <f>VLOOKUP($B30,'2、设备合同'!$D:$AK,17,0)</f>
        <v>货物到达甲方，并收到乙方合同总价10%的质量保函后的15个工作日，支付30%的验收款</v>
      </c>
      <c r="S30" s="289">
        <f>VLOOKUP($B30,'2、设备合同'!$D:$AK,18,0)</f>
        <v>1050000</v>
      </c>
      <c r="T30" s="289">
        <f>VLOOKUP($B30,'2、设备合同'!$D:$AK,19,0)</f>
        <v>0</v>
      </c>
      <c r="U30" s="286">
        <f>VLOOKUP($B30,'2、设备合同'!$D:$AK,20,0)</f>
        <v>0</v>
      </c>
      <c r="V30" s="289">
        <f>VLOOKUP($B30,'2、设备合同'!$D:$AK,21,0)</f>
        <v>0</v>
      </c>
      <c r="W30" s="289">
        <f>VLOOKUP($B30,'2、设备合同'!$D:$AK,22,0)</f>
        <v>0</v>
      </c>
      <c r="X30" s="286">
        <f>VLOOKUP($B30,'2、设备合同'!$D:$AK,23,0)</f>
        <v>0</v>
      </c>
      <c r="Y30" s="289">
        <f>VLOOKUP($B30,'2、设备合同'!$D:$AK,24,0)</f>
        <v>0</v>
      </c>
      <c r="Z30" s="289">
        <f>VLOOKUP($B30,'2、设备合同'!$D:$AK,25,0)</f>
        <v>0</v>
      </c>
      <c r="AA30" s="286">
        <f>VLOOKUP($B30,'2、设备合同'!$D:$AK,26,0)</f>
        <v>0</v>
      </c>
      <c r="AB30" s="289">
        <f>VLOOKUP($B30,'2、设备合同'!$D:$AK,27,0)</f>
        <v>0</v>
      </c>
      <c r="AC30" s="289">
        <f>VLOOKUP($B30,'2、设备合同'!$D:$AK,28,0)</f>
        <v>0</v>
      </c>
      <c r="AD30" s="286">
        <f>VLOOKUP($B30,'2、设备合同'!$D:$AK,29,0)</f>
        <v>0</v>
      </c>
      <c r="AE30" s="289">
        <f>VLOOKUP($B30,'2、设备合同'!$D:$AK,30,0)</f>
        <v>0</v>
      </c>
      <c r="AF30" s="289">
        <f>VLOOKUP($B30,'2、设备合同'!$D:$AK,31,0)</f>
        <v>0</v>
      </c>
      <c r="AG30" s="289">
        <f>VLOOKUP($B30,'2、设备合同'!$D:$AK,32,0)</f>
        <v>0</v>
      </c>
      <c r="AH30" s="289">
        <f>VLOOKUP($B30,'2、设备合同'!$D:$AK,33,0)</f>
        <v>0</v>
      </c>
      <c r="AI30" s="308">
        <f>VLOOKUP($B30,'2、设备合同'!$D:$AK,34,0)</f>
        <v>0</v>
      </c>
      <c r="AJ30" s="309">
        <f t="shared" si="1"/>
        <v>700000</v>
      </c>
      <c r="AK30" s="289">
        <f t="shared" si="2"/>
        <v>2800000</v>
      </c>
      <c r="AL30" s="310">
        <f t="shared" si="3"/>
        <v>0.2</v>
      </c>
      <c r="AM30" s="289">
        <f t="shared" si="4"/>
        <v>3500000</v>
      </c>
      <c r="AN30" s="311" t="str">
        <f t="shared" si="5"/>
        <v>数据正确</v>
      </c>
    </row>
    <row r="31" s="228" customFormat="1" customHeight="1" spans="1:40">
      <c r="A31" s="228" t="str">
        <f t="shared" si="6"/>
        <v/>
      </c>
      <c r="B31" s="261">
        <v>26</v>
      </c>
      <c r="C31" s="262" t="str">
        <f>VLOOKUP($B31,'2、设备合同'!$D:$AK,2,0)</f>
        <v>YRKJEQ-170032</v>
      </c>
      <c r="D31" s="263" t="str">
        <f>VLOOKUP($B31,'2、设备合同'!$D:$AK,3,0)</f>
        <v>设备合同</v>
      </c>
      <c r="E31" s="263">
        <f>VLOOKUP($B31,'2、设备合同'!$D:$AK,4,0)</f>
        <v>2017050056</v>
      </c>
      <c r="F31" s="264">
        <f>VLOOKUP($B31,'2、设备合同'!$D:$AK,5,0)</f>
        <v>42905</v>
      </c>
      <c r="G31" s="265">
        <f>VLOOKUP($B31,'2、设备合同'!$D:$AK,6,0)</f>
        <v>3350000</v>
      </c>
      <c r="H31" s="265" t="str">
        <f>VLOOKUP($B31,'2、设备合同'!$D:$AK,7,0)</f>
        <v>立式斜流泵</v>
      </c>
      <c r="I31" s="265" t="str">
        <f>VLOOKUP($B31,'2、设备合同'!$D:$AK,8,0)</f>
        <v>湖南耐普泵业股份有限公司</v>
      </c>
      <c r="J31" s="286">
        <f>VLOOKUP($B31,'2、设备合同'!$D:$AK,9,0)</f>
        <v>0</v>
      </c>
      <c r="K31" s="287" t="str">
        <f>VLOOKUP($B31,'2、设备合同'!$D:$AK,10,0)</f>
        <v>承兑汇票</v>
      </c>
      <c r="L31" s="288" t="str">
        <f>VLOOKUP($B31,'2、设备合同'!$D:$AK,11,0)</f>
        <v>甲方收到乙方合同的20%预付款保函，（2017.12.20）以及本合同20%的专票（17%）后15个工作日，支付20%货款。乙方提供10%履约保函</v>
      </c>
      <c r="M31" s="289">
        <f>VLOOKUP($B31,'2、设备合同'!$D:$AK,12,0)</f>
        <v>670000</v>
      </c>
      <c r="N31" s="289">
        <f>VLOOKUP($B31,'2、设备合同'!$D:$AK,13,0)</f>
        <v>670000</v>
      </c>
      <c r="O31" s="286" t="str">
        <f>VLOOKUP($B31,'2、设备合同'!$D:$AK,14,0)</f>
        <v>甲方在乙方现场确认无误，且受到乙方70%的专票后，15个工作日内支付40%的货款</v>
      </c>
      <c r="P31" s="289">
        <f>VLOOKUP($B31,'2、设备合同'!$D:$AK,15,0)</f>
        <v>1340000</v>
      </c>
      <c r="Q31" s="289">
        <f>VLOOKUP($B31,'2、设备合同'!$D:$AK,16,0)</f>
        <v>0</v>
      </c>
      <c r="R31" s="286" t="str">
        <f>VLOOKUP($B31,'2、设备合同'!$D:$AK,17,0)</f>
        <v>货物到达甲方，安装验收合格后6个月后15个工作日内，支付30%的验收款</v>
      </c>
      <c r="S31" s="289">
        <f>VLOOKUP($B31,'2、设备合同'!$D:$AK,18,0)</f>
        <v>1005000</v>
      </c>
      <c r="T31" s="289">
        <f>VLOOKUP($B31,'2、设备合同'!$D:$AK,19,0)</f>
        <v>0</v>
      </c>
      <c r="U31" s="286" t="str">
        <f>VLOOKUP($B31,'2、设备合同'!$D:$AK,20,0)</f>
        <v>本合同的10%作为质保金，验收合格12个月质保期后的15个工作日内支付</v>
      </c>
      <c r="V31" s="289">
        <f>VLOOKUP($B31,'2、设备合同'!$D:$AK,21,0)</f>
        <v>335000</v>
      </c>
      <c r="W31" s="289">
        <f>VLOOKUP($B31,'2、设备合同'!$D:$AK,22,0)</f>
        <v>0</v>
      </c>
      <c r="X31" s="286">
        <f>VLOOKUP($B31,'2、设备合同'!$D:$AK,23,0)</f>
        <v>0</v>
      </c>
      <c r="Y31" s="289">
        <f>VLOOKUP($B31,'2、设备合同'!$D:$AK,24,0)</f>
        <v>0</v>
      </c>
      <c r="Z31" s="289">
        <f>VLOOKUP($B31,'2、设备合同'!$D:$AK,25,0)</f>
        <v>0</v>
      </c>
      <c r="AA31" s="286">
        <f>VLOOKUP($B31,'2、设备合同'!$D:$AK,26,0)</f>
        <v>0</v>
      </c>
      <c r="AB31" s="289">
        <f>VLOOKUP($B31,'2、设备合同'!$D:$AK,27,0)</f>
        <v>0</v>
      </c>
      <c r="AC31" s="289">
        <f>VLOOKUP($B31,'2、设备合同'!$D:$AK,28,0)</f>
        <v>0</v>
      </c>
      <c r="AD31" s="286">
        <f>VLOOKUP($B31,'2、设备合同'!$D:$AK,29,0)</f>
        <v>0</v>
      </c>
      <c r="AE31" s="289">
        <f>VLOOKUP($B31,'2、设备合同'!$D:$AK,30,0)</f>
        <v>0</v>
      </c>
      <c r="AF31" s="289">
        <f>VLOOKUP($B31,'2、设备合同'!$D:$AK,31,0)</f>
        <v>0</v>
      </c>
      <c r="AG31" s="289">
        <f>VLOOKUP($B31,'2、设备合同'!$D:$AK,32,0)</f>
        <v>0</v>
      </c>
      <c r="AH31" s="289">
        <f>VLOOKUP($B31,'2、设备合同'!$D:$AK,33,0)</f>
        <v>0</v>
      </c>
      <c r="AI31" s="308">
        <f>VLOOKUP($B31,'2、设备合同'!$D:$AK,34,0)</f>
        <v>0</v>
      </c>
      <c r="AJ31" s="309">
        <f t="shared" si="1"/>
        <v>670000</v>
      </c>
      <c r="AK31" s="289">
        <f t="shared" si="2"/>
        <v>2680000</v>
      </c>
      <c r="AL31" s="310">
        <f t="shared" si="3"/>
        <v>0.2</v>
      </c>
      <c r="AM31" s="289">
        <f t="shared" si="4"/>
        <v>3350000</v>
      </c>
      <c r="AN31" s="311" t="str">
        <f t="shared" si="5"/>
        <v>数据正确</v>
      </c>
    </row>
    <row r="32" s="228" customFormat="1" customHeight="1" spans="1:40">
      <c r="A32" s="228" t="str">
        <f t="shared" si="6"/>
        <v/>
      </c>
      <c r="B32" s="261">
        <v>27</v>
      </c>
      <c r="C32" s="262" t="str">
        <f>VLOOKUP($B32,'2、设备合同'!$D:$AK,2,0)</f>
        <v>YRKJEQ-170033</v>
      </c>
      <c r="D32" s="263" t="str">
        <f>VLOOKUP($B32,'2、设备合同'!$D:$AK,3,0)</f>
        <v>设备合同</v>
      </c>
      <c r="E32" s="263">
        <f>VLOOKUP($B32,'2、设备合同'!$D:$AK,4,0)</f>
        <v>2017050053</v>
      </c>
      <c r="F32" s="264">
        <f>VLOOKUP($B32,'2、设备合同'!$D:$AK,5,0)</f>
        <v>42901</v>
      </c>
      <c r="G32" s="265">
        <f>VLOOKUP($B32,'2、设备合同'!$D:$AK,6,0)</f>
        <v>3600000</v>
      </c>
      <c r="H32" s="265" t="str">
        <f>VLOOKUP($B32,'2、设备合同'!$D:$AK,7,0)</f>
        <v>3台导热油炉</v>
      </c>
      <c r="I32" s="265" t="str">
        <f>VLOOKUP($B32,'2、设备合同'!$D:$AK,8,0)</f>
        <v>常州综研加热炉有限公司</v>
      </c>
      <c r="J32" s="286" t="str">
        <f>VLOOKUP($B32,'2、设备合同'!$D:$AK,9,0)</f>
        <v>环己酮装置120万，甲醇制氢装置240万</v>
      </c>
      <c r="K32" s="287" t="str">
        <f>VLOOKUP($B32,'2、设备合同'!$D:$AK,10,0)</f>
        <v>承兑汇票</v>
      </c>
      <c r="L32" s="288" t="str">
        <f>VLOOKUP($B32,'2、设备合同'!$D:$AK,11,0)</f>
        <v>甲方收到乙方合同的20%预付款保函（2018.1.2）以及本合同20%的财务收据后15个工作日，支付20%货款。</v>
      </c>
      <c r="M32" s="289">
        <f>VLOOKUP($B32,'2、设备合同'!$D:$AK,12,0)</f>
        <v>720000</v>
      </c>
      <c r="N32" s="289">
        <f>VLOOKUP($B32,'2、设备合同'!$D:$AK,13,0)</f>
        <v>720000</v>
      </c>
      <c r="O32" s="286" t="str">
        <f>VLOOKUP($B32,'2、设备合同'!$D:$AK,14,0)</f>
        <v>甲方在乙方现场确认无误，且受到乙方100%的专票后，15个工作日内支付30%的货款</v>
      </c>
      <c r="P32" s="289">
        <f>VLOOKUP($B32,'2、设备合同'!$D:$AK,15,0)</f>
        <v>1440000</v>
      </c>
      <c r="Q32" s="289">
        <f>VLOOKUP($B32,'2、设备合同'!$D:$AK,16,0)</f>
        <v>0</v>
      </c>
      <c r="R32" s="286" t="str">
        <f>VLOOKUP($B32,'2、设备合同'!$D:$AK,17,0)</f>
        <v>货物到达甲方，安装验收合格后6个月后15个工作日内，支付30%的验收款</v>
      </c>
      <c r="S32" s="289">
        <f>VLOOKUP($B32,'2、设备合同'!$D:$AK,18,0)</f>
        <v>1080000</v>
      </c>
      <c r="T32" s="289">
        <f>VLOOKUP($B32,'2、设备合同'!$D:$AK,19,0)</f>
        <v>0</v>
      </c>
      <c r="U32" s="286" t="str">
        <f>VLOOKUP($B32,'2、设备合同'!$D:$AK,20,0)</f>
        <v>本合同的10%作为质保金，验收合格12个月质保期后的15个工作日内支付</v>
      </c>
      <c r="V32" s="289">
        <f>VLOOKUP($B32,'2、设备合同'!$D:$AK,21,0)</f>
        <v>360000</v>
      </c>
      <c r="W32" s="289">
        <f>VLOOKUP($B32,'2、设备合同'!$D:$AK,22,0)</f>
        <v>0</v>
      </c>
      <c r="X32" s="286">
        <f>VLOOKUP($B32,'2、设备合同'!$D:$AK,23,0)</f>
        <v>0</v>
      </c>
      <c r="Y32" s="289">
        <f>VLOOKUP($B32,'2、设备合同'!$D:$AK,24,0)</f>
        <v>0</v>
      </c>
      <c r="Z32" s="289">
        <f>VLOOKUP($B32,'2、设备合同'!$D:$AK,25,0)</f>
        <v>0</v>
      </c>
      <c r="AA32" s="286">
        <f>VLOOKUP($B32,'2、设备合同'!$D:$AK,26,0)</f>
        <v>0</v>
      </c>
      <c r="AB32" s="289">
        <f>VLOOKUP($B32,'2、设备合同'!$D:$AK,27,0)</f>
        <v>0</v>
      </c>
      <c r="AC32" s="289">
        <f>VLOOKUP($B32,'2、设备合同'!$D:$AK,28,0)</f>
        <v>0</v>
      </c>
      <c r="AD32" s="286">
        <f>VLOOKUP($B32,'2、设备合同'!$D:$AK,29,0)</f>
        <v>0</v>
      </c>
      <c r="AE32" s="289">
        <f>VLOOKUP($B32,'2、设备合同'!$D:$AK,30,0)</f>
        <v>0</v>
      </c>
      <c r="AF32" s="289">
        <f>VLOOKUP($B32,'2、设备合同'!$D:$AK,31,0)</f>
        <v>0</v>
      </c>
      <c r="AG32" s="289">
        <f>VLOOKUP($B32,'2、设备合同'!$D:$AK,32,0)</f>
        <v>0</v>
      </c>
      <c r="AH32" s="289">
        <f>VLOOKUP($B32,'2、设备合同'!$D:$AK,33,0)</f>
        <v>0</v>
      </c>
      <c r="AI32" s="308">
        <f>VLOOKUP($B32,'2、设备合同'!$D:$AK,34,0)</f>
        <v>0</v>
      </c>
      <c r="AJ32" s="309">
        <f t="shared" si="1"/>
        <v>720000</v>
      </c>
      <c r="AK32" s="289">
        <f t="shared" si="2"/>
        <v>2880000</v>
      </c>
      <c r="AL32" s="310">
        <f t="shared" si="3"/>
        <v>0.2</v>
      </c>
      <c r="AM32" s="289">
        <f t="shared" si="4"/>
        <v>3600000</v>
      </c>
      <c r="AN32" s="311" t="str">
        <f t="shared" si="5"/>
        <v>数据正确</v>
      </c>
    </row>
    <row r="33" s="228" customFormat="1" customHeight="1" spans="1:40">
      <c r="A33" s="228" t="str">
        <f t="shared" si="6"/>
        <v/>
      </c>
      <c r="B33" s="256">
        <v>28</v>
      </c>
      <c r="C33" s="266" t="str">
        <f>VLOOKUP($B33,'3、工程合同'!$D:$AL,2,0)</f>
        <v>YRKJGC-170001</v>
      </c>
      <c r="D33" s="267" t="str">
        <f>VLOOKUP($B33,'3、工程合同'!$D:$AL,3,0)</f>
        <v>工程合同</v>
      </c>
      <c r="E33" s="267">
        <f>VLOOKUP($B33,'3、工程合同'!$D:$AL,4,0)</f>
        <v>2016120024</v>
      </c>
      <c r="F33" s="268">
        <f>VLOOKUP($B33,'3、工程合同'!$D:$AL,5,0)</f>
        <v>42733</v>
      </c>
      <c r="G33" s="269">
        <f>VLOOKUP($B33,'3、工程合同'!$D:$AL,6,0)</f>
        <v>70000</v>
      </c>
      <c r="H33" s="269" t="str">
        <f>VLOOKUP($B33,'3、工程合同'!$D:$AL,7,0)</f>
        <v>软基检测（场地沉降监测）</v>
      </c>
      <c r="I33" s="269" t="str">
        <f>VLOOKUP($B33,'3、工程合同'!$D:$AL,8,0)</f>
        <v>福建省建筑设计研究院</v>
      </c>
      <c r="J33" s="290" t="str">
        <f>VLOOKUP($B33,'3、工程合同'!$D:$AL,9,0)</f>
        <v>软基处理7万元</v>
      </c>
      <c r="K33" s="291" t="str">
        <f>VLOOKUP($B33,'3、工程合同'!$D:$AL,10,0)</f>
        <v>电汇</v>
      </c>
      <c r="L33" s="292" t="str">
        <f>VLOOKUP($B33,'3、工程合同'!$D:$AL,11,0)</f>
        <v>全部施工完毕验收合格，收到全额专票后的10-15个工作日付全款</v>
      </c>
      <c r="M33" s="293">
        <f>VLOOKUP($B33,'3、工程合同'!$D:$AL,12,0)</f>
        <v>70000</v>
      </c>
      <c r="N33" s="293">
        <f>VLOOKUP($B33,'3、工程合同'!$D:$AL,13,0)</f>
        <v>0</v>
      </c>
      <c r="O33" s="290">
        <f>VLOOKUP($B33,'3、工程合同'!$D:$AL,14,0)</f>
        <v>0</v>
      </c>
      <c r="P33" s="293">
        <f>VLOOKUP($B33,'3、工程合同'!$D:$AL,15,0)</f>
        <v>0</v>
      </c>
      <c r="Q33" s="293">
        <f>VLOOKUP($B33,'3、工程合同'!$D:$AL,16,0)</f>
        <v>0</v>
      </c>
      <c r="R33" s="290">
        <f>VLOOKUP($B33,'3、工程合同'!$D:$AL,17,0)</f>
        <v>0</v>
      </c>
      <c r="S33" s="293">
        <f>VLOOKUP($B33,'3、工程合同'!$D:$AL,18,0)</f>
        <v>0</v>
      </c>
      <c r="T33" s="293">
        <f>VLOOKUP($B33,'3、工程合同'!$D:$AL,19,0)</f>
        <v>0</v>
      </c>
      <c r="U33" s="290">
        <f>VLOOKUP($B33,'3、工程合同'!$D:$AL,20,0)</f>
        <v>0</v>
      </c>
      <c r="V33" s="293">
        <f>VLOOKUP($B33,'3、工程合同'!$D:$AL,21,0)</f>
        <v>0</v>
      </c>
      <c r="W33" s="293">
        <f>VLOOKUP($B33,'3、工程合同'!$D:$AL,22,0)</f>
        <v>0</v>
      </c>
      <c r="X33" s="290">
        <f>VLOOKUP($B33,'3、工程合同'!$D:$AL,23,0)</f>
        <v>0</v>
      </c>
      <c r="Y33" s="293">
        <f>VLOOKUP($B33,'3、工程合同'!$D:$AL,24,0)</f>
        <v>0</v>
      </c>
      <c r="Z33" s="293">
        <f>VLOOKUP($B33,'3、工程合同'!$D:$AL,25,0)</f>
        <v>0</v>
      </c>
      <c r="AA33" s="290">
        <f>VLOOKUP($B33,'3、工程合同'!$D:$AL,26,0)</f>
        <v>0</v>
      </c>
      <c r="AB33" s="293">
        <f>VLOOKUP($B33,'3、工程合同'!$D:$AL,27,0)</f>
        <v>0</v>
      </c>
      <c r="AC33" s="293">
        <f>VLOOKUP($B33,'3、工程合同'!$D:$AL,28,0)</f>
        <v>0</v>
      </c>
      <c r="AD33" s="290">
        <f>VLOOKUP($B33,'3、工程合同'!$D:$AL,29,0)</f>
        <v>0</v>
      </c>
      <c r="AE33" s="293">
        <f>VLOOKUP($B33,'3、工程合同'!$D:$AL,30,0)</f>
        <v>0</v>
      </c>
      <c r="AF33" s="293">
        <f>VLOOKUP($B33,'3、工程合同'!$D:$AL,31,0)</f>
        <v>0</v>
      </c>
      <c r="AG33" s="293">
        <f>VLOOKUP($B33,'3、工程合同'!$D:$AL,32,0)</f>
        <v>0</v>
      </c>
      <c r="AH33" s="293">
        <f>VLOOKUP($B33,'3、工程合同'!$D:$AL,33,0)</f>
        <v>0</v>
      </c>
      <c r="AI33" s="312">
        <f>VLOOKUP($B33,'3、工程合同'!$D:$AL,34,0)</f>
        <v>0</v>
      </c>
      <c r="AJ33" s="309">
        <f t="shared" si="1"/>
        <v>0</v>
      </c>
      <c r="AK33" s="289">
        <f t="shared" si="2"/>
        <v>70000</v>
      </c>
      <c r="AL33" s="310">
        <f t="shared" si="3"/>
        <v>0</v>
      </c>
      <c r="AM33" s="289">
        <f t="shared" si="4"/>
        <v>70000</v>
      </c>
      <c r="AN33" s="311" t="str">
        <f t="shared" si="5"/>
        <v>数据正确</v>
      </c>
    </row>
    <row r="34" s="228" customFormat="1" customHeight="1" spans="1:40">
      <c r="A34" s="228" t="str">
        <f t="shared" si="6"/>
        <v/>
      </c>
      <c r="B34" s="261">
        <v>29</v>
      </c>
      <c r="C34" s="266" t="str">
        <f>VLOOKUP($B34,'3、工程合同'!$D:$AL,2,0)</f>
        <v>YRKJGC-170002</v>
      </c>
      <c r="D34" s="267" t="str">
        <f>VLOOKUP($B34,'3、工程合同'!$D:$AL,3,0)</f>
        <v>工程合同</v>
      </c>
      <c r="E34" s="267">
        <f>VLOOKUP($B34,'3、工程合同'!$D:$AL,4,0)</f>
        <v>2017010001</v>
      </c>
      <c r="F34" s="268">
        <f>VLOOKUP($B34,'3、工程合同'!$D:$AL,5,0)</f>
        <v>42791</v>
      </c>
      <c r="G34" s="269">
        <f>VLOOKUP($B34,'3、工程合同'!$D:$AL,6,0)</f>
        <v>65720</v>
      </c>
      <c r="H34" s="269" t="str">
        <f>VLOOKUP($B34,'3、工程合同'!$D:$AL,7,0)</f>
        <v>连锁块（53000块*1.24元/块）</v>
      </c>
      <c r="I34" s="269" t="str">
        <f>VLOOKUP($B34,'3、工程合同'!$D:$AL,8,0)</f>
        <v>莆田市秀屿区东庄荔锦水泥制砖场</v>
      </c>
      <c r="J34" s="290" t="str">
        <f>VLOOKUP($B34,'3、工程合同'!$D:$AL,9,0)</f>
        <v>总图运输65720元</v>
      </c>
      <c r="K34" s="291" t="str">
        <f>VLOOKUP($B34,'3、工程合同'!$D:$AL,10,0)</f>
        <v>电汇</v>
      </c>
      <c r="L34" s="292" t="str">
        <f>VLOOKUP($B34,'3、工程合同'!$D:$AL,11,0)</f>
        <v>货到交货点验收合格，收到全额发票后，支付全额</v>
      </c>
      <c r="M34" s="293">
        <f>VLOOKUP($B34,'3、工程合同'!$D:$AL,12,0)</f>
        <v>65720</v>
      </c>
      <c r="N34" s="293">
        <f>VLOOKUP($B34,'3、工程合同'!$D:$AL,13,0)</f>
        <v>64425.44</v>
      </c>
      <c r="O34" s="290">
        <f>VLOOKUP($B34,'3、工程合同'!$D:$AL,14,0)</f>
        <v>0</v>
      </c>
      <c r="P34" s="293">
        <f>VLOOKUP($B34,'3、工程合同'!$D:$AL,15,0)</f>
        <v>0</v>
      </c>
      <c r="Q34" s="293">
        <f>VLOOKUP($B34,'3、工程合同'!$D:$AL,16,0)</f>
        <v>0</v>
      </c>
      <c r="R34" s="290">
        <f>VLOOKUP($B34,'3、工程合同'!$D:$AL,17,0)</f>
        <v>0</v>
      </c>
      <c r="S34" s="293">
        <f>VLOOKUP($B34,'3、工程合同'!$D:$AL,18,0)</f>
        <v>0</v>
      </c>
      <c r="T34" s="293">
        <f>VLOOKUP($B34,'3、工程合同'!$D:$AL,19,0)</f>
        <v>0</v>
      </c>
      <c r="U34" s="290">
        <f>VLOOKUP($B34,'3、工程合同'!$D:$AL,20,0)</f>
        <v>0</v>
      </c>
      <c r="V34" s="293">
        <f>VLOOKUP($B34,'3、工程合同'!$D:$AL,21,0)</f>
        <v>0</v>
      </c>
      <c r="W34" s="293">
        <f>VLOOKUP($B34,'3、工程合同'!$D:$AL,22,0)</f>
        <v>0</v>
      </c>
      <c r="X34" s="290">
        <f>VLOOKUP($B34,'3、工程合同'!$D:$AL,23,0)</f>
        <v>0</v>
      </c>
      <c r="Y34" s="293">
        <f>VLOOKUP($B34,'3、工程合同'!$D:$AL,24,0)</f>
        <v>0</v>
      </c>
      <c r="Z34" s="293">
        <f>VLOOKUP($B34,'3、工程合同'!$D:$AL,25,0)</f>
        <v>0</v>
      </c>
      <c r="AA34" s="290">
        <f>VLOOKUP($B34,'3、工程合同'!$D:$AL,26,0)</f>
        <v>0</v>
      </c>
      <c r="AB34" s="293">
        <f>VLOOKUP($B34,'3、工程合同'!$D:$AL,27,0)</f>
        <v>0</v>
      </c>
      <c r="AC34" s="293">
        <f>VLOOKUP($B34,'3、工程合同'!$D:$AL,28,0)</f>
        <v>0</v>
      </c>
      <c r="AD34" s="290">
        <f>VLOOKUP($B34,'3、工程合同'!$D:$AL,29,0)</f>
        <v>0</v>
      </c>
      <c r="AE34" s="293">
        <f>VLOOKUP($B34,'3、工程合同'!$D:$AL,30,0)</f>
        <v>0</v>
      </c>
      <c r="AF34" s="293">
        <f>VLOOKUP($B34,'3、工程合同'!$D:$AL,31,0)</f>
        <v>0</v>
      </c>
      <c r="AG34" s="293">
        <f>VLOOKUP($B34,'3、工程合同'!$D:$AL,32,0)</f>
        <v>0</v>
      </c>
      <c r="AH34" s="293">
        <f>VLOOKUP($B34,'3、工程合同'!$D:$AL,33,0)</f>
        <v>0</v>
      </c>
      <c r="AI34" s="312">
        <f>VLOOKUP($B34,'3、工程合同'!$D:$AL,34,0)</f>
        <v>0</v>
      </c>
      <c r="AJ34" s="309">
        <f t="shared" ref="AJ34:AJ45" si="7">N34+Q34+T34+W34+Z34+AC34+AF34+AI34</f>
        <v>64425.44</v>
      </c>
      <c r="AK34" s="289">
        <f t="shared" ref="AK34:AK45" si="8">G34-AJ34</f>
        <v>1294.56</v>
      </c>
      <c r="AL34" s="310">
        <f t="shared" ref="AL34:AL45" si="9">AJ34/G34</f>
        <v>0.980301886792453</v>
      </c>
      <c r="AM34" s="289">
        <f t="shared" ref="AM34:AM45" si="10">M34+P34+S34+V34+Y34+AB34+AE34+AH34</f>
        <v>65720</v>
      </c>
      <c r="AN34" s="311" t="str">
        <f t="shared" ref="AN34:AN45" si="11">IF(AM34-G34=0,"数据正确","数据错误")</f>
        <v>数据正确</v>
      </c>
    </row>
    <row r="35" s="228" customFormat="1" customHeight="1" spans="1:40">
      <c r="A35" s="228" t="str">
        <f t="shared" si="6"/>
        <v>已完毕</v>
      </c>
      <c r="B35" s="261">
        <v>30</v>
      </c>
      <c r="C35" s="266" t="str">
        <f>VLOOKUP($B35,'3、工程合同'!$D:$AL,2,0)</f>
        <v>YRKJGC-170004</v>
      </c>
      <c r="D35" s="267" t="str">
        <f>VLOOKUP($B35,'3、工程合同'!$D:$AL,3,0)</f>
        <v>工程合同</v>
      </c>
      <c r="E35" s="267">
        <f>VLOOKUP($B35,'3、工程合同'!$D:$AL,4,0)</f>
        <v>2017020027</v>
      </c>
      <c r="F35" s="268">
        <f>VLOOKUP($B35,'3、工程合同'!$D:$AL,5,0)</f>
        <v>42674</v>
      </c>
      <c r="G35" s="269">
        <f>VLOOKUP($B35,'3、工程合同'!$D:$AL,6,0)</f>
        <v>942505.1</v>
      </c>
      <c r="H35" s="269" t="str">
        <f>VLOOKUP($B35,'3、工程合同'!$D:$AL,7,0)</f>
        <v>管桩(6000米*157.9元/米）</v>
      </c>
      <c r="I35" s="269" t="str">
        <f>VLOOKUP($B35,'3、工程合同'!$D:$AL,8,0)</f>
        <v>福建宝丰管桩有限公司</v>
      </c>
      <c r="J35" s="290" t="str">
        <f>VLOOKUP($B35,'3、工程合同'!$D:$AL,9,0)</f>
        <v>有机物料罐组51支，中间罐组191支</v>
      </c>
      <c r="K35" s="291" t="str">
        <f>VLOOKUP($B35,'3、工程合同'!$D:$AL,10,0)</f>
        <v>电汇</v>
      </c>
      <c r="L35" s="292" t="str">
        <f>VLOOKUP($B35,'3、工程合同'!$D:$AL,11,0)</f>
        <v>货到付款，每次供货3000米，收到等额的17%专票后5个工作日支付</v>
      </c>
      <c r="M35" s="293">
        <f>VLOOKUP($B35,'3、工程合同'!$D:$AL,12,0)</f>
        <v>473700</v>
      </c>
      <c r="N35" s="293">
        <f>VLOOKUP($B35,'3、工程合同'!$D:$AL,13,0)</f>
        <v>473700</v>
      </c>
      <c r="O35" s="290" t="str">
        <f>VLOOKUP($B35,'3、工程合同'!$D:$AL,14,0)</f>
        <v>货到付款，每次供货3000米，收到等额的17%专票后5个工作日支付</v>
      </c>
      <c r="P35" s="293">
        <f>VLOOKUP($B35,'3、工程合同'!$D:$AL,15,0)</f>
        <v>468805.1</v>
      </c>
      <c r="Q35" s="293">
        <f>VLOOKUP($B35,'3、工程合同'!$D:$AL,16,0)</f>
        <v>468805.1</v>
      </c>
      <c r="R35" s="290">
        <f>VLOOKUP($B35,'3、工程合同'!$D:$AL,17,0)</f>
        <v>0</v>
      </c>
      <c r="S35" s="293">
        <f>VLOOKUP($B35,'3、工程合同'!$D:$AL,18,0)</f>
        <v>0</v>
      </c>
      <c r="T35" s="293">
        <f>VLOOKUP($B35,'3、工程合同'!$D:$AL,19,0)</f>
        <v>0</v>
      </c>
      <c r="U35" s="290">
        <f>VLOOKUP($B35,'3、工程合同'!$D:$AL,20,0)</f>
        <v>0</v>
      </c>
      <c r="V35" s="293">
        <f>VLOOKUP($B35,'3、工程合同'!$D:$AL,21,0)</f>
        <v>0</v>
      </c>
      <c r="W35" s="293">
        <f>VLOOKUP($B35,'3、工程合同'!$D:$AL,22,0)</f>
        <v>0</v>
      </c>
      <c r="X35" s="290">
        <f>VLOOKUP($B35,'3、工程合同'!$D:$AL,23,0)</f>
        <v>0</v>
      </c>
      <c r="Y35" s="293">
        <f>VLOOKUP($B35,'3、工程合同'!$D:$AL,24,0)</f>
        <v>0</v>
      </c>
      <c r="Z35" s="293">
        <f>VLOOKUP($B35,'3、工程合同'!$D:$AL,25,0)</f>
        <v>0</v>
      </c>
      <c r="AA35" s="290">
        <f>VLOOKUP($B35,'3、工程合同'!$D:$AL,26,0)</f>
        <v>0</v>
      </c>
      <c r="AB35" s="293">
        <f>VLOOKUP($B35,'3、工程合同'!$D:$AL,27,0)</f>
        <v>0</v>
      </c>
      <c r="AC35" s="293">
        <f>VLOOKUP($B35,'3、工程合同'!$D:$AL,28,0)</f>
        <v>0</v>
      </c>
      <c r="AD35" s="290">
        <f>VLOOKUP($B35,'3、工程合同'!$D:$AL,29,0)</f>
        <v>0</v>
      </c>
      <c r="AE35" s="293">
        <f>VLOOKUP($B35,'3、工程合同'!$D:$AL,30,0)</f>
        <v>0</v>
      </c>
      <c r="AF35" s="293">
        <f>VLOOKUP($B35,'3、工程合同'!$D:$AL,31,0)</f>
        <v>0</v>
      </c>
      <c r="AG35" s="293">
        <f>VLOOKUP($B35,'3、工程合同'!$D:$AL,32,0)</f>
        <v>0</v>
      </c>
      <c r="AH35" s="293">
        <f>VLOOKUP($B35,'3、工程合同'!$D:$AL,33,0)</f>
        <v>0</v>
      </c>
      <c r="AI35" s="312">
        <f>VLOOKUP($B35,'3、工程合同'!$D:$AL,34,0)</f>
        <v>0</v>
      </c>
      <c r="AJ35" s="309">
        <f t="shared" si="7"/>
        <v>942505.1</v>
      </c>
      <c r="AK35" s="289">
        <f t="shared" si="8"/>
        <v>0</v>
      </c>
      <c r="AL35" s="310">
        <f t="shared" si="9"/>
        <v>1</v>
      </c>
      <c r="AM35" s="289">
        <f t="shared" si="10"/>
        <v>942505.1</v>
      </c>
      <c r="AN35" s="311" t="str">
        <f t="shared" si="11"/>
        <v>数据正确</v>
      </c>
    </row>
    <row r="36" s="228" customFormat="1" customHeight="1" spans="1:40">
      <c r="A36" s="228" t="str">
        <f t="shared" si="6"/>
        <v/>
      </c>
      <c r="B36" s="256">
        <v>31</v>
      </c>
      <c r="C36" s="266" t="str">
        <f>VLOOKUP($B36,'3、工程合同'!$D:$AL,2,0)</f>
        <v>YRKJGC-170005</v>
      </c>
      <c r="D36" s="267" t="str">
        <f>VLOOKUP($B36,'3、工程合同'!$D:$AL,3,0)</f>
        <v>工程合同</v>
      </c>
      <c r="E36" s="267">
        <f>VLOOKUP($B36,'3、工程合同'!$D:$AL,4,0)</f>
        <v>2017030013</v>
      </c>
      <c r="F36" s="268">
        <f>VLOOKUP($B36,'3、工程合同'!$D:$AL,5,0)</f>
        <v>42809</v>
      </c>
      <c r="G36" s="269">
        <f>VLOOKUP($B36,'3、工程合同'!$D:$AL,6,0)</f>
        <v>1375000</v>
      </c>
      <c r="H36" s="269" t="str">
        <f>VLOOKUP($B36,'3、工程合同'!$D:$AL,7,0)</f>
        <v>方桩（5500米*250元/米）</v>
      </c>
      <c r="I36" s="269" t="str">
        <f>VLOOKUP($B36,'3、工程合同'!$D:$AL,8,0)</f>
        <v>福州市鸿生建材有限公司</v>
      </c>
      <c r="J36" s="290" t="str">
        <f>VLOOKUP($B36,'3、工程合同'!$D:$AL,9,0)</f>
        <v>雨水收集池、事故水收集池、硫铵仓库、氨肟化装置、己内酰胺装置、动力站、新增化粪池、N段管架等桩基施工</v>
      </c>
      <c r="K36" s="291" t="str">
        <f>VLOOKUP($B36,'3、工程合同'!$D:$AL,10,0)</f>
        <v>6个月承兑汇票</v>
      </c>
      <c r="L36" s="292" t="str">
        <f>VLOOKUP($B36,'3、工程合同'!$D:$AL,11,0)</f>
        <v>货到付款，每次供货3000米，收到等额的17%专票后5个工作日支付。贴息费由对方提供</v>
      </c>
      <c r="M36" s="293">
        <f>VLOOKUP($B36,'3、工程合同'!$D:$AL,12,0)</f>
        <v>264000</v>
      </c>
      <c r="N36" s="293">
        <f>VLOOKUP($B36,'3、工程合同'!$D:$AL,13,0)</f>
        <v>264000</v>
      </c>
      <c r="O36" s="290" t="str">
        <f>VLOOKUP($B36,'3、工程合同'!$D:$AL,14,0)</f>
        <v>货到付款，每次供货3000米，收到等额的17%专票后5个工作日支付</v>
      </c>
      <c r="P36" s="293">
        <f>VLOOKUP($B36,'3、工程合同'!$D:$AL,15,0)</f>
        <v>1111000</v>
      </c>
      <c r="Q36" s="293">
        <f>VLOOKUP($B36,'3、工程合同'!$D:$AL,16,0)</f>
        <v>274000</v>
      </c>
      <c r="R36" s="290">
        <f>VLOOKUP($B36,'3、工程合同'!$D:$AL,17,0)</f>
        <v>0</v>
      </c>
      <c r="S36" s="293">
        <f>VLOOKUP($B36,'3、工程合同'!$D:$AL,18,0)</f>
        <v>0</v>
      </c>
      <c r="T36" s="293">
        <f>VLOOKUP($B36,'3、工程合同'!$D:$AL,19,0)</f>
        <v>0</v>
      </c>
      <c r="U36" s="290">
        <f>VLOOKUP($B36,'3、工程合同'!$D:$AL,20,0)</f>
        <v>0</v>
      </c>
      <c r="V36" s="293">
        <f>VLOOKUP($B36,'3、工程合同'!$D:$AL,21,0)</f>
        <v>0</v>
      </c>
      <c r="W36" s="293">
        <f>VLOOKUP($B36,'3、工程合同'!$D:$AL,22,0)</f>
        <v>0</v>
      </c>
      <c r="X36" s="290">
        <f>VLOOKUP($B36,'3、工程合同'!$D:$AL,23,0)</f>
        <v>0</v>
      </c>
      <c r="Y36" s="293">
        <f>VLOOKUP($B36,'3、工程合同'!$D:$AL,24,0)</f>
        <v>0</v>
      </c>
      <c r="Z36" s="293">
        <f>VLOOKUP($B36,'3、工程合同'!$D:$AL,25,0)</f>
        <v>0</v>
      </c>
      <c r="AA36" s="290">
        <f>VLOOKUP($B36,'3、工程合同'!$D:$AL,26,0)</f>
        <v>0</v>
      </c>
      <c r="AB36" s="293">
        <f>VLOOKUP($B36,'3、工程合同'!$D:$AL,27,0)</f>
        <v>0</v>
      </c>
      <c r="AC36" s="293">
        <f>VLOOKUP($B36,'3、工程合同'!$D:$AL,28,0)</f>
        <v>0</v>
      </c>
      <c r="AD36" s="290">
        <f>VLOOKUP($B36,'3、工程合同'!$D:$AL,29,0)</f>
        <v>0</v>
      </c>
      <c r="AE36" s="293">
        <f>VLOOKUP($B36,'3、工程合同'!$D:$AL,30,0)</f>
        <v>0</v>
      </c>
      <c r="AF36" s="293">
        <f>VLOOKUP($B36,'3、工程合同'!$D:$AL,31,0)</f>
        <v>0</v>
      </c>
      <c r="AG36" s="293">
        <f>VLOOKUP($B36,'3、工程合同'!$D:$AL,32,0)</f>
        <v>0</v>
      </c>
      <c r="AH36" s="293">
        <f>VLOOKUP($B36,'3、工程合同'!$D:$AL,33,0)</f>
        <v>0</v>
      </c>
      <c r="AI36" s="312">
        <f>VLOOKUP($B36,'3、工程合同'!$D:$AL,34,0)</f>
        <v>0</v>
      </c>
      <c r="AJ36" s="309">
        <f t="shared" si="7"/>
        <v>538000</v>
      </c>
      <c r="AK36" s="289">
        <f t="shared" si="8"/>
        <v>837000</v>
      </c>
      <c r="AL36" s="310">
        <f t="shared" si="9"/>
        <v>0.391272727272727</v>
      </c>
      <c r="AM36" s="289">
        <f t="shared" si="10"/>
        <v>1375000</v>
      </c>
      <c r="AN36" s="311" t="str">
        <f t="shared" si="11"/>
        <v>数据正确</v>
      </c>
    </row>
    <row r="37" s="228" customFormat="1" customHeight="1" spans="1:40">
      <c r="A37" s="228" t="str">
        <f t="shared" si="6"/>
        <v>已完毕</v>
      </c>
      <c r="B37" s="261">
        <v>32</v>
      </c>
      <c r="C37" s="266" t="str">
        <f>VLOOKUP($B37,'3、工程合同'!$D:$AL,2,0)</f>
        <v>YRKJGC-170006</v>
      </c>
      <c r="D37" s="267" t="str">
        <f>VLOOKUP($B37,'3、工程合同'!$D:$AL,3,0)</f>
        <v>工程合同</v>
      </c>
      <c r="E37" s="267">
        <f>VLOOKUP($B37,'3、工程合同'!$D:$AL,4,0)</f>
        <v>2017030013</v>
      </c>
      <c r="F37" s="268">
        <f>VLOOKUP($B37,'3、工程合同'!$D:$AL,5,0)</f>
        <v>42814</v>
      </c>
      <c r="G37" s="269">
        <f>VLOOKUP($B37,'3、工程合同'!$D:$AL,6,0)</f>
        <v>7049840.36</v>
      </c>
      <c r="H37" s="269" t="str">
        <f>VLOOKUP($B37,'3、工程合同'!$D:$AL,7,0)</f>
        <v>管桩（15000米*150元/米+15000米*217元/米）</v>
      </c>
      <c r="I37" s="269" t="str">
        <f>VLOOKUP($B37,'3、工程合同'!$D:$AL,8,0)</f>
        <v>福建峻兴管桩有限公司</v>
      </c>
      <c r="J37" s="290" t="str">
        <f>VLOOKUP($B37,'3、工程合同'!$D:$AL,9,0)</f>
        <v>雨水收集池、事故水收集池、硫铵仓库、氨肟化装置、己内酰胺装置、动力站、新增化粪池、N段管架等桩基施工</v>
      </c>
      <c r="K37" s="291" t="str">
        <f>VLOOKUP($B37,'3、工程合同'!$D:$AL,10,0)</f>
        <v>电汇</v>
      </c>
      <c r="L37" s="292" t="str">
        <f>VLOOKUP($B37,'3、工程合同'!$D:$AL,11,0)</f>
        <v>货到付款，每次供货10000米，验收合格，卖方提供等额的收据给甲方后5日支付，卖方收到货款后3个工作日内提供17%的专票给甲方</v>
      </c>
      <c r="M37" s="293">
        <f>VLOOKUP($B37,'3、工程合同'!$D:$AL,12,0)</f>
        <v>7049840.36</v>
      </c>
      <c r="N37" s="293">
        <f>VLOOKUP($B37,'3、工程合同'!$D:$AL,13,0)</f>
        <v>7049840.36</v>
      </c>
      <c r="O37" s="290">
        <f>VLOOKUP($B37,'3、工程合同'!$D:$AL,14,0)</f>
        <v>0</v>
      </c>
      <c r="P37" s="293">
        <f>VLOOKUP($B37,'3、工程合同'!$D:$AL,15,0)</f>
        <v>0</v>
      </c>
      <c r="Q37" s="293">
        <f>VLOOKUP($B37,'3、工程合同'!$D:$AL,16,0)</f>
        <v>0</v>
      </c>
      <c r="R37" s="290">
        <f>VLOOKUP($B37,'3、工程合同'!$D:$AL,17,0)</f>
        <v>0</v>
      </c>
      <c r="S37" s="293">
        <f>VLOOKUP($B37,'3、工程合同'!$D:$AL,18,0)</f>
        <v>0</v>
      </c>
      <c r="T37" s="293">
        <f>VLOOKUP($B37,'3、工程合同'!$D:$AL,19,0)</f>
        <v>0</v>
      </c>
      <c r="U37" s="290">
        <f>VLOOKUP($B37,'3、工程合同'!$D:$AL,20,0)</f>
        <v>0</v>
      </c>
      <c r="V37" s="293">
        <f>VLOOKUP($B37,'3、工程合同'!$D:$AL,21,0)</f>
        <v>0</v>
      </c>
      <c r="W37" s="293">
        <f>VLOOKUP($B37,'3、工程合同'!$D:$AL,22,0)</f>
        <v>0</v>
      </c>
      <c r="X37" s="290">
        <f>VLOOKUP($B37,'3、工程合同'!$D:$AL,23,0)</f>
        <v>0</v>
      </c>
      <c r="Y37" s="293">
        <f>VLOOKUP($B37,'3、工程合同'!$D:$AL,24,0)</f>
        <v>0</v>
      </c>
      <c r="Z37" s="293">
        <f>VLOOKUP($B37,'3、工程合同'!$D:$AL,25,0)</f>
        <v>0</v>
      </c>
      <c r="AA37" s="290">
        <f>VLOOKUP($B37,'3、工程合同'!$D:$AL,26,0)</f>
        <v>0</v>
      </c>
      <c r="AB37" s="293">
        <f>VLOOKUP($B37,'3、工程合同'!$D:$AL,27,0)</f>
        <v>0</v>
      </c>
      <c r="AC37" s="293">
        <f>VLOOKUP($B37,'3、工程合同'!$D:$AL,28,0)</f>
        <v>0</v>
      </c>
      <c r="AD37" s="290">
        <f>VLOOKUP($B37,'3、工程合同'!$D:$AL,29,0)</f>
        <v>0</v>
      </c>
      <c r="AE37" s="293">
        <f>VLOOKUP($B37,'3、工程合同'!$D:$AL,30,0)</f>
        <v>0</v>
      </c>
      <c r="AF37" s="293">
        <f>VLOOKUP($B37,'3、工程合同'!$D:$AL,31,0)</f>
        <v>0</v>
      </c>
      <c r="AG37" s="293">
        <f>VLOOKUP($B37,'3、工程合同'!$D:$AL,32,0)</f>
        <v>0</v>
      </c>
      <c r="AH37" s="293">
        <f>VLOOKUP($B37,'3、工程合同'!$D:$AL,33,0)</f>
        <v>0</v>
      </c>
      <c r="AI37" s="312">
        <f>VLOOKUP($B37,'3、工程合同'!$D:$AL,34,0)</f>
        <v>0</v>
      </c>
      <c r="AJ37" s="309">
        <f t="shared" si="7"/>
        <v>7049840.36</v>
      </c>
      <c r="AK37" s="289">
        <f t="shared" si="8"/>
        <v>0</v>
      </c>
      <c r="AL37" s="310">
        <f t="shared" si="9"/>
        <v>1</v>
      </c>
      <c r="AM37" s="289">
        <f t="shared" si="10"/>
        <v>7049840.36</v>
      </c>
      <c r="AN37" s="311" t="str">
        <f t="shared" si="11"/>
        <v>数据正确</v>
      </c>
    </row>
    <row r="38" s="228" customFormat="1" customHeight="1" spans="1:40">
      <c r="A38" s="228" t="str">
        <f t="shared" si="6"/>
        <v/>
      </c>
      <c r="B38" s="261">
        <v>33</v>
      </c>
      <c r="C38" s="266" t="str">
        <f>VLOOKUP($B38,'3、工程合同'!$D:$AL,2,0)</f>
        <v>YRKJGC-170007</v>
      </c>
      <c r="D38" s="267" t="str">
        <f>VLOOKUP($B38,'3、工程合同'!$D:$AL,3,0)</f>
        <v>工程合同</v>
      </c>
      <c r="E38" s="267">
        <f>VLOOKUP($B38,'3、工程合同'!$D:$AL,4,0)</f>
        <v>2017030051</v>
      </c>
      <c r="F38" s="268">
        <f>VLOOKUP($B38,'3、工程合同'!$D:$AL,5,0)</f>
        <v>42817</v>
      </c>
      <c r="G38" s="269">
        <f>VLOOKUP($B38,'3、工程合同'!$D:$AL,6,0)</f>
        <v>23345</v>
      </c>
      <c r="H38" s="269" t="str">
        <f>VLOOKUP($B38,'3、工程合同'!$D:$AL,7,0)</f>
        <v>（施工生活区临时）配电箱</v>
      </c>
      <c r="I38" s="269" t="str">
        <f>VLOOKUP($B38,'3、工程合同'!$D:$AL,8,0)</f>
        <v>祥华科技有限公司</v>
      </c>
      <c r="J38" s="290" t="str">
        <f>VLOOKUP($B38,'3、工程合同'!$D:$AL,9,0)</f>
        <v>临时设施费2.5万元</v>
      </c>
      <c r="K38" s="291" t="str">
        <f>VLOOKUP($B38,'3、工程合同'!$D:$AL,10,0)</f>
        <v>6个月承兑汇票</v>
      </c>
      <c r="L38" s="292" t="str">
        <f>VLOOKUP($B38,'3、工程合同'!$D:$AL,11,0)</f>
        <v>货到验收合格后，收到100%发票后付清，接受反向贴息</v>
      </c>
      <c r="M38" s="293">
        <f>VLOOKUP($B38,'3、工程合同'!$D:$AL,12,0)</f>
        <v>23345</v>
      </c>
      <c r="N38" s="293">
        <f>VLOOKUP($B38,'3、工程合同'!$D:$AL,13,0)</f>
        <v>0</v>
      </c>
      <c r="O38" s="290">
        <f>VLOOKUP($B38,'3、工程合同'!$D:$AL,14,0)</f>
        <v>0</v>
      </c>
      <c r="P38" s="293">
        <f>VLOOKUP($B38,'3、工程合同'!$D:$AL,15,0)</f>
        <v>0</v>
      </c>
      <c r="Q38" s="293">
        <f>VLOOKUP($B38,'3、工程合同'!$D:$AL,16,0)</f>
        <v>0</v>
      </c>
      <c r="R38" s="290">
        <f>VLOOKUP($B38,'3、工程合同'!$D:$AL,17,0)</f>
        <v>0</v>
      </c>
      <c r="S38" s="293">
        <f>VLOOKUP($B38,'3、工程合同'!$D:$AL,18,0)</f>
        <v>0</v>
      </c>
      <c r="T38" s="293">
        <f>VLOOKUP($B38,'3、工程合同'!$D:$AL,19,0)</f>
        <v>0</v>
      </c>
      <c r="U38" s="290">
        <f>VLOOKUP($B38,'3、工程合同'!$D:$AL,20,0)</f>
        <v>0</v>
      </c>
      <c r="V38" s="293">
        <f>VLOOKUP($B38,'3、工程合同'!$D:$AL,21,0)</f>
        <v>0</v>
      </c>
      <c r="W38" s="293">
        <f>VLOOKUP($B38,'3、工程合同'!$D:$AL,22,0)</f>
        <v>0</v>
      </c>
      <c r="X38" s="290">
        <f>VLOOKUP($B38,'3、工程合同'!$D:$AL,23,0)</f>
        <v>0</v>
      </c>
      <c r="Y38" s="293">
        <f>VLOOKUP($B38,'3、工程合同'!$D:$AL,24,0)</f>
        <v>0</v>
      </c>
      <c r="Z38" s="293">
        <f>VLOOKUP($B38,'3、工程合同'!$D:$AL,25,0)</f>
        <v>0</v>
      </c>
      <c r="AA38" s="290">
        <f>VLOOKUP($B38,'3、工程合同'!$D:$AL,26,0)</f>
        <v>0</v>
      </c>
      <c r="AB38" s="293">
        <f>VLOOKUP($B38,'3、工程合同'!$D:$AL,27,0)</f>
        <v>0</v>
      </c>
      <c r="AC38" s="293">
        <f>VLOOKUP($B38,'3、工程合同'!$D:$AL,28,0)</f>
        <v>0</v>
      </c>
      <c r="AD38" s="290">
        <f>VLOOKUP($B38,'3、工程合同'!$D:$AL,29,0)</f>
        <v>0</v>
      </c>
      <c r="AE38" s="293">
        <f>VLOOKUP($B38,'3、工程合同'!$D:$AL,30,0)</f>
        <v>0</v>
      </c>
      <c r="AF38" s="293">
        <f>VLOOKUP($B38,'3、工程合同'!$D:$AL,31,0)</f>
        <v>0</v>
      </c>
      <c r="AG38" s="293">
        <f>VLOOKUP($B38,'3、工程合同'!$D:$AL,32,0)</f>
        <v>0</v>
      </c>
      <c r="AH38" s="293">
        <f>VLOOKUP($B38,'3、工程合同'!$D:$AL,33,0)</f>
        <v>0</v>
      </c>
      <c r="AI38" s="312">
        <f>VLOOKUP($B38,'3、工程合同'!$D:$AL,34,0)</f>
        <v>0</v>
      </c>
      <c r="AJ38" s="309">
        <f t="shared" si="7"/>
        <v>0</v>
      </c>
      <c r="AK38" s="289">
        <f t="shared" si="8"/>
        <v>23345</v>
      </c>
      <c r="AL38" s="310">
        <f t="shared" si="9"/>
        <v>0</v>
      </c>
      <c r="AM38" s="289">
        <f t="shared" si="10"/>
        <v>23345</v>
      </c>
      <c r="AN38" s="311" t="str">
        <f t="shared" si="11"/>
        <v>数据正确</v>
      </c>
    </row>
    <row r="39" s="228" customFormat="1" customHeight="1" spans="1:40">
      <c r="A39" s="228" t="str">
        <f t="shared" ref="A39:A70" si="12">IF(AL39=100%,"已完毕","")</f>
        <v>已完毕</v>
      </c>
      <c r="B39" s="256">
        <v>34</v>
      </c>
      <c r="C39" s="266" t="str">
        <f>VLOOKUP($B39,'3、工程合同'!$D:$AL,2,0)</f>
        <v>YRKJGC-170008</v>
      </c>
      <c r="D39" s="267" t="str">
        <f>VLOOKUP($B39,'3、工程合同'!$D:$AL,3,0)</f>
        <v>工程合同</v>
      </c>
      <c r="E39" s="267">
        <f>VLOOKUP($B39,'3、工程合同'!$D:$AL,4,0)</f>
        <v>2017030053</v>
      </c>
      <c r="F39" s="268">
        <f>VLOOKUP($B39,'3、工程合同'!$D:$AL,5,0)</f>
        <v>42824</v>
      </c>
      <c r="G39" s="269">
        <f>VLOOKUP($B39,'3、工程合同'!$D:$AL,6,0)</f>
        <v>3794350</v>
      </c>
      <c r="H39" s="269" t="str">
        <f>VLOOKUP($B39,'3、工程合同'!$D:$AL,7,0)</f>
        <v>预应力管桩（5万米*175元/米）</v>
      </c>
      <c r="I39" s="269" t="str">
        <f>VLOOKUP($B39,'3、工程合同'!$D:$AL,8,0)</f>
        <v>福建翔达管桩有限公司</v>
      </c>
      <c r="J39" s="290" t="str">
        <f>VLOOKUP($B39,'3、工程合同'!$D:$AL,9,0)</f>
        <v>双氧水装置、环己酮装置、硫铵装置、循环水、中间罐组、原水净化站等桩基施工</v>
      </c>
      <c r="K39" s="291" t="str">
        <f>VLOOKUP($B39,'3、工程合同'!$D:$AL,10,0)</f>
        <v>电汇</v>
      </c>
      <c r="L39" s="292" t="str">
        <f>VLOOKUP($B39,'3、工程合同'!$D:$AL,11,0)</f>
        <v>货到付款，每次供货1万米，验收合格，卖方提供等额的收据给甲方后3-5日支付，卖方收到货款后3个工作日内提供17%的专票给甲方</v>
      </c>
      <c r="M39" s="293">
        <f>VLOOKUP($B39,'3、工程合同'!$D:$AL,12,0)</f>
        <v>3794350</v>
      </c>
      <c r="N39" s="293">
        <f>VLOOKUP($B39,'3、工程合同'!$D:$AL,13,0)</f>
        <v>3794350</v>
      </c>
      <c r="O39" s="290">
        <f>VLOOKUP($B39,'3、工程合同'!$D:$AL,14,0)</f>
        <v>0</v>
      </c>
      <c r="P39" s="293">
        <f>VLOOKUP($B39,'3、工程合同'!$D:$AL,15,0)</f>
        <v>0</v>
      </c>
      <c r="Q39" s="293">
        <f>VLOOKUP($B39,'3、工程合同'!$D:$AL,16,0)</f>
        <v>0</v>
      </c>
      <c r="R39" s="290">
        <f>VLOOKUP($B39,'3、工程合同'!$D:$AL,17,0)</f>
        <v>0</v>
      </c>
      <c r="S39" s="293">
        <f>VLOOKUP($B39,'3、工程合同'!$D:$AL,18,0)</f>
        <v>0</v>
      </c>
      <c r="T39" s="293">
        <f>VLOOKUP($B39,'3、工程合同'!$D:$AL,19,0)</f>
        <v>0</v>
      </c>
      <c r="U39" s="290">
        <f>VLOOKUP($B39,'3、工程合同'!$D:$AL,20,0)</f>
        <v>0</v>
      </c>
      <c r="V39" s="293">
        <f>VLOOKUP($B39,'3、工程合同'!$D:$AL,21,0)</f>
        <v>0</v>
      </c>
      <c r="W39" s="293">
        <f>VLOOKUP($B39,'3、工程合同'!$D:$AL,22,0)</f>
        <v>0</v>
      </c>
      <c r="X39" s="290">
        <f>VLOOKUP($B39,'3、工程合同'!$D:$AL,23,0)</f>
        <v>0</v>
      </c>
      <c r="Y39" s="293">
        <f>VLOOKUP($B39,'3、工程合同'!$D:$AL,24,0)</f>
        <v>0</v>
      </c>
      <c r="Z39" s="293">
        <f>VLOOKUP($B39,'3、工程合同'!$D:$AL,25,0)</f>
        <v>0</v>
      </c>
      <c r="AA39" s="290">
        <f>VLOOKUP($B39,'3、工程合同'!$D:$AL,26,0)</f>
        <v>0</v>
      </c>
      <c r="AB39" s="293">
        <f>VLOOKUP($B39,'3、工程合同'!$D:$AL,27,0)</f>
        <v>0</v>
      </c>
      <c r="AC39" s="293">
        <f>VLOOKUP($B39,'3、工程合同'!$D:$AL,28,0)</f>
        <v>0</v>
      </c>
      <c r="AD39" s="290">
        <f>VLOOKUP($B39,'3、工程合同'!$D:$AL,29,0)</f>
        <v>0</v>
      </c>
      <c r="AE39" s="293">
        <f>VLOOKUP($B39,'3、工程合同'!$D:$AL,30,0)</f>
        <v>0</v>
      </c>
      <c r="AF39" s="293">
        <f>VLOOKUP($B39,'3、工程合同'!$D:$AL,31,0)</f>
        <v>0</v>
      </c>
      <c r="AG39" s="293">
        <f>VLOOKUP($B39,'3、工程合同'!$D:$AL,32,0)</f>
        <v>0</v>
      </c>
      <c r="AH39" s="293">
        <f>VLOOKUP($B39,'3、工程合同'!$D:$AL,33,0)</f>
        <v>0</v>
      </c>
      <c r="AI39" s="312">
        <f>VLOOKUP($B39,'3、工程合同'!$D:$AL,34,0)</f>
        <v>0</v>
      </c>
      <c r="AJ39" s="309">
        <f t="shared" si="7"/>
        <v>3794350</v>
      </c>
      <c r="AK39" s="289">
        <f t="shared" si="8"/>
        <v>0</v>
      </c>
      <c r="AL39" s="310">
        <f t="shared" si="9"/>
        <v>1</v>
      </c>
      <c r="AM39" s="289">
        <f t="shared" si="10"/>
        <v>3794350</v>
      </c>
      <c r="AN39" s="311" t="str">
        <f t="shared" si="11"/>
        <v>数据正确</v>
      </c>
    </row>
    <row r="40" s="228" customFormat="1" customHeight="1" spans="1:40">
      <c r="A40" s="228" t="str">
        <f t="shared" si="12"/>
        <v/>
      </c>
      <c r="B40" s="261">
        <v>35</v>
      </c>
      <c r="C40" s="266" t="str">
        <f>VLOOKUP($B40,'3、工程合同'!$D:$AL,2,0)</f>
        <v>YRKJGC-170009</v>
      </c>
      <c r="D40" s="267" t="str">
        <f>VLOOKUP($B40,'3、工程合同'!$D:$AL,3,0)</f>
        <v>工程合同</v>
      </c>
      <c r="E40" s="267">
        <f>VLOOKUP($B40,'3、工程合同'!$D:$AL,4,0)</f>
        <v>2017030013</v>
      </c>
      <c r="F40" s="268">
        <f>VLOOKUP($B40,'3、工程合同'!$D:$AL,5,0)</f>
        <v>42825</v>
      </c>
      <c r="G40" s="269">
        <f>VLOOKUP($B40,'3、工程合同'!$D:$AL,6,0)</f>
        <v>8110000</v>
      </c>
      <c r="H40" s="269" t="str">
        <f>VLOOKUP($B40,'3、工程合同'!$D:$AL,7,0)</f>
        <v>预应力管桩（3万米*167元/米）</v>
      </c>
      <c r="I40" s="269" t="str">
        <f>VLOOKUP($B40,'3、工程合同'!$D:$AL,8,0)</f>
        <v>福建建华建材有限公司</v>
      </c>
      <c r="J40" s="290" t="str">
        <f>VLOOKUP($B40,'3、工程合同'!$D:$AL,9,0)</f>
        <v>雨水收集池、事故水收集池、硫铵仓库、氨肟化装置、己内酰胺装置、动力站、新增化粪池、N段管架等桩基施工</v>
      </c>
      <c r="K40" s="291" t="str">
        <f>VLOOKUP($B40,'3、工程合同'!$D:$AL,10,0)</f>
        <v>电汇</v>
      </c>
      <c r="L40" s="292" t="str">
        <f>VLOOKUP($B40,'3、工程合同'!$D:$AL,11,0)</f>
        <v>货到付款，每次供货5000米，验收合格，卖方提供等额的收据给甲方后5日支付，卖方收到货款后5个工作日内提供17%的专票给甲方</v>
      </c>
      <c r="M40" s="293">
        <f>VLOOKUP($B40,'3、工程合同'!$D:$AL,12,0)</f>
        <v>8110000</v>
      </c>
      <c r="N40" s="293">
        <f>VLOOKUP($B40,'3、工程合同'!$D:$AL,13,0)</f>
        <v>5555910</v>
      </c>
      <c r="O40" s="290">
        <f>VLOOKUP($B40,'3、工程合同'!$D:$AL,14,0)</f>
        <v>0</v>
      </c>
      <c r="P40" s="293">
        <f>VLOOKUP($B40,'3、工程合同'!$D:$AL,15,0)</f>
        <v>0</v>
      </c>
      <c r="Q40" s="293">
        <f>VLOOKUP($B40,'3、工程合同'!$D:$AL,16,0)</f>
        <v>0</v>
      </c>
      <c r="R40" s="290">
        <f>VLOOKUP($B40,'3、工程合同'!$D:$AL,17,0)</f>
        <v>0</v>
      </c>
      <c r="S40" s="293">
        <f>VLOOKUP($B40,'3、工程合同'!$D:$AL,18,0)</f>
        <v>0</v>
      </c>
      <c r="T40" s="293">
        <f>VLOOKUP($B40,'3、工程合同'!$D:$AL,19,0)</f>
        <v>0</v>
      </c>
      <c r="U40" s="290">
        <f>VLOOKUP($B40,'3、工程合同'!$D:$AL,20,0)</f>
        <v>0</v>
      </c>
      <c r="V40" s="293">
        <f>VLOOKUP($B40,'3、工程合同'!$D:$AL,21,0)</f>
        <v>0</v>
      </c>
      <c r="W40" s="293">
        <f>VLOOKUP($B40,'3、工程合同'!$D:$AL,22,0)</f>
        <v>0</v>
      </c>
      <c r="X40" s="290">
        <f>VLOOKUP($B40,'3、工程合同'!$D:$AL,23,0)</f>
        <v>0</v>
      </c>
      <c r="Y40" s="293">
        <f>VLOOKUP($B40,'3、工程合同'!$D:$AL,24,0)</f>
        <v>0</v>
      </c>
      <c r="Z40" s="293">
        <f>VLOOKUP($B40,'3、工程合同'!$D:$AL,25,0)</f>
        <v>0</v>
      </c>
      <c r="AA40" s="290">
        <f>VLOOKUP($B40,'3、工程合同'!$D:$AL,26,0)</f>
        <v>0</v>
      </c>
      <c r="AB40" s="293">
        <f>VLOOKUP($B40,'3、工程合同'!$D:$AL,27,0)</f>
        <v>0</v>
      </c>
      <c r="AC40" s="293">
        <f>VLOOKUP($B40,'3、工程合同'!$D:$AL,28,0)</f>
        <v>0</v>
      </c>
      <c r="AD40" s="290">
        <f>VLOOKUP($B40,'3、工程合同'!$D:$AL,29,0)</f>
        <v>0</v>
      </c>
      <c r="AE40" s="293">
        <f>VLOOKUP($B40,'3、工程合同'!$D:$AL,30,0)</f>
        <v>0</v>
      </c>
      <c r="AF40" s="293">
        <f>VLOOKUP($B40,'3、工程合同'!$D:$AL,31,0)</f>
        <v>0</v>
      </c>
      <c r="AG40" s="293">
        <f>VLOOKUP($B40,'3、工程合同'!$D:$AL,32,0)</f>
        <v>0</v>
      </c>
      <c r="AH40" s="293">
        <f>VLOOKUP($B40,'3、工程合同'!$D:$AL,33,0)</f>
        <v>0</v>
      </c>
      <c r="AI40" s="312">
        <f>VLOOKUP($B40,'3、工程合同'!$D:$AL,34,0)</f>
        <v>0</v>
      </c>
      <c r="AJ40" s="309">
        <f t="shared" si="7"/>
        <v>5555910</v>
      </c>
      <c r="AK40" s="289">
        <f t="shared" si="8"/>
        <v>2554090</v>
      </c>
      <c r="AL40" s="310">
        <f t="shared" si="9"/>
        <v>0.685069050554871</v>
      </c>
      <c r="AM40" s="289">
        <f t="shared" si="10"/>
        <v>8110000</v>
      </c>
      <c r="AN40" s="311" t="str">
        <f t="shared" si="11"/>
        <v>数据正确</v>
      </c>
    </row>
    <row r="41" s="228" customFormat="1" customHeight="1" spans="1:40">
      <c r="A41" s="228" t="str">
        <f t="shared" si="12"/>
        <v>已完毕</v>
      </c>
      <c r="B41" s="261">
        <v>36</v>
      </c>
      <c r="C41" s="266" t="str">
        <f>VLOOKUP($B41,'3、工程合同'!$D:$AL,2,0)</f>
        <v>YRKJGC-170010</v>
      </c>
      <c r="D41" s="267" t="str">
        <f>VLOOKUP($B41,'3、工程合同'!$D:$AL,3,0)</f>
        <v>工程合同</v>
      </c>
      <c r="E41" s="267">
        <f>VLOOKUP($B41,'3、工程合同'!$D:$AL,4,0)</f>
        <v>2017030013</v>
      </c>
      <c r="F41" s="268">
        <f>VLOOKUP($B41,'3、工程合同'!$D:$AL,5,0)</f>
        <v>42816</v>
      </c>
      <c r="G41" s="269">
        <f>VLOOKUP($B41,'3、工程合同'!$D:$AL,6,0)</f>
        <v>11786924</v>
      </c>
      <c r="H41" s="269" t="str">
        <f>VLOOKUP($B41,'3、工程合同'!$D:$AL,7,0)</f>
        <v>预应力管桩（7万米*169元/米）</v>
      </c>
      <c r="I41" s="269" t="str">
        <f>VLOOKUP($B41,'3、工程合同'!$D:$AL,8,0)</f>
        <v>福建峻兴管桩有限公司</v>
      </c>
      <c r="J41" s="290" t="str">
        <f>VLOOKUP($B41,'3、工程合同'!$D:$AL,9,0)</f>
        <v>雨水收集池、事故水收集池、硫铵仓库、氨肟化装置、己内酰胺装置、动力站、新增化粪池、N段管架等桩基施工</v>
      </c>
      <c r="K41" s="291" t="str">
        <f>VLOOKUP($B41,'3、工程合同'!$D:$AL,10,0)</f>
        <v>电汇</v>
      </c>
      <c r="L41" s="292" t="str">
        <f>VLOOKUP($B41,'3、工程合同'!$D:$AL,11,0)</f>
        <v>货到付款，每次供货1万米，验收合格，卖方提供等额的收据给甲方后5日支付，卖方收到货款后3个工作日内提供17%的专票给甲方</v>
      </c>
      <c r="M41" s="293">
        <f>VLOOKUP($B41,'3、工程合同'!$D:$AL,12,0)</f>
        <v>11786924</v>
      </c>
      <c r="N41" s="293">
        <f>VLOOKUP($B41,'3、工程合同'!$D:$AL,13,0)</f>
        <v>11786924</v>
      </c>
      <c r="O41" s="290">
        <f>VLOOKUP($B41,'3、工程合同'!$D:$AL,14,0)</f>
        <v>0</v>
      </c>
      <c r="P41" s="293">
        <f>VLOOKUP($B41,'3、工程合同'!$D:$AL,15,0)</f>
        <v>0</v>
      </c>
      <c r="Q41" s="293">
        <f>VLOOKUP($B41,'3、工程合同'!$D:$AL,16,0)</f>
        <v>0</v>
      </c>
      <c r="R41" s="290">
        <f>VLOOKUP($B41,'3、工程合同'!$D:$AL,17,0)</f>
        <v>0</v>
      </c>
      <c r="S41" s="293">
        <f>VLOOKUP($B41,'3、工程合同'!$D:$AL,18,0)</f>
        <v>0</v>
      </c>
      <c r="T41" s="293">
        <f>VLOOKUP($B41,'3、工程合同'!$D:$AL,19,0)</f>
        <v>0</v>
      </c>
      <c r="U41" s="290">
        <f>VLOOKUP($B41,'3、工程合同'!$D:$AL,20,0)</f>
        <v>0</v>
      </c>
      <c r="V41" s="293">
        <f>VLOOKUP($B41,'3、工程合同'!$D:$AL,21,0)</f>
        <v>0</v>
      </c>
      <c r="W41" s="293">
        <f>VLOOKUP($B41,'3、工程合同'!$D:$AL,22,0)</f>
        <v>0</v>
      </c>
      <c r="X41" s="290">
        <f>VLOOKUP($B41,'3、工程合同'!$D:$AL,23,0)</f>
        <v>0</v>
      </c>
      <c r="Y41" s="293">
        <f>VLOOKUP($B41,'3、工程合同'!$D:$AL,24,0)</f>
        <v>0</v>
      </c>
      <c r="Z41" s="293">
        <f>VLOOKUP($B41,'3、工程合同'!$D:$AL,25,0)</f>
        <v>0</v>
      </c>
      <c r="AA41" s="290">
        <f>VLOOKUP($B41,'3、工程合同'!$D:$AL,26,0)</f>
        <v>0</v>
      </c>
      <c r="AB41" s="293">
        <f>VLOOKUP($B41,'3、工程合同'!$D:$AL,27,0)</f>
        <v>0</v>
      </c>
      <c r="AC41" s="293">
        <f>VLOOKUP($B41,'3、工程合同'!$D:$AL,28,0)</f>
        <v>0</v>
      </c>
      <c r="AD41" s="290">
        <f>VLOOKUP($B41,'3、工程合同'!$D:$AL,29,0)</f>
        <v>0</v>
      </c>
      <c r="AE41" s="293">
        <f>VLOOKUP($B41,'3、工程合同'!$D:$AL,30,0)</f>
        <v>0</v>
      </c>
      <c r="AF41" s="293">
        <f>VLOOKUP($B41,'3、工程合同'!$D:$AL,31,0)</f>
        <v>0</v>
      </c>
      <c r="AG41" s="293">
        <f>VLOOKUP($B41,'3、工程合同'!$D:$AL,32,0)</f>
        <v>0</v>
      </c>
      <c r="AH41" s="293">
        <f>VLOOKUP($B41,'3、工程合同'!$D:$AL,33,0)</f>
        <v>0</v>
      </c>
      <c r="AI41" s="312">
        <f>VLOOKUP($B41,'3、工程合同'!$D:$AL,34,0)</f>
        <v>0</v>
      </c>
      <c r="AJ41" s="309">
        <f t="shared" si="7"/>
        <v>11786924</v>
      </c>
      <c r="AK41" s="289">
        <f t="shared" si="8"/>
        <v>0</v>
      </c>
      <c r="AL41" s="310">
        <f t="shared" si="9"/>
        <v>1</v>
      </c>
      <c r="AM41" s="289">
        <f t="shared" si="10"/>
        <v>11786924</v>
      </c>
      <c r="AN41" s="311" t="str">
        <f t="shared" si="11"/>
        <v>数据正确</v>
      </c>
    </row>
    <row r="42" s="228" customFormat="1" customHeight="1" spans="1:40">
      <c r="A42" s="228" t="str">
        <f t="shared" si="12"/>
        <v>已完毕</v>
      </c>
      <c r="B42" s="256">
        <v>37</v>
      </c>
      <c r="C42" s="266" t="str">
        <f>VLOOKUP($B42,'3、工程合同'!$D:$AL,2,0)</f>
        <v>YRKJGC-170011</v>
      </c>
      <c r="D42" s="267" t="str">
        <f>VLOOKUP($B42,'3、工程合同'!$D:$AL,3,0)</f>
        <v>工程合同</v>
      </c>
      <c r="E42" s="267">
        <f>VLOOKUP($B42,'3、工程合同'!$D:$AL,4,0)</f>
        <v>2017030053</v>
      </c>
      <c r="F42" s="268">
        <f>VLOOKUP($B42,'3、工程合同'!$D:$AL,5,0)</f>
        <v>42840</v>
      </c>
      <c r="G42" s="269">
        <f>VLOOKUP($B42,'3、工程合同'!$D:$AL,6,0)</f>
        <v>5983824</v>
      </c>
      <c r="H42" s="269" t="str">
        <f>VLOOKUP($B42,'3、工程合同'!$D:$AL,7,0)</f>
        <v>管桩（50000*176元/米）</v>
      </c>
      <c r="I42" s="269" t="str">
        <f>VLOOKUP($B42,'3、工程合同'!$D:$AL,8,0)</f>
        <v>福建宝丰管桩有限公司</v>
      </c>
      <c r="J42" s="290" t="str">
        <f>VLOOKUP($B42,'3、工程合同'!$D:$AL,9,0)</f>
        <v>双氧水装置、环己酮装置、硫铵装置、循环水、中间罐组、原水净化站等桩基施工</v>
      </c>
      <c r="K42" s="291" t="str">
        <f>VLOOKUP($B42,'3、工程合同'!$D:$AL,10,0)</f>
        <v>电汇</v>
      </c>
      <c r="L42" s="292" t="str">
        <f>VLOOKUP($B42,'3、工程合同'!$D:$AL,11,0)</f>
        <v>货到付款，每次供货5000米，验收合格，卖方提供等额的收据给甲方后5日支付，卖方收到货款后5个工作日内提供17%的专票给甲方</v>
      </c>
      <c r="M42" s="293">
        <f>VLOOKUP($B42,'3、工程合同'!$D:$AL,12,0)</f>
        <v>5983824</v>
      </c>
      <c r="N42" s="293">
        <f>VLOOKUP($B42,'3、工程合同'!$D:$AL,13,0)</f>
        <v>5983824</v>
      </c>
      <c r="O42" s="290">
        <f>VLOOKUP($B42,'3、工程合同'!$D:$AL,14,0)</f>
        <v>0</v>
      </c>
      <c r="P42" s="293">
        <f>VLOOKUP($B42,'3、工程合同'!$D:$AL,15,0)</f>
        <v>0</v>
      </c>
      <c r="Q42" s="293">
        <f>VLOOKUP($B42,'3、工程合同'!$D:$AL,16,0)</f>
        <v>0</v>
      </c>
      <c r="R42" s="290">
        <f>VLOOKUP($B42,'3、工程合同'!$D:$AL,17,0)</f>
        <v>0</v>
      </c>
      <c r="S42" s="293">
        <f>VLOOKUP($B42,'3、工程合同'!$D:$AL,18,0)</f>
        <v>0</v>
      </c>
      <c r="T42" s="293">
        <f>VLOOKUP($B42,'3、工程合同'!$D:$AL,19,0)</f>
        <v>0</v>
      </c>
      <c r="U42" s="290">
        <f>VLOOKUP($B42,'3、工程合同'!$D:$AL,20,0)</f>
        <v>0</v>
      </c>
      <c r="V42" s="293">
        <f>VLOOKUP($B42,'3、工程合同'!$D:$AL,21,0)</f>
        <v>0</v>
      </c>
      <c r="W42" s="293">
        <f>VLOOKUP($B42,'3、工程合同'!$D:$AL,22,0)</f>
        <v>0</v>
      </c>
      <c r="X42" s="290">
        <f>VLOOKUP($B42,'3、工程合同'!$D:$AL,23,0)</f>
        <v>0</v>
      </c>
      <c r="Y42" s="293">
        <f>VLOOKUP($B42,'3、工程合同'!$D:$AL,24,0)</f>
        <v>0</v>
      </c>
      <c r="Z42" s="293">
        <f>VLOOKUP($B42,'3、工程合同'!$D:$AL,25,0)</f>
        <v>0</v>
      </c>
      <c r="AA42" s="290">
        <f>VLOOKUP($B42,'3、工程合同'!$D:$AL,26,0)</f>
        <v>0</v>
      </c>
      <c r="AB42" s="293">
        <f>VLOOKUP($B42,'3、工程合同'!$D:$AL,27,0)</f>
        <v>0</v>
      </c>
      <c r="AC42" s="293">
        <f>VLOOKUP($B42,'3、工程合同'!$D:$AL,28,0)</f>
        <v>0</v>
      </c>
      <c r="AD42" s="290">
        <f>VLOOKUP($B42,'3、工程合同'!$D:$AL,29,0)</f>
        <v>0</v>
      </c>
      <c r="AE42" s="293">
        <f>VLOOKUP($B42,'3、工程合同'!$D:$AL,30,0)</f>
        <v>0</v>
      </c>
      <c r="AF42" s="293">
        <f>VLOOKUP($B42,'3、工程合同'!$D:$AL,31,0)</f>
        <v>0</v>
      </c>
      <c r="AG42" s="293">
        <f>VLOOKUP($B42,'3、工程合同'!$D:$AL,32,0)</f>
        <v>0</v>
      </c>
      <c r="AH42" s="293">
        <f>VLOOKUP($B42,'3、工程合同'!$D:$AL,33,0)</f>
        <v>0</v>
      </c>
      <c r="AI42" s="312">
        <f>VLOOKUP($B42,'3、工程合同'!$D:$AL,34,0)</f>
        <v>0</v>
      </c>
      <c r="AJ42" s="309">
        <f t="shared" si="7"/>
        <v>5983824</v>
      </c>
      <c r="AK42" s="289">
        <f t="shared" si="8"/>
        <v>0</v>
      </c>
      <c r="AL42" s="310">
        <f t="shared" si="9"/>
        <v>1</v>
      </c>
      <c r="AM42" s="289">
        <f t="shared" si="10"/>
        <v>5983824</v>
      </c>
      <c r="AN42" s="311" t="str">
        <f t="shared" si="11"/>
        <v>数据正确</v>
      </c>
    </row>
    <row r="43" s="228" customFormat="1" customHeight="1" spans="1:40">
      <c r="A43" s="228" t="str">
        <f t="shared" si="12"/>
        <v/>
      </c>
      <c r="B43" s="261">
        <v>38</v>
      </c>
      <c r="C43" s="266" t="str">
        <f>VLOOKUP($B43,'3、工程合同'!$D:$AL,2,0)</f>
        <v>YRKJGC-170012</v>
      </c>
      <c r="D43" s="267" t="str">
        <f>VLOOKUP($B43,'3、工程合同'!$D:$AL,3,0)</f>
        <v>工程合同</v>
      </c>
      <c r="E43" s="267">
        <f>VLOOKUP($B43,'3、工程合同'!$D:$AL,4,0)</f>
        <v>2017030053</v>
      </c>
      <c r="F43" s="268">
        <f>VLOOKUP($B43,'3、工程合同'!$D:$AL,5,0)</f>
        <v>42839</v>
      </c>
      <c r="G43" s="269">
        <f>VLOOKUP($B43,'3、工程合同'!$D:$AL,6,0)</f>
        <v>2505000</v>
      </c>
      <c r="H43" s="269" t="str">
        <f>VLOOKUP($B43,'3、工程合同'!$D:$AL,7,0)</f>
        <v>预应力管桩（5万米*173元/米）</v>
      </c>
      <c r="I43" s="269" t="str">
        <f>VLOOKUP($B43,'3、工程合同'!$D:$AL,8,0)</f>
        <v>福建建华建材有限公司</v>
      </c>
      <c r="J43" s="290" t="str">
        <f>VLOOKUP($B43,'3、工程合同'!$D:$AL,9,0)</f>
        <v>双氧水装置、环己酮装置、硫铵装置、循环水、中间罐组、原水净化站等桩基施工</v>
      </c>
      <c r="K43" s="291" t="str">
        <f>VLOOKUP($B43,'3、工程合同'!$D:$AL,10,0)</f>
        <v>电汇</v>
      </c>
      <c r="L43" s="292" t="str">
        <f>VLOOKUP($B43,'3、工程合同'!$D:$AL,11,0)</f>
        <v>货到付款，每次供货5000米，验收合格，卖方提供等额的收据给甲方后5日支付，卖方收到货款后5个工作日内提供17%的专票给甲方</v>
      </c>
      <c r="M43" s="293">
        <f>VLOOKUP($B43,'3、工程合同'!$D:$AL,12,0)</f>
        <v>2505000</v>
      </c>
      <c r="N43" s="293">
        <f>VLOOKUP($B43,'3、工程合同'!$D:$AL,13,0)</f>
        <v>863000</v>
      </c>
      <c r="O43" s="290">
        <f>VLOOKUP($B43,'3、工程合同'!$D:$AL,14,0)</f>
        <v>0</v>
      </c>
      <c r="P43" s="293">
        <f>VLOOKUP($B43,'3、工程合同'!$D:$AL,15,0)</f>
        <v>0</v>
      </c>
      <c r="Q43" s="293">
        <f>VLOOKUP($B43,'3、工程合同'!$D:$AL,16,0)</f>
        <v>0</v>
      </c>
      <c r="R43" s="290">
        <f>VLOOKUP($B43,'3、工程合同'!$D:$AL,17,0)</f>
        <v>0</v>
      </c>
      <c r="S43" s="293">
        <f>VLOOKUP($B43,'3、工程合同'!$D:$AL,18,0)</f>
        <v>0</v>
      </c>
      <c r="T43" s="293">
        <f>VLOOKUP($B43,'3、工程合同'!$D:$AL,19,0)</f>
        <v>0</v>
      </c>
      <c r="U43" s="290">
        <f>VLOOKUP($B43,'3、工程合同'!$D:$AL,20,0)</f>
        <v>0</v>
      </c>
      <c r="V43" s="293">
        <f>VLOOKUP($B43,'3、工程合同'!$D:$AL,21,0)</f>
        <v>0</v>
      </c>
      <c r="W43" s="293">
        <f>VLOOKUP($B43,'3、工程合同'!$D:$AL,22,0)</f>
        <v>0</v>
      </c>
      <c r="X43" s="290">
        <f>VLOOKUP($B43,'3、工程合同'!$D:$AL,23,0)</f>
        <v>0</v>
      </c>
      <c r="Y43" s="293">
        <f>VLOOKUP($B43,'3、工程合同'!$D:$AL,24,0)</f>
        <v>0</v>
      </c>
      <c r="Z43" s="293">
        <f>VLOOKUP($B43,'3、工程合同'!$D:$AL,25,0)</f>
        <v>0</v>
      </c>
      <c r="AA43" s="290">
        <f>VLOOKUP($B43,'3、工程合同'!$D:$AL,26,0)</f>
        <v>0</v>
      </c>
      <c r="AB43" s="293">
        <f>VLOOKUP($B43,'3、工程合同'!$D:$AL,27,0)</f>
        <v>0</v>
      </c>
      <c r="AC43" s="293">
        <f>VLOOKUP($B43,'3、工程合同'!$D:$AL,28,0)</f>
        <v>0</v>
      </c>
      <c r="AD43" s="290">
        <f>VLOOKUP($B43,'3、工程合同'!$D:$AL,29,0)</f>
        <v>0</v>
      </c>
      <c r="AE43" s="293">
        <f>VLOOKUP($B43,'3、工程合同'!$D:$AL,30,0)</f>
        <v>0</v>
      </c>
      <c r="AF43" s="293">
        <f>VLOOKUP($B43,'3、工程合同'!$D:$AL,31,0)</f>
        <v>0</v>
      </c>
      <c r="AG43" s="293">
        <f>VLOOKUP($B43,'3、工程合同'!$D:$AL,32,0)</f>
        <v>0</v>
      </c>
      <c r="AH43" s="293">
        <f>VLOOKUP($B43,'3、工程合同'!$D:$AL,33,0)</f>
        <v>0</v>
      </c>
      <c r="AI43" s="312">
        <f>VLOOKUP($B43,'3、工程合同'!$D:$AL,34,0)</f>
        <v>0</v>
      </c>
      <c r="AJ43" s="309">
        <f t="shared" si="7"/>
        <v>863000</v>
      </c>
      <c r="AK43" s="289">
        <f t="shared" si="8"/>
        <v>1642000</v>
      </c>
      <c r="AL43" s="310">
        <f t="shared" si="9"/>
        <v>0.344510978043912</v>
      </c>
      <c r="AM43" s="289">
        <f t="shared" si="10"/>
        <v>2505000</v>
      </c>
      <c r="AN43" s="311" t="str">
        <f t="shared" si="11"/>
        <v>数据正确</v>
      </c>
    </row>
    <row r="44" s="228" customFormat="1" customHeight="1" spans="1:40">
      <c r="A44" s="228" t="str">
        <f t="shared" si="12"/>
        <v>已完毕</v>
      </c>
      <c r="B44" s="261">
        <v>39</v>
      </c>
      <c r="C44" s="266" t="str">
        <f>VLOOKUP($B44,'3、工程合同'!$D:$AL,2,0)</f>
        <v>YRKJGC-170014</v>
      </c>
      <c r="D44" s="267" t="str">
        <f>VLOOKUP($B44,'3、工程合同'!$D:$AL,3,0)</f>
        <v>工程合同</v>
      </c>
      <c r="E44" s="267">
        <f>VLOOKUP($B44,'3、工程合同'!$D:$AL,4,0)</f>
        <v>2017030074</v>
      </c>
      <c r="F44" s="268">
        <f>VLOOKUP($B44,'3、工程合同'!$D:$AL,5,0)</f>
        <v>42842</v>
      </c>
      <c r="G44" s="269">
        <f>VLOOKUP($B44,'3、工程合同'!$D:$AL,6,0)</f>
        <v>71875</v>
      </c>
      <c r="H44" s="269" t="str">
        <f>VLOOKUP($B44,'3、工程合同'!$D:$AL,7,0)</f>
        <v>柴油（12.5吨*5750元/吨）</v>
      </c>
      <c r="I44" s="269" t="str">
        <f>VLOOKUP($B44,'3、工程合同'!$D:$AL,8,0)</f>
        <v>福建省昆仑石化产品有限公司</v>
      </c>
      <c r="J44" s="290" t="str">
        <f>VLOOKUP($B44,'3、工程合同'!$D:$AL,9,0)</f>
        <v>基本预备费71875元</v>
      </c>
      <c r="K44" s="291" t="str">
        <f>VLOOKUP($B44,'3、工程合同'!$D:$AL,10,0)</f>
        <v>电汇</v>
      </c>
      <c r="L44" s="292" t="str">
        <f>VLOOKUP($B44,'3、工程合同'!$D:$AL,11,0)</f>
        <v>款到发货</v>
      </c>
      <c r="M44" s="293">
        <f>VLOOKUP($B44,'3、工程合同'!$D:$AL,12,0)</f>
        <v>71875</v>
      </c>
      <c r="N44" s="293">
        <f>VLOOKUP($B44,'3、工程合同'!$D:$AL,13,0)</f>
        <v>71875</v>
      </c>
      <c r="O44" s="290">
        <f>VLOOKUP($B44,'3、工程合同'!$D:$AL,14,0)</f>
        <v>0</v>
      </c>
      <c r="P44" s="293">
        <f>VLOOKUP($B44,'3、工程合同'!$D:$AL,15,0)</f>
        <v>0</v>
      </c>
      <c r="Q44" s="293">
        <f>VLOOKUP($B44,'3、工程合同'!$D:$AL,16,0)</f>
        <v>0</v>
      </c>
      <c r="R44" s="290">
        <f>VLOOKUP($B44,'3、工程合同'!$D:$AL,17,0)</f>
        <v>0</v>
      </c>
      <c r="S44" s="293">
        <f>VLOOKUP($B44,'3、工程合同'!$D:$AL,18,0)</f>
        <v>0</v>
      </c>
      <c r="T44" s="293">
        <f>VLOOKUP($B44,'3、工程合同'!$D:$AL,19,0)</f>
        <v>0</v>
      </c>
      <c r="U44" s="290">
        <f>VLOOKUP($B44,'3、工程合同'!$D:$AL,20,0)</f>
        <v>0</v>
      </c>
      <c r="V44" s="293">
        <f>VLOOKUP($B44,'3、工程合同'!$D:$AL,21,0)</f>
        <v>0</v>
      </c>
      <c r="W44" s="293">
        <f>VLOOKUP($B44,'3、工程合同'!$D:$AL,22,0)</f>
        <v>0</v>
      </c>
      <c r="X44" s="290">
        <f>VLOOKUP($B44,'3、工程合同'!$D:$AL,23,0)</f>
        <v>0</v>
      </c>
      <c r="Y44" s="293">
        <f>VLOOKUP($B44,'3、工程合同'!$D:$AL,24,0)</f>
        <v>0</v>
      </c>
      <c r="Z44" s="293">
        <f>VLOOKUP($B44,'3、工程合同'!$D:$AL,25,0)</f>
        <v>0</v>
      </c>
      <c r="AA44" s="290">
        <f>VLOOKUP($B44,'3、工程合同'!$D:$AL,26,0)</f>
        <v>0</v>
      </c>
      <c r="AB44" s="293">
        <f>VLOOKUP($B44,'3、工程合同'!$D:$AL,27,0)</f>
        <v>0</v>
      </c>
      <c r="AC44" s="293">
        <f>VLOOKUP($B44,'3、工程合同'!$D:$AL,28,0)</f>
        <v>0</v>
      </c>
      <c r="AD44" s="290">
        <f>VLOOKUP($B44,'3、工程合同'!$D:$AL,29,0)</f>
        <v>0</v>
      </c>
      <c r="AE44" s="293">
        <f>VLOOKUP($B44,'3、工程合同'!$D:$AL,30,0)</f>
        <v>0</v>
      </c>
      <c r="AF44" s="293">
        <f>VLOOKUP($B44,'3、工程合同'!$D:$AL,31,0)</f>
        <v>0</v>
      </c>
      <c r="AG44" s="293">
        <f>VLOOKUP($B44,'3、工程合同'!$D:$AL,32,0)</f>
        <v>0</v>
      </c>
      <c r="AH44" s="293">
        <f>VLOOKUP($B44,'3、工程合同'!$D:$AL,33,0)</f>
        <v>0</v>
      </c>
      <c r="AI44" s="312">
        <f>VLOOKUP($B44,'3、工程合同'!$D:$AL,34,0)</f>
        <v>0</v>
      </c>
      <c r="AJ44" s="309">
        <f t="shared" si="7"/>
        <v>71875</v>
      </c>
      <c r="AK44" s="289">
        <f t="shared" si="8"/>
        <v>0</v>
      </c>
      <c r="AL44" s="310">
        <f t="shared" si="9"/>
        <v>1</v>
      </c>
      <c r="AM44" s="289">
        <f t="shared" si="10"/>
        <v>71875</v>
      </c>
      <c r="AN44" s="311" t="str">
        <f t="shared" si="11"/>
        <v>数据正确</v>
      </c>
    </row>
    <row r="45" s="228" customFormat="1" customHeight="1" spans="1:40">
      <c r="A45" s="228" t="str">
        <f t="shared" si="12"/>
        <v/>
      </c>
      <c r="B45" s="256">
        <v>40</v>
      </c>
      <c r="C45" s="266" t="str">
        <f>VLOOKUP($B45,'3、工程合同'!$D:$AL,2,0)</f>
        <v>YRKJGC-170016</v>
      </c>
      <c r="D45" s="267" t="str">
        <f>VLOOKUP($B45,'3、工程合同'!$D:$AL,3,0)</f>
        <v>工程合同</v>
      </c>
      <c r="E45" s="267">
        <f>VLOOKUP($B45,'3、工程合同'!$D:$AL,4,0)</f>
        <v>0</v>
      </c>
      <c r="F45" s="268">
        <f>VLOOKUP($B45,'3、工程合同'!$D:$AL,5,0)</f>
        <v>42839</v>
      </c>
      <c r="G45" s="269">
        <f>VLOOKUP($B45,'3、工程合同'!$D:$AL,6,0)</f>
        <v>918180</v>
      </c>
      <c r="H45" s="269" t="str">
        <f>VLOOKUP($B45,'3、工程合同'!$D:$AL,7,0)</f>
        <v>动力站EPC工程监理合同</v>
      </c>
      <c r="I45" s="269" t="str">
        <f>VLOOKUP($B45,'3、工程合同'!$D:$AL,8,0)</f>
        <v>福建省宏闽电力工程监理有限公司/福建经典工程咨询有限公司（联合体）</v>
      </c>
      <c r="J45" s="290">
        <f>VLOOKUP($B45,'3、工程合同'!$D:$AL,9,0)</f>
        <v>0</v>
      </c>
      <c r="K45" s="291" t="str">
        <f>VLOOKUP($B45,'3、工程合同'!$D:$AL,10,0)</f>
        <v>电汇</v>
      </c>
      <c r="L45" s="292" t="str">
        <f>VLOOKUP($B45,'3、工程合同'!$D:$AL,11,0)</f>
        <v>合同暂定17个月，金额暂定918180每月25日前提供监理费申请资料，下月25日前支付，收到乙方6%专票后再予以支付</v>
      </c>
      <c r="M45" s="293">
        <f>VLOOKUP($B45,'3、工程合同'!$D:$AL,12,0)</f>
        <v>918180</v>
      </c>
      <c r="N45" s="293">
        <f>VLOOKUP($B45,'3、工程合同'!$D:$AL,13,0)</f>
        <v>80240</v>
      </c>
      <c r="O45" s="290">
        <f>VLOOKUP($B45,'3、工程合同'!$D:$AL,14,0)</f>
        <v>0</v>
      </c>
      <c r="P45" s="293">
        <f>VLOOKUP($B45,'3、工程合同'!$D:$AL,15,0)</f>
        <v>0</v>
      </c>
      <c r="Q45" s="293">
        <f>VLOOKUP($B45,'3、工程合同'!$D:$AL,16,0)</f>
        <v>0</v>
      </c>
      <c r="R45" s="290">
        <f>VLOOKUP($B45,'3、工程合同'!$D:$AL,17,0)</f>
        <v>0</v>
      </c>
      <c r="S45" s="293">
        <f>VLOOKUP($B45,'3、工程合同'!$D:$AL,18,0)</f>
        <v>0</v>
      </c>
      <c r="T45" s="293">
        <f>VLOOKUP($B45,'3、工程合同'!$D:$AL,19,0)</f>
        <v>0</v>
      </c>
      <c r="U45" s="290">
        <f>VLOOKUP($B45,'3、工程合同'!$D:$AL,20,0)</f>
        <v>0</v>
      </c>
      <c r="V45" s="293">
        <f>VLOOKUP($B45,'3、工程合同'!$D:$AL,21,0)</f>
        <v>0</v>
      </c>
      <c r="W45" s="293">
        <f>VLOOKUP($B45,'3、工程合同'!$D:$AL,22,0)</f>
        <v>0</v>
      </c>
      <c r="X45" s="290">
        <f>VLOOKUP($B45,'3、工程合同'!$D:$AL,23,0)</f>
        <v>0</v>
      </c>
      <c r="Y45" s="293">
        <f>VLOOKUP($B45,'3、工程合同'!$D:$AL,24,0)</f>
        <v>0</v>
      </c>
      <c r="Z45" s="293">
        <f>VLOOKUP($B45,'3、工程合同'!$D:$AL,25,0)</f>
        <v>0</v>
      </c>
      <c r="AA45" s="290">
        <f>VLOOKUP($B45,'3、工程合同'!$D:$AL,26,0)</f>
        <v>0</v>
      </c>
      <c r="AB45" s="293">
        <f>VLOOKUP($B45,'3、工程合同'!$D:$AL,27,0)</f>
        <v>0</v>
      </c>
      <c r="AC45" s="293">
        <f>VLOOKUP($B45,'3、工程合同'!$D:$AL,28,0)</f>
        <v>0</v>
      </c>
      <c r="AD45" s="290">
        <f>VLOOKUP($B45,'3、工程合同'!$D:$AL,29,0)</f>
        <v>0</v>
      </c>
      <c r="AE45" s="293">
        <f>VLOOKUP($B45,'3、工程合同'!$D:$AL,30,0)</f>
        <v>0</v>
      </c>
      <c r="AF45" s="293">
        <f>VLOOKUP($B45,'3、工程合同'!$D:$AL,31,0)</f>
        <v>0</v>
      </c>
      <c r="AG45" s="293">
        <f>VLOOKUP($B45,'3、工程合同'!$D:$AL,32,0)</f>
        <v>0</v>
      </c>
      <c r="AH45" s="293">
        <f>VLOOKUP($B45,'3、工程合同'!$D:$AL,33,0)</f>
        <v>0</v>
      </c>
      <c r="AI45" s="312">
        <f>VLOOKUP($B45,'3、工程合同'!$D:$AL,34,0)</f>
        <v>0</v>
      </c>
      <c r="AJ45" s="309">
        <f t="shared" si="7"/>
        <v>80240</v>
      </c>
      <c r="AK45" s="289">
        <f t="shared" si="8"/>
        <v>837940</v>
      </c>
      <c r="AL45" s="310">
        <f t="shared" si="9"/>
        <v>0.0873902720599447</v>
      </c>
      <c r="AM45" s="289">
        <f t="shared" si="10"/>
        <v>918180</v>
      </c>
      <c r="AN45" s="311" t="str">
        <f t="shared" si="11"/>
        <v>数据正确</v>
      </c>
    </row>
    <row r="46" s="228" customFormat="1" customHeight="1" spans="1:40">
      <c r="A46" s="228" t="str">
        <f t="shared" si="12"/>
        <v>已完毕</v>
      </c>
      <c r="B46" s="261">
        <v>41</v>
      </c>
      <c r="C46" s="266" t="str">
        <f>VLOOKUP($B46,'4、其他合同'!$D:$AK,2,0)</f>
        <v>YRKJGC-170018</v>
      </c>
      <c r="D46" s="267" t="s">
        <v>25</v>
      </c>
      <c r="E46" s="267">
        <f>VLOOKUP($B46,'4、其他合同'!$D:$AK,4,0)</f>
        <v>0</v>
      </c>
      <c r="F46" s="268">
        <f>VLOOKUP($B46,'4、其他合同'!$D:$AK,5,0)</f>
        <v>42865</v>
      </c>
      <c r="G46" s="269">
        <f>VLOOKUP($B46,'4、其他合同'!$D:$AK,6,0)</f>
        <v>98000</v>
      </c>
      <c r="H46" s="269" t="str">
        <f>VLOOKUP($B46,'4、其他合同'!$D:$AK,7,0)</f>
        <v>HAZOP技术咨询分析</v>
      </c>
      <c r="I46" s="269" t="str">
        <f>VLOOKUP($B46,'4、其他合同'!$D:$AK,8,0)</f>
        <v>北京思创信息系统有限公司</v>
      </c>
      <c r="J46" s="290" t="str">
        <f>VLOOKUP($B46,'4、其他合同'!$D:$AK,9,0)</f>
        <v>非装置</v>
      </c>
      <c r="K46" s="291" t="str">
        <f>VLOOKUP($B46,'4、其他合同'!$D:$AK,10,0)</f>
        <v>电汇</v>
      </c>
      <c r="L46" s="292" t="str">
        <f>VLOOKUP($B46,'4、其他合同'!$D:$AK,11,0)</f>
        <v>本合同生效后5日内，乙方提交本合同100%总额发票后，甲方支付咨询费预付款28000</v>
      </c>
      <c r="M46" s="293">
        <f>VLOOKUP($B46,'4、其他合同'!$D:$AK,12,0)</f>
        <v>28000</v>
      </c>
      <c r="N46" s="293">
        <f>VLOOKUP($B46,'4、其他合同'!$D:$AK,13,0)</f>
        <v>28000</v>
      </c>
      <c r="O46" s="290" t="str">
        <f>VLOOKUP($B46,'4、其他合同'!$D:$AK,14,0)</f>
        <v>乙方提交技术咨询电子版报告经过甲方验收后5日内，支付咨询费用余款70000，甲方支付完成后乙方提交盖章的纸质版报告。</v>
      </c>
      <c r="P46" s="293">
        <f>VLOOKUP($B46,'4、其他合同'!$D:$AK,15,0)</f>
        <v>70000</v>
      </c>
      <c r="Q46" s="293">
        <f>VLOOKUP($B46,'4、其他合同'!$D:$AK,16,0)</f>
        <v>70000</v>
      </c>
      <c r="R46" s="290">
        <f>VLOOKUP($B46,'4、其他合同'!$D:$AK,17,0)</f>
        <v>0</v>
      </c>
      <c r="S46" s="293">
        <f>VLOOKUP($B46,'4、其他合同'!$D:$AK,18,0)</f>
        <v>0</v>
      </c>
      <c r="T46" s="293">
        <f>VLOOKUP($B46,'4、其他合同'!$D:$AK,19,0)</f>
        <v>0</v>
      </c>
      <c r="U46" s="290">
        <f>VLOOKUP($B46,'4、其他合同'!$D:$AK,20,0)</f>
        <v>0</v>
      </c>
      <c r="V46" s="293">
        <f>VLOOKUP($B46,'4、其他合同'!$D:$AK,21,0)</f>
        <v>0</v>
      </c>
      <c r="W46" s="293">
        <f>VLOOKUP($B46,'4、其他合同'!$D:$AK,22,0)</f>
        <v>0</v>
      </c>
      <c r="X46" s="290">
        <f>VLOOKUP($B46,'4、其他合同'!$D:$AK,23,0)</f>
        <v>0</v>
      </c>
      <c r="Y46" s="293">
        <f>VLOOKUP($B46,'4、其他合同'!$D:$AK,24,0)</f>
        <v>0</v>
      </c>
      <c r="Z46" s="293">
        <f>VLOOKUP($B46,'4、其他合同'!$D:$AK,25,0)</f>
        <v>0</v>
      </c>
      <c r="AA46" s="290">
        <f>VLOOKUP($B46,'4、其他合同'!$D:$AK,26,0)</f>
        <v>0</v>
      </c>
      <c r="AB46" s="293">
        <f>VLOOKUP($B46,'4、其他合同'!$D:$AK,27,0)</f>
        <v>0</v>
      </c>
      <c r="AC46" s="293">
        <f>VLOOKUP($B46,'4、其他合同'!$D:$AK,28,0)</f>
        <v>0</v>
      </c>
      <c r="AD46" s="290">
        <f>VLOOKUP($B46,'4、其他合同'!$D:$AK,29,0)</f>
        <v>0</v>
      </c>
      <c r="AE46" s="293">
        <f>VLOOKUP($B46,'4、其他合同'!$D:$AK,30,0)</f>
        <v>0</v>
      </c>
      <c r="AF46" s="293">
        <f>VLOOKUP($B46,'4、其他合同'!$D:$AK,31,0)</f>
        <v>0</v>
      </c>
      <c r="AG46" s="293">
        <f>VLOOKUP($B46,'4、其他合同'!$D:$AK,32,0)</f>
        <v>0</v>
      </c>
      <c r="AH46" s="293">
        <f>VLOOKUP($B46,'4、其他合同'!$D:$AK,33,0)</f>
        <v>0</v>
      </c>
      <c r="AI46" s="312">
        <f>VLOOKUP($B46,'4、其他合同'!$D:$AK,34,0)</f>
        <v>0</v>
      </c>
      <c r="AJ46" s="309">
        <f t="shared" si="1"/>
        <v>98000</v>
      </c>
      <c r="AK46" s="289">
        <f t="shared" si="2"/>
        <v>0</v>
      </c>
      <c r="AL46" s="310">
        <f t="shared" si="3"/>
        <v>1</v>
      </c>
      <c r="AM46" s="289">
        <f t="shared" si="4"/>
        <v>98000</v>
      </c>
      <c r="AN46" s="311" t="str">
        <f t="shared" si="5"/>
        <v>数据正确</v>
      </c>
    </row>
    <row r="47" s="228" customFormat="1" customHeight="1" spans="1:40">
      <c r="A47" s="228" t="str">
        <f t="shared" si="12"/>
        <v/>
      </c>
      <c r="B47" s="261">
        <v>42</v>
      </c>
      <c r="C47" s="266" t="str">
        <f>VLOOKUP($B47,'3、工程合同'!$D:$AL,2,0)</f>
        <v>YRKJGC-170019</v>
      </c>
      <c r="D47" s="267" t="str">
        <f>VLOOKUP($B47,'3、工程合同'!$D:$AL,3,0)</f>
        <v>工程合同</v>
      </c>
      <c r="E47" s="267">
        <f>VLOOKUP($B47,'3、工程合同'!$D:$AL,4,0)</f>
        <v>2017040038</v>
      </c>
      <c r="F47" s="268">
        <f>VLOOKUP($B47,'3、工程合同'!$D:$AL,5,0)</f>
        <v>42865</v>
      </c>
      <c r="G47" s="269">
        <f>VLOOKUP($B47,'3、工程合同'!$D:$AL,6,0)</f>
        <v>74000</v>
      </c>
      <c r="H47" s="269" t="str">
        <f>VLOOKUP($B47,'3、工程合同'!$D:$AL,7,0)</f>
        <v>电气工具、仪器等买卖合同</v>
      </c>
      <c r="I47" s="269" t="str">
        <f>VLOOKUP($B47,'3、工程合同'!$D:$AL,8,0)</f>
        <v>福州威德信机电有限公司</v>
      </c>
      <c r="J47" s="290" t="str">
        <f>VLOOKUP($B47,'3、工程合同'!$D:$AL,9,0)</f>
        <v>工器具及生产用具购置费7.4万元</v>
      </c>
      <c r="K47" s="291" t="str">
        <f>VLOOKUP($B47,'3、工程合同'!$D:$AL,10,0)</f>
        <v>电汇/承汇/信用证</v>
      </c>
      <c r="L47" s="292" t="str">
        <f>VLOOKUP($B47,'3、工程合同'!$D:$AL,11,0)</f>
        <v>甲方验收合格后，收到100%的增值税发票后支付合同100%的价款</v>
      </c>
      <c r="M47" s="293">
        <f>VLOOKUP($B47,'3、工程合同'!$D:$AL,12,0)</f>
        <v>74000</v>
      </c>
      <c r="N47" s="293">
        <f>VLOOKUP($B47,'3、工程合同'!$D:$AL,13,0)</f>
        <v>0</v>
      </c>
      <c r="O47" s="290">
        <f>VLOOKUP($B47,'3、工程合同'!$D:$AL,14,0)</f>
        <v>0</v>
      </c>
      <c r="P47" s="293">
        <f>VLOOKUP($B47,'3、工程合同'!$D:$AL,15,0)</f>
        <v>0</v>
      </c>
      <c r="Q47" s="293">
        <f>VLOOKUP($B47,'3、工程合同'!$D:$AL,16,0)</f>
        <v>0</v>
      </c>
      <c r="R47" s="290">
        <f>VLOOKUP($B47,'3、工程合同'!$D:$AL,17,0)</f>
        <v>0</v>
      </c>
      <c r="S47" s="293">
        <f>VLOOKUP($B47,'3、工程合同'!$D:$AL,18,0)</f>
        <v>0</v>
      </c>
      <c r="T47" s="293">
        <f>VLOOKUP($B47,'3、工程合同'!$D:$AL,19,0)</f>
        <v>0</v>
      </c>
      <c r="U47" s="290">
        <f>VLOOKUP($B47,'3、工程合同'!$D:$AL,20,0)</f>
        <v>0</v>
      </c>
      <c r="V47" s="293">
        <f>VLOOKUP($B47,'3、工程合同'!$D:$AL,21,0)</f>
        <v>0</v>
      </c>
      <c r="W47" s="293">
        <f>VLOOKUP($B47,'3、工程合同'!$D:$AL,22,0)</f>
        <v>0</v>
      </c>
      <c r="X47" s="290">
        <f>VLOOKUP($B47,'3、工程合同'!$D:$AL,23,0)</f>
        <v>0</v>
      </c>
      <c r="Y47" s="293">
        <f>VLOOKUP($B47,'3、工程合同'!$D:$AL,24,0)</f>
        <v>0</v>
      </c>
      <c r="Z47" s="293">
        <f>VLOOKUP($B47,'3、工程合同'!$D:$AL,25,0)</f>
        <v>0</v>
      </c>
      <c r="AA47" s="290">
        <f>VLOOKUP($B47,'3、工程合同'!$D:$AL,26,0)</f>
        <v>0</v>
      </c>
      <c r="AB47" s="293">
        <f>VLOOKUP($B47,'3、工程合同'!$D:$AL,27,0)</f>
        <v>0</v>
      </c>
      <c r="AC47" s="293">
        <f>VLOOKUP($B47,'3、工程合同'!$D:$AL,28,0)</f>
        <v>0</v>
      </c>
      <c r="AD47" s="290">
        <f>VLOOKUP($B47,'3、工程合同'!$D:$AL,29,0)</f>
        <v>0</v>
      </c>
      <c r="AE47" s="293">
        <f>VLOOKUP($B47,'3、工程合同'!$D:$AL,30,0)</f>
        <v>0</v>
      </c>
      <c r="AF47" s="293">
        <f>VLOOKUP($B47,'3、工程合同'!$D:$AL,31,0)</f>
        <v>0</v>
      </c>
      <c r="AG47" s="293">
        <f>VLOOKUP($B47,'3、工程合同'!$D:$AL,32,0)</f>
        <v>0</v>
      </c>
      <c r="AH47" s="293">
        <f>VLOOKUP($B47,'3、工程合同'!$D:$AL,33,0)</f>
        <v>0</v>
      </c>
      <c r="AI47" s="312">
        <f>VLOOKUP($B47,'3、工程合同'!$D:$AL,34,0)</f>
        <v>0</v>
      </c>
      <c r="AJ47" s="309">
        <f t="shared" si="1"/>
        <v>0</v>
      </c>
      <c r="AK47" s="289">
        <f t="shared" si="2"/>
        <v>74000</v>
      </c>
      <c r="AL47" s="310">
        <f t="shared" si="3"/>
        <v>0</v>
      </c>
      <c r="AM47" s="289">
        <f t="shared" si="4"/>
        <v>74000</v>
      </c>
      <c r="AN47" s="311" t="str">
        <f t="shared" si="5"/>
        <v>数据正确</v>
      </c>
    </row>
    <row r="48" s="228" customFormat="1" customHeight="1" spans="1:40">
      <c r="A48" s="228" t="str">
        <f t="shared" si="12"/>
        <v/>
      </c>
      <c r="B48" s="256">
        <v>43</v>
      </c>
      <c r="C48" s="266" t="str">
        <f>VLOOKUP($B48,'3、工程合同'!$D:$AL,2,0)</f>
        <v>YRKJGC-170022</v>
      </c>
      <c r="D48" s="267" t="str">
        <f>VLOOKUP($B48,'3、工程合同'!$D:$AL,3,0)</f>
        <v>工程合同</v>
      </c>
      <c r="E48" s="267">
        <f>VLOOKUP($B48,'3、工程合同'!$D:$AL,4,0)</f>
        <v>2017030072</v>
      </c>
      <c r="F48" s="268">
        <f>VLOOKUP($B48,'3、工程合同'!$D:$AL,5,0)</f>
        <v>42878</v>
      </c>
      <c r="G48" s="269">
        <f>VLOOKUP($B48,'3、工程合同'!$D:$AL,6,0)</f>
        <v>4095000</v>
      </c>
      <c r="H48" s="269" t="str">
        <f>VLOOKUP($B48,'3、工程合同'!$D:$AL,7,0)</f>
        <v>项目、工程施工管理监理第I标段</v>
      </c>
      <c r="I48" s="269" t="str">
        <f>VLOOKUP($B48,'3、工程合同'!$D:$AL,8,0)</f>
        <v>上海协同工程咨询有限公司</v>
      </c>
      <c r="J48" s="290" t="str">
        <f>VLOOKUP($B48,'3、工程合同'!$D:$AL,9,0)</f>
        <v>工程建设监理费409.5万元</v>
      </c>
      <c r="K48" s="291" t="str">
        <f>VLOOKUP($B48,'3、工程合同'!$D:$AL,10,0)</f>
        <v>电汇</v>
      </c>
      <c r="L48" s="292" t="str">
        <f>VLOOKUP($B48,'3、工程合同'!$D:$AL,11,0)</f>
        <v>按月支付，收到6%专票后，每月支付该月的80%，工程完工并通过质量监督站验收，且监理资料移交业主后，支付剩余的20%服务费</v>
      </c>
      <c r="M48" s="293">
        <f>VLOOKUP($B48,'3、工程合同'!$D:$AL,12,0)</f>
        <v>4095000</v>
      </c>
      <c r="N48" s="293">
        <f>VLOOKUP($B48,'3、工程合同'!$D:$AL,13,0)</f>
        <v>190420</v>
      </c>
      <c r="O48" s="290">
        <f>VLOOKUP($B48,'3、工程合同'!$D:$AL,14,0)</f>
        <v>0</v>
      </c>
      <c r="P48" s="293">
        <f>VLOOKUP($B48,'3、工程合同'!$D:$AL,15,0)</f>
        <v>0</v>
      </c>
      <c r="Q48" s="293">
        <f>VLOOKUP($B48,'3、工程合同'!$D:$AL,16,0)</f>
        <v>0</v>
      </c>
      <c r="R48" s="290">
        <f>VLOOKUP($B48,'3、工程合同'!$D:$AL,17,0)</f>
        <v>0</v>
      </c>
      <c r="S48" s="293">
        <f>VLOOKUP($B48,'3、工程合同'!$D:$AL,18,0)</f>
        <v>0</v>
      </c>
      <c r="T48" s="293">
        <f>VLOOKUP($B48,'3、工程合同'!$D:$AL,19,0)</f>
        <v>0</v>
      </c>
      <c r="U48" s="290">
        <f>VLOOKUP($B48,'3、工程合同'!$D:$AL,20,0)</f>
        <v>0</v>
      </c>
      <c r="V48" s="293">
        <f>VLOOKUP($B48,'3、工程合同'!$D:$AL,21,0)</f>
        <v>0</v>
      </c>
      <c r="W48" s="293">
        <f>VLOOKUP($B48,'3、工程合同'!$D:$AL,22,0)</f>
        <v>0</v>
      </c>
      <c r="X48" s="290">
        <f>VLOOKUP($B48,'3、工程合同'!$D:$AL,23,0)</f>
        <v>0</v>
      </c>
      <c r="Y48" s="293">
        <f>VLOOKUP($B48,'3、工程合同'!$D:$AL,24,0)</f>
        <v>0</v>
      </c>
      <c r="Z48" s="293">
        <f>VLOOKUP($B48,'3、工程合同'!$D:$AL,25,0)</f>
        <v>0</v>
      </c>
      <c r="AA48" s="290">
        <f>VLOOKUP($B48,'3、工程合同'!$D:$AL,26,0)</f>
        <v>0</v>
      </c>
      <c r="AB48" s="293">
        <f>VLOOKUP($B48,'3、工程合同'!$D:$AL,27,0)</f>
        <v>0</v>
      </c>
      <c r="AC48" s="293">
        <f>VLOOKUP($B48,'3、工程合同'!$D:$AL,28,0)</f>
        <v>0</v>
      </c>
      <c r="AD48" s="290">
        <f>VLOOKUP($B48,'3、工程合同'!$D:$AL,29,0)</f>
        <v>0</v>
      </c>
      <c r="AE48" s="293">
        <f>VLOOKUP($B48,'3、工程合同'!$D:$AL,30,0)</f>
        <v>0</v>
      </c>
      <c r="AF48" s="293">
        <f>VLOOKUP($B48,'3、工程合同'!$D:$AL,31,0)</f>
        <v>0</v>
      </c>
      <c r="AG48" s="293">
        <f>VLOOKUP($B48,'3、工程合同'!$D:$AL,32,0)</f>
        <v>0</v>
      </c>
      <c r="AH48" s="293">
        <f>VLOOKUP($B48,'3、工程合同'!$D:$AL,33,0)</f>
        <v>0</v>
      </c>
      <c r="AI48" s="312">
        <f>VLOOKUP($B48,'3、工程合同'!$D:$AL,34,0)</f>
        <v>0</v>
      </c>
      <c r="AJ48" s="309">
        <f t="shared" si="1"/>
        <v>190420</v>
      </c>
      <c r="AK48" s="289">
        <f t="shared" si="2"/>
        <v>3904580</v>
      </c>
      <c r="AL48" s="310">
        <f t="shared" si="3"/>
        <v>0.0465006105006105</v>
      </c>
      <c r="AM48" s="289">
        <f t="shared" si="4"/>
        <v>4095000</v>
      </c>
      <c r="AN48" s="311" t="str">
        <f t="shared" si="5"/>
        <v>数据正确</v>
      </c>
    </row>
    <row r="49" s="228" customFormat="1" customHeight="1" spans="1:40">
      <c r="A49" s="228" t="str">
        <f t="shared" si="12"/>
        <v/>
      </c>
      <c r="B49" s="261">
        <v>44</v>
      </c>
      <c r="C49" s="266" t="str">
        <f>VLOOKUP($B49,'3、工程合同'!$D:$AL,2,0)</f>
        <v>YRKJGC-170023</v>
      </c>
      <c r="D49" s="267" t="str">
        <f>VLOOKUP($B49,'3、工程合同'!$D:$AL,3,0)</f>
        <v>工程合同</v>
      </c>
      <c r="E49" s="267" t="str">
        <f>VLOOKUP($B49,'3、工程合同'!$D:$AL,4,0)</f>
        <v>2017030072-1</v>
      </c>
      <c r="F49" s="268">
        <f>VLOOKUP($B49,'3、工程合同'!$D:$AL,5,0)</f>
        <v>42871</v>
      </c>
      <c r="G49" s="269">
        <f>VLOOKUP($B49,'3、工程合同'!$D:$AL,6,0)</f>
        <v>2223004</v>
      </c>
      <c r="H49" s="269" t="str">
        <f>VLOOKUP($B49,'3、工程合同'!$D:$AL,7,0)</f>
        <v>项目、工程施工管理监理第II标段</v>
      </c>
      <c r="I49" s="269" t="str">
        <f>VLOOKUP($B49,'3、工程合同'!$D:$AL,8,0)</f>
        <v>岳阳长岭炼化方元建设监理咨询有限公司</v>
      </c>
      <c r="J49" s="290" t="str">
        <f>VLOOKUP($B49,'3、工程合同'!$D:$AL,9,0)</f>
        <v>工程建设监理费2223004</v>
      </c>
      <c r="K49" s="291" t="str">
        <f>VLOOKUP($B49,'3、工程合同'!$D:$AL,10,0)</f>
        <v>6个月承兑汇票/电汇下浮3%</v>
      </c>
      <c r="L49" s="292" t="str">
        <f>VLOOKUP($B49,'3、工程合同'!$D:$AL,11,0)</f>
        <v>按月支付，收到6%专票后，每月支付该月的80%，工程完工并通过质量监督站验收，且监理资料移交业主后，支付剩余的20%服务费（如要求电汇，监理人应向委托人支付反向贴息3%/6个月）</v>
      </c>
      <c r="M49" s="293">
        <f>VLOOKUP($B49,'3、工程合同'!$D:$AL,12,0)</f>
        <v>1778403.2</v>
      </c>
      <c r="N49" s="293">
        <f>VLOOKUP($B49,'3、工程合同'!$D:$AL,13,0)</f>
        <v>153284</v>
      </c>
      <c r="O49" s="290" t="str">
        <f>VLOOKUP($B49,'3、工程合同'!$D:$AL,14,0)</f>
        <v>按月支付，收到6%专票后，每月支付该月的80%，工程完工并通过质量监督站验收，且监理资料移交业主后，支付剩余的20%服务费（如要求电汇，监理人应向委托人支付反向贴息3%/6个月）</v>
      </c>
      <c r="P49" s="293">
        <f>VLOOKUP($B49,'3、工程合同'!$D:$AL,15,0)</f>
        <v>444600.8</v>
      </c>
      <c r="Q49" s="293">
        <f>VLOOKUP($B49,'3、工程合同'!$D:$AL,16,0)</f>
        <v>0</v>
      </c>
      <c r="R49" s="290">
        <f>VLOOKUP($B49,'3、工程合同'!$D:$AL,17,0)</f>
        <v>0</v>
      </c>
      <c r="S49" s="293">
        <f>VLOOKUP($B49,'3、工程合同'!$D:$AL,18,0)</f>
        <v>0</v>
      </c>
      <c r="T49" s="293">
        <f>VLOOKUP($B49,'3、工程合同'!$D:$AL,19,0)</f>
        <v>0</v>
      </c>
      <c r="U49" s="290">
        <f>VLOOKUP($B49,'3、工程合同'!$D:$AL,20,0)</f>
        <v>0</v>
      </c>
      <c r="V49" s="293">
        <f>VLOOKUP($B49,'3、工程合同'!$D:$AL,21,0)</f>
        <v>0</v>
      </c>
      <c r="W49" s="293">
        <f>VLOOKUP($B49,'3、工程合同'!$D:$AL,22,0)</f>
        <v>0</v>
      </c>
      <c r="X49" s="290">
        <f>VLOOKUP($B49,'3、工程合同'!$D:$AL,23,0)</f>
        <v>0</v>
      </c>
      <c r="Y49" s="293">
        <f>VLOOKUP($B49,'3、工程合同'!$D:$AL,24,0)</f>
        <v>0</v>
      </c>
      <c r="Z49" s="293">
        <f>VLOOKUP($B49,'3、工程合同'!$D:$AL,25,0)</f>
        <v>0</v>
      </c>
      <c r="AA49" s="290">
        <f>VLOOKUP($B49,'3、工程合同'!$D:$AL,26,0)</f>
        <v>0</v>
      </c>
      <c r="AB49" s="293">
        <f>VLOOKUP($B49,'3、工程合同'!$D:$AL,27,0)</f>
        <v>0</v>
      </c>
      <c r="AC49" s="293">
        <f>VLOOKUP($B49,'3、工程合同'!$D:$AL,28,0)</f>
        <v>0</v>
      </c>
      <c r="AD49" s="290">
        <f>VLOOKUP($B49,'3、工程合同'!$D:$AL,29,0)</f>
        <v>0</v>
      </c>
      <c r="AE49" s="293">
        <f>VLOOKUP($B49,'3、工程合同'!$D:$AL,30,0)</f>
        <v>0</v>
      </c>
      <c r="AF49" s="293">
        <f>VLOOKUP($B49,'3、工程合同'!$D:$AL,31,0)</f>
        <v>0</v>
      </c>
      <c r="AG49" s="293">
        <f>VLOOKUP($B49,'3、工程合同'!$D:$AL,32,0)</f>
        <v>0</v>
      </c>
      <c r="AH49" s="293">
        <f>VLOOKUP($B49,'3、工程合同'!$D:$AL,33,0)</f>
        <v>0</v>
      </c>
      <c r="AI49" s="312">
        <f>VLOOKUP($B49,'3、工程合同'!$D:$AL,34,0)</f>
        <v>0</v>
      </c>
      <c r="AJ49" s="309">
        <f t="shared" si="1"/>
        <v>153284</v>
      </c>
      <c r="AK49" s="289">
        <f t="shared" si="2"/>
        <v>2069720</v>
      </c>
      <c r="AL49" s="310">
        <f t="shared" si="3"/>
        <v>0.0689535421438738</v>
      </c>
      <c r="AM49" s="289">
        <f t="shared" si="4"/>
        <v>2223004</v>
      </c>
      <c r="AN49" s="311" t="str">
        <f t="shared" si="5"/>
        <v>数据正确</v>
      </c>
    </row>
    <row r="50" s="228" customFormat="1" customHeight="1" spans="1:40">
      <c r="A50" s="228" t="str">
        <f t="shared" si="12"/>
        <v>已完毕</v>
      </c>
      <c r="B50" s="261">
        <v>45</v>
      </c>
      <c r="C50" s="266" t="str">
        <f>VLOOKUP($B50,'3、工程合同'!$D:$AL,2,0)</f>
        <v>YRKJGC-170025</v>
      </c>
      <c r="D50" s="267" t="str">
        <f>VLOOKUP($B50,'3、工程合同'!$D:$AL,3,0)</f>
        <v>工程合同</v>
      </c>
      <c r="E50" s="267">
        <f>VLOOKUP($B50,'3、工程合同'!$D:$AL,4,0)</f>
        <v>2017050024</v>
      </c>
      <c r="F50" s="268">
        <f>VLOOKUP($B50,'3、工程合同'!$D:$AL,5,0)</f>
        <v>42875</v>
      </c>
      <c r="G50" s="269">
        <f>VLOOKUP($B50,'3、工程合同'!$D:$AL,6,0)</f>
        <v>7069424</v>
      </c>
      <c r="H50" s="269" t="str">
        <f>VLOOKUP($B50,'3、工程合同'!$D:$AL,7,0)</f>
        <v>方桩（15000米*322元/米）</v>
      </c>
      <c r="I50" s="269" t="str">
        <f>VLOOKUP($B50,'3、工程合同'!$D:$AL,8,0)</f>
        <v>泉州泰景方桩有限公司</v>
      </c>
      <c r="J50" s="290" t="str">
        <f>VLOOKUP($B50,'3、工程合同'!$D:$AL,9,0)</f>
        <v>环己酮装置、动力站装置、双氧水装置</v>
      </c>
      <c r="K50" s="291" t="str">
        <f>VLOOKUP($B50,'3、工程合同'!$D:$AL,10,0)</f>
        <v>承兑汇票</v>
      </c>
      <c r="L50" s="292" t="str">
        <f>VLOOKUP($B50,'3、工程合同'!$D:$AL,11,0)</f>
        <v>货到付款，每次供货5000米，验收合格，卖方提供发票给甲方后6个月的承兑汇票</v>
      </c>
      <c r="M50" s="293">
        <f>VLOOKUP($B50,'3、工程合同'!$D:$AL,12,0)</f>
        <v>7069424</v>
      </c>
      <c r="N50" s="293">
        <f>VLOOKUP($B50,'3、工程合同'!$D:$AL,13,0)</f>
        <v>7069424</v>
      </c>
      <c r="O50" s="290">
        <f>VLOOKUP($B50,'3、工程合同'!$D:$AL,14,0)</f>
        <v>0</v>
      </c>
      <c r="P50" s="293">
        <f>VLOOKUP($B50,'3、工程合同'!$D:$AL,15,0)</f>
        <v>0</v>
      </c>
      <c r="Q50" s="293">
        <f>VLOOKUP($B50,'3、工程合同'!$D:$AL,16,0)</f>
        <v>0</v>
      </c>
      <c r="R50" s="290">
        <f>VLOOKUP($B50,'3、工程合同'!$D:$AL,17,0)</f>
        <v>0</v>
      </c>
      <c r="S50" s="293">
        <f>VLOOKUP($B50,'3、工程合同'!$D:$AL,18,0)</f>
        <v>0</v>
      </c>
      <c r="T50" s="293">
        <f>VLOOKUP($B50,'3、工程合同'!$D:$AL,19,0)</f>
        <v>0</v>
      </c>
      <c r="U50" s="290">
        <f>VLOOKUP($B50,'3、工程合同'!$D:$AL,20,0)</f>
        <v>0</v>
      </c>
      <c r="V50" s="293">
        <f>VLOOKUP($B50,'3、工程合同'!$D:$AL,21,0)</f>
        <v>0</v>
      </c>
      <c r="W50" s="293">
        <f>VLOOKUP($B50,'3、工程合同'!$D:$AL,22,0)</f>
        <v>0</v>
      </c>
      <c r="X50" s="290">
        <f>VLOOKUP($B50,'3、工程合同'!$D:$AL,23,0)</f>
        <v>0</v>
      </c>
      <c r="Y50" s="293">
        <f>VLOOKUP($B50,'3、工程合同'!$D:$AL,24,0)</f>
        <v>0</v>
      </c>
      <c r="Z50" s="293">
        <f>VLOOKUP($B50,'3、工程合同'!$D:$AL,25,0)</f>
        <v>0</v>
      </c>
      <c r="AA50" s="290">
        <f>VLOOKUP($B50,'3、工程合同'!$D:$AL,26,0)</f>
        <v>0</v>
      </c>
      <c r="AB50" s="293">
        <f>VLOOKUP($B50,'3、工程合同'!$D:$AL,27,0)</f>
        <v>0</v>
      </c>
      <c r="AC50" s="293">
        <f>VLOOKUP($B50,'3、工程合同'!$D:$AL,28,0)</f>
        <v>0</v>
      </c>
      <c r="AD50" s="290">
        <f>VLOOKUP($B50,'3、工程合同'!$D:$AL,29,0)</f>
        <v>0</v>
      </c>
      <c r="AE50" s="293">
        <f>VLOOKUP($B50,'3、工程合同'!$D:$AL,30,0)</f>
        <v>0</v>
      </c>
      <c r="AF50" s="293">
        <f>VLOOKUP($B50,'3、工程合同'!$D:$AL,31,0)</f>
        <v>0</v>
      </c>
      <c r="AG50" s="293">
        <f>VLOOKUP($B50,'3、工程合同'!$D:$AL,32,0)</f>
        <v>0</v>
      </c>
      <c r="AH50" s="293">
        <f>VLOOKUP($B50,'3、工程合同'!$D:$AL,33,0)</f>
        <v>0</v>
      </c>
      <c r="AI50" s="312">
        <f>VLOOKUP($B50,'3、工程合同'!$D:$AL,34,0)</f>
        <v>0</v>
      </c>
      <c r="AJ50" s="309">
        <f t="shared" si="1"/>
        <v>7069424</v>
      </c>
      <c r="AK50" s="289">
        <f t="shared" si="2"/>
        <v>0</v>
      </c>
      <c r="AL50" s="310">
        <f t="shared" si="3"/>
        <v>1</v>
      </c>
      <c r="AM50" s="289">
        <f t="shared" si="4"/>
        <v>7069424</v>
      </c>
      <c r="AN50" s="311" t="str">
        <f t="shared" si="5"/>
        <v>数据正确</v>
      </c>
    </row>
    <row r="51" s="228" customFormat="1" customHeight="1" spans="1:40">
      <c r="A51" s="228" t="str">
        <f t="shared" si="12"/>
        <v>已完毕</v>
      </c>
      <c r="B51" s="256">
        <v>46</v>
      </c>
      <c r="C51" s="266" t="str">
        <f>VLOOKUP($B51,'3、工程合同'!$D:$AL,2,0)</f>
        <v>YRKJGC-170026</v>
      </c>
      <c r="D51" s="267" t="str">
        <f>VLOOKUP($B51,'3、工程合同'!$D:$AL,3,0)</f>
        <v>工程合同</v>
      </c>
      <c r="E51" s="267">
        <f>VLOOKUP($B51,'3、工程合同'!$D:$AL,4,0)</f>
        <v>2017050002</v>
      </c>
      <c r="F51" s="268">
        <f>VLOOKUP($B51,'3、工程合同'!$D:$AL,5,0)</f>
        <v>42876</v>
      </c>
      <c r="G51" s="269">
        <f>VLOOKUP($B51,'3、工程合同'!$D:$AL,6,0)</f>
        <v>79674</v>
      </c>
      <c r="H51" s="269" t="str">
        <f>VLOOKUP($B51,'3、工程合同'!$D:$AL,7,0)</f>
        <v>水泥砖（空心砖40000块*2.17元/块+标准砖4000块*0.28元/块）</v>
      </c>
      <c r="I51" s="269" t="str">
        <f>VLOOKUP($B51,'3、工程合同'!$D:$AL,8,0)</f>
        <v>莆田市秀屿区东庄荔锦水泥制砖场</v>
      </c>
      <c r="J51" s="290">
        <f>VLOOKUP($B51,'3、工程合同'!$D:$AL,9,0)</f>
        <v>0</v>
      </c>
      <c r="K51" s="291" t="str">
        <f>VLOOKUP($B51,'3、工程合同'!$D:$AL,10,0)</f>
        <v>电汇</v>
      </c>
      <c r="L51" s="292" t="str">
        <f>VLOOKUP($B51,'3、工程合同'!$D:$AL,11,0)</f>
        <v>货到交货地点且验收合格后收到乙方全额发票后支付100%货款</v>
      </c>
      <c r="M51" s="293">
        <f>VLOOKUP($B51,'3、工程合同'!$D:$AL,12,0)</f>
        <v>79674</v>
      </c>
      <c r="N51" s="293">
        <f>VLOOKUP($B51,'3、工程合同'!$D:$AL,13,0)</f>
        <v>79674</v>
      </c>
      <c r="O51" s="290">
        <f>VLOOKUP($B51,'3、工程合同'!$D:$AL,14,0)</f>
        <v>0</v>
      </c>
      <c r="P51" s="293">
        <f>VLOOKUP($B51,'3、工程合同'!$D:$AL,15,0)</f>
        <v>0</v>
      </c>
      <c r="Q51" s="293">
        <f>VLOOKUP($B51,'3、工程合同'!$D:$AL,16,0)</f>
        <v>0</v>
      </c>
      <c r="R51" s="290">
        <f>VLOOKUP($B51,'3、工程合同'!$D:$AL,17,0)</f>
        <v>0</v>
      </c>
      <c r="S51" s="293">
        <f>VLOOKUP($B51,'3、工程合同'!$D:$AL,18,0)</f>
        <v>0</v>
      </c>
      <c r="T51" s="293">
        <f>VLOOKUP($B51,'3、工程合同'!$D:$AL,19,0)</f>
        <v>0</v>
      </c>
      <c r="U51" s="290">
        <f>VLOOKUP($B51,'3、工程合同'!$D:$AL,20,0)</f>
        <v>0</v>
      </c>
      <c r="V51" s="293">
        <f>VLOOKUP($B51,'3、工程合同'!$D:$AL,21,0)</f>
        <v>0</v>
      </c>
      <c r="W51" s="293">
        <f>VLOOKUP($B51,'3、工程合同'!$D:$AL,22,0)</f>
        <v>0</v>
      </c>
      <c r="X51" s="290">
        <f>VLOOKUP($B51,'3、工程合同'!$D:$AL,23,0)</f>
        <v>0</v>
      </c>
      <c r="Y51" s="293">
        <f>VLOOKUP($B51,'3、工程合同'!$D:$AL,24,0)</f>
        <v>0</v>
      </c>
      <c r="Z51" s="293">
        <f>VLOOKUP($B51,'3、工程合同'!$D:$AL,25,0)</f>
        <v>0</v>
      </c>
      <c r="AA51" s="290">
        <f>VLOOKUP($B51,'3、工程合同'!$D:$AL,26,0)</f>
        <v>0</v>
      </c>
      <c r="AB51" s="293">
        <f>VLOOKUP($B51,'3、工程合同'!$D:$AL,27,0)</f>
        <v>0</v>
      </c>
      <c r="AC51" s="293">
        <f>VLOOKUP($B51,'3、工程合同'!$D:$AL,28,0)</f>
        <v>0</v>
      </c>
      <c r="AD51" s="290">
        <f>VLOOKUP($B51,'3、工程合同'!$D:$AL,29,0)</f>
        <v>0</v>
      </c>
      <c r="AE51" s="293">
        <f>VLOOKUP($B51,'3、工程合同'!$D:$AL,30,0)</f>
        <v>0</v>
      </c>
      <c r="AF51" s="293">
        <f>VLOOKUP($B51,'3、工程合同'!$D:$AL,31,0)</f>
        <v>0</v>
      </c>
      <c r="AG51" s="293">
        <f>VLOOKUP($B51,'3、工程合同'!$D:$AL,32,0)</f>
        <v>0</v>
      </c>
      <c r="AH51" s="293">
        <f>VLOOKUP($B51,'3、工程合同'!$D:$AL,33,0)</f>
        <v>0</v>
      </c>
      <c r="AI51" s="312">
        <f>VLOOKUP($B51,'3、工程合同'!$D:$AL,34,0)</f>
        <v>0</v>
      </c>
      <c r="AJ51" s="309">
        <f t="shared" si="1"/>
        <v>79674</v>
      </c>
      <c r="AK51" s="289">
        <f t="shared" si="2"/>
        <v>0</v>
      </c>
      <c r="AL51" s="310">
        <f t="shared" si="3"/>
        <v>1</v>
      </c>
      <c r="AM51" s="289">
        <f t="shared" si="4"/>
        <v>79674</v>
      </c>
      <c r="AN51" s="311" t="str">
        <f t="shared" si="5"/>
        <v>数据正确</v>
      </c>
    </row>
    <row r="52" s="228" customFormat="1" customHeight="1" spans="1:40">
      <c r="A52" s="228" t="str">
        <f t="shared" si="12"/>
        <v/>
      </c>
      <c r="B52" s="261">
        <v>47</v>
      </c>
      <c r="C52" s="266" t="str">
        <f>VLOOKUP($B52,'4、其他合同'!$D:$AK,2,0)</f>
        <v>YRKJXZ-170001</v>
      </c>
      <c r="D52" s="267" t="s">
        <v>25</v>
      </c>
      <c r="E52" s="267" t="str">
        <f>VLOOKUP($B52,'4、其他合同'!$D:$AK,4,0)</f>
        <v>-</v>
      </c>
      <c r="F52" s="268">
        <f>VLOOKUP($B52,'4、其他合同'!$D:$AK,5,0)</f>
        <v>42758</v>
      </c>
      <c r="G52" s="269">
        <f>VLOOKUP($B52,'4、其他合同'!$D:$AK,6,0)</f>
        <v>163300</v>
      </c>
      <c r="H52" s="269" t="str">
        <f>VLOOKUP($B52,'4、其他合同'!$D:$AK,7,0)</f>
        <v>三修车间办公家具</v>
      </c>
      <c r="I52" s="269" t="str">
        <f>VLOOKUP($B52,'4、其他合同'!$D:$AK,8,0)</f>
        <v>福州市仓山区恒通日用品经营部</v>
      </c>
      <c r="J52" s="290">
        <f>VLOOKUP($B52,'4、其他合同'!$D:$AK,9,0)</f>
        <v>0</v>
      </c>
      <c r="K52" s="291" t="str">
        <f>VLOOKUP($B52,'4、其他合同'!$D:$AK,10,0)</f>
        <v>6个月承兑汇票</v>
      </c>
      <c r="L52" s="292" t="str">
        <f>VLOOKUP($B52,'4、其他合同'!$D:$AK,11,0)</f>
        <v>货到交货地点验收合格后，收到100%专票17%后支付95%</v>
      </c>
      <c r="M52" s="293">
        <f>VLOOKUP($B52,'4、其他合同'!$D:$AK,12,0)</f>
        <v>155135</v>
      </c>
      <c r="N52" s="293">
        <f>VLOOKUP($B52,'4、其他合同'!$D:$AK,13,0)</f>
        <v>155135</v>
      </c>
      <c r="O52" s="290" t="str">
        <f>VLOOKUP($B52,'4、其他合同'!$D:$AK,14,0)</f>
        <v>质量保证金5%</v>
      </c>
      <c r="P52" s="293">
        <f>VLOOKUP($B52,'4、其他合同'!$D:$AK,15,0)</f>
        <v>8165</v>
      </c>
      <c r="Q52" s="293">
        <f>VLOOKUP($B52,'4、其他合同'!$D:$AK,16,0)</f>
        <v>0</v>
      </c>
      <c r="R52" s="290">
        <f>VLOOKUP($B52,'4、其他合同'!$D:$AK,17,0)</f>
        <v>0</v>
      </c>
      <c r="S52" s="293">
        <f>VLOOKUP($B52,'4、其他合同'!$D:$AK,18,0)</f>
        <v>0</v>
      </c>
      <c r="T52" s="293">
        <f>VLOOKUP($B52,'4、其他合同'!$D:$AK,19,0)</f>
        <v>0</v>
      </c>
      <c r="U52" s="290">
        <f>VLOOKUP($B52,'4、其他合同'!$D:$AK,20,0)</f>
        <v>0</v>
      </c>
      <c r="V52" s="293">
        <f>VLOOKUP($B52,'4、其他合同'!$D:$AK,21,0)</f>
        <v>0</v>
      </c>
      <c r="W52" s="293">
        <f>VLOOKUP($B52,'4、其他合同'!$D:$AK,22,0)</f>
        <v>0</v>
      </c>
      <c r="X52" s="290">
        <f>VLOOKUP($B52,'4、其他合同'!$D:$AK,23,0)</f>
        <v>0</v>
      </c>
      <c r="Y52" s="293">
        <f>VLOOKUP($B52,'4、其他合同'!$D:$AK,24,0)</f>
        <v>0</v>
      </c>
      <c r="Z52" s="293">
        <f>VLOOKUP($B52,'4、其他合同'!$D:$AK,25,0)</f>
        <v>0</v>
      </c>
      <c r="AA52" s="290">
        <f>VLOOKUP($B52,'4、其他合同'!$D:$AK,26,0)</f>
        <v>0</v>
      </c>
      <c r="AB52" s="293">
        <f>VLOOKUP($B52,'4、其他合同'!$D:$AK,27,0)</f>
        <v>0</v>
      </c>
      <c r="AC52" s="293">
        <f>VLOOKUP($B52,'4、其他合同'!$D:$AK,28,0)</f>
        <v>0</v>
      </c>
      <c r="AD52" s="290">
        <f>VLOOKUP($B52,'4、其他合同'!$D:$AK,29,0)</f>
        <v>0</v>
      </c>
      <c r="AE52" s="293">
        <f>VLOOKUP($B52,'4、其他合同'!$D:$AK,30,0)</f>
        <v>0</v>
      </c>
      <c r="AF52" s="293">
        <f>VLOOKUP($B52,'4、其他合同'!$D:$AK,31,0)</f>
        <v>0</v>
      </c>
      <c r="AG52" s="293">
        <f>VLOOKUP($B52,'4、其他合同'!$D:$AK,32,0)</f>
        <v>0</v>
      </c>
      <c r="AH52" s="293">
        <f>VLOOKUP($B52,'4、其他合同'!$D:$AK,33,0)</f>
        <v>0</v>
      </c>
      <c r="AI52" s="312">
        <f>VLOOKUP($B52,'4、其他合同'!$D:$AK,34,0)</f>
        <v>0</v>
      </c>
      <c r="AJ52" s="309">
        <f t="shared" ref="AJ52:AJ65" si="13">N52+Q52+T52+W52+Z52+AC52+AF52+AI52</f>
        <v>155135</v>
      </c>
      <c r="AK52" s="289">
        <f t="shared" ref="AK52:AK65" si="14">G52-AJ52</f>
        <v>8165</v>
      </c>
      <c r="AL52" s="310">
        <f t="shared" ref="AL52:AL65" si="15">AJ52/G52</f>
        <v>0.95</v>
      </c>
      <c r="AM52" s="289">
        <f t="shared" ref="AM52:AM65" si="16">M52+P52+S52+V52+Y52+AB52+AE52+AH52</f>
        <v>163300</v>
      </c>
      <c r="AN52" s="311" t="str">
        <f t="shared" ref="AN52:AN65" si="17">IF(AM52-G52=0,"数据正确","数据错误")</f>
        <v>数据正确</v>
      </c>
    </row>
    <row r="53" s="228" customFormat="1" customHeight="1" spans="1:40">
      <c r="A53" s="228" t="str">
        <f t="shared" si="12"/>
        <v/>
      </c>
      <c r="B53" s="261">
        <v>48</v>
      </c>
      <c r="C53" s="266" t="str">
        <f>VLOOKUP($B53,'4、其他合同'!$D:$AK,2,0)</f>
        <v>YRKJXZ-170002</v>
      </c>
      <c r="D53" s="267" t="s">
        <v>25</v>
      </c>
      <c r="E53" s="267" t="str">
        <f>VLOOKUP($B53,'4、其他合同'!$D:$AK,4,0)</f>
        <v>-</v>
      </c>
      <c r="F53" s="268">
        <f>VLOOKUP($B53,'4、其他合同'!$D:$AK,5,0)</f>
        <v>42769</v>
      </c>
      <c r="G53" s="269">
        <f>VLOOKUP($B53,'4、其他合同'!$D:$AK,6,0)</f>
        <v>63600</v>
      </c>
      <c r="H53" s="269" t="str">
        <f>VLOOKUP($B53,'4、其他合同'!$D:$AK,7,0)</f>
        <v>专项法律顾问服务</v>
      </c>
      <c r="I53" s="269" t="str">
        <f>VLOOKUP($B53,'4、其他合同'!$D:$AK,8,0)</f>
        <v>福建天衡联合（福州）律师事务所</v>
      </c>
      <c r="J53" s="290">
        <f>VLOOKUP($B53,'4、其他合同'!$D:$AK,9,0)</f>
        <v>0</v>
      </c>
      <c r="K53" s="291" t="str">
        <f>VLOOKUP($B53,'4、其他合同'!$D:$AK,10,0)</f>
        <v>电汇</v>
      </c>
      <c r="L53" s="292" t="str">
        <f>VLOOKUP($B53,'4、其他合同'!$D:$AK,11,0)</f>
        <v>乙方提供增值税发票，合同签订5个工作日之内支付50%</v>
      </c>
      <c r="M53" s="293">
        <f>VLOOKUP($B53,'4、其他合同'!$D:$AK,12,0)</f>
        <v>31800</v>
      </c>
      <c r="N53" s="293">
        <f>VLOOKUP($B53,'4、其他合同'!$D:$AK,13,0)</f>
        <v>0</v>
      </c>
      <c r="O53" s="290" t="str">
        <f>VLOOKUP($B53,'4、其他合同'!$D:$AK,14,0)</f>
        <v>乙方提交尽职报告之日5个工作日内支付剩余的50%</v>
      </c>
      <c r="P53" s="293">
        <f>VLOOKUP($B53,'4、其他合同'!$D:$AK,15,0)</f>
        <v>31800</v>
      </c>
      <c r="Q53" s="293">
        <f>VLOOKUP($B53,'4、其他合同'!$D:$AK,16,0)</f>
        <v>0</v>
      </c>
      <c r="R53" s="290">
        <f>VLOOKUP($B53,'4、其他合同'!$D:$AK,17,0)</f>
        <v>0</v>
      </c>
      <c r="S53" s="293">
        <f>VLOOKUP($B53,'4、其他合同'!$D:$AK,18,0)</f>
        <v>0</v>
      </c>
      <c r="T53" s="293">
        <f>VLOOKUP($B53,'4、其他合同'!$D:$AK,19,0)</f>
        <v>0</v>
      </c>
      <c r="U53" s="290">
        <f>VLOOKUP($B53,'4、其他合同'!$D:$AK,20,0)</f>
        <v>0</v>
      </c>
      <c r="V53" s="293">
        <f>VLOOKUP($B53,'4、其他合同'!$D:$AK,21,0)</f>
        <v>0</v>
      </c>
      <c r="W53" s="293">
        <f>VLOOKUP($B53,'4、其他合同'!$D:$AK,22,0)</f>
        <v>0</v>
      </c>
      <c r="X53" s="290">
        <f>VLOOKUP($B53,'4、其他合同'!$D:$AK,23,0)</f>
        <v>0</v>
      </c>
      <c r="Y53" s="293">
        <f>VLOOKUP($B53,'4、其他合同'!$D:$AK,24,0)</f>
        <v>0</v>
      </c>
      <c r="Z53" s="293">
        <f>VLOOKUP($B53,'4、其他合同'!$D:$AK,25,0)</f>
        <v>0</v>
      </c>
      <c r="AA53" s="290">
        <f>VLOOKUP($B53,'4、其他合同'!$D:$AK,26,0)</f>
        <v>0</v>
      </c>
      <c r="AB53" s="293">
        <f>VLOOKUP($B53,'4、其他合同'!$D:$AK,27,0)</f>
        <v>0</v>
      </c>
      <c r="AC53" s="293">
        <f>VLOOKUP($B53,'4、其他合同'!$D:$AK,28,0)</f>
        <v>0</v>
      </c>
      <c r="AD53" s="290">
        <f>VLOOKUP($B53,'4、其他合同'!$D:$AK,29,0)</f>
        <v>0</v>
      </c>
      <c r="AE53" s="293">
        <f>VLOOKUP($B53,'4、其他合同'!$D:$AK,30,0)</f>
        <v>0</v>
      </c>
      <c r="AF53" s="293">
        <f>VLOOKUP($B53,'4、其他合同'!$D:$AK,31,0)</f>
        <v>0</v>
      </c>
      <c r="AG53" s="293">
        <f>VLOOKUP($B53,'4、其他合同'!$D:$AK,32,0)</f>
        <v>0</v>
      </c>
      <c r="AH53" s="293">
        <f>VLOOKUP($B53,'4、其他合同'!$D:$AK,33,0)</f>
        <v>0</v>
      </c>
      <c r="AI53" s="312">
        <f>VLOOKUP($B53,'4、其他合同'!$D:$AK,34,0)</f>
        <v>0</v>
      </c>
      <c r="AJ53" s="309">
        <f t="shared" si="13"/>
        <v>0</v>
      </c>
      <c r="AK53" s="289">
        <f t="shared" si="14"/>
        <v>63600</v>
      </c>
      <c r="AL53" s="310">
        <f t="shared" si="15"/>
        <v>0</v>
      </c>
      <c r="AM53" s="289">
        <f t="shared" si="16"/>
        <v>63600</v>
      </c>
      <c r="AN53" s="311" t="str">
        <f t="shared" si="17"/>
        <v>数据正确</v>
      </c>
    </row>
    <row r="54" s="228" customFormat="1" customHeight="1" spans="1:40">
      <c r="A54" s="228" t="str">
        <f t="shared" si="12"/>
        <v/>
      </c>
      <c r="B54" s="256">
        <v>49</v>
      </c>
      <c r="C54" s="266" t="str">
        <f>VLOOKUP($B54,'4、其他合同'!$D:$AK,2,0)</f>
        <v>YRKJXZ-170003</v>
      </c>
      <c r="D54" s="267" t="s">
        <v>25</v>
      </c>
      <c r="E54" s="267">
        <f>VLOOKUP($B54,'4、其他合同'!$D:$AK,4,0)</f>
        <v>2017020055</v>
      </c>
      <c r="F54" s="268">
        <f>VLOOKUP($B54,'4、其他合同'!$D:$AK,5,0)</f>
        <v>42815</v>
      </c>
      <c r="G54" s="269">
        <f>VLOOKUP($B54,'4、其他合同'!$D:$AK,6,0)</f>
        <v>37100</v>
      </c>
      <c r="H54" s="269" t="str">
        <f>VLOOKUP($B54,'4、其他合同'!$D:$AK,7,0)</f>
        <v>增补三修车间办公家具</v>
      </c>
      <c r="I54" s="269" t="str">
        <f>VLOOKUP($B54,'4、其他合同'!$D:$AK,8,0)</f>
        <v>福州市仓山区恒通日用品经营部 </v>
      </c>
      <c r="J54" s="290">
        <f>VLOOKUP($B54,'4、其他合同'!$D:$AK,9,0)</f>
        <v>0</v>
      </c>
      <c r="K54" s="291" t="str">
        <f>VLOOKUP($B54,'4、其他合同'!$D:$AK,10,0)</f>
        <v>电汇</v>
      </c>
      <c r="L54" s="292" t="str">
        <f>VLOOKUP($B54,'4、其他合同'!$D:$AK,11,0)</f>
        <v>货到交货地点验收合格后，收到100%专票17%后支付95%</v>
      </c>
      <c r="M54" s="293">
        <f>VLOOKUP($B54,'4、其他合同'!$D:$AK,12,0)</f>
        <v>35245</v>
      </c>
      <c r="N54" s="293">
        <f>VLOOKUP($B54,'4、其他合同'!$D:$AK,13,0)</f>
        <v>35245</v>
      </c>
      <c r="O54" s="290" t="str">
        <f>VLOOKUP($B54,'4、其他合同'!$D:$AK,14,0)</f>
        <v>质量保证金5%</v>
      </c>
      <c r="P54" s="293">
        <f>VLOOKUP($B54,'4、其他合同'!$D:$AK,15,0)</f>
        <v>1855</v>
      </c>
      <c r="Q54" s="293">
        <f>VLOOKUP($B54,'4、其他合同'!$D:$AK,16,0)</f>
        <v>0</v>
      </c>
      <c r="R54" s="290">
        <f>VLOOKUP($B54,'4、其他合同'!$D:$AK,17,0)</f>
        <v>0</v>
      </c>
      <c r="S54" s="293">
        <f>VLOOKUP($B54,'4、其他合同'!$D:$AK,18,0)</f>
        <v>0</v>
      </c>
      <c r="T54" s="293">
        <f>VLOOKUP($B54,'4、其他合同'!$D:$AK,19,0)</f>
        <v>0</v>
      </c>
      <c r="U54" s="290">
        <f>VLOOKUP($B54,'4、其他合同'!$D:$AK,20,0)</f>
        <v>0</v>
      </c>
      <c r="V54" s="293">
        <f>VLOOKUP($B54,'4、其他合同'!$D:$AK,21,0)</f>
        <v>0</v>
      </c>
      <c r="W54" s="293">
        <f>VLOOKUP($B54,'4、其他合同'!$D:$AK,22,0)</f>
        <v>0</v>
      </c>
      <c r="X54" s="290">
        <f>VLOOKUP($B54,'4、其他合同'!$D:$AK,23,0)</f>
        <v>0</v>
      </c>
      <c r="Y54" s="293">
        <f>VLOOKUP($B54,'4、其他合同'!$D:$AK,24,0)</f>
        <v>0</v>
      </c>
      <c r="Z54" s="293">
        <f>VLOOKUP($B54,'4、其他合同'!$D:$AK,25,0)</f>
        <v>0</v>
      </c>
      <c r="AA54" s="290">
        <f>VLOOKUP($B54,'4、其他合同'!$D:$AK,26,0)</f>
        <v>0</v>
      </c>
      <c r="AB54" s="293">
        <f>VLOOKUP($B54,'4、其他合同'!$D:$AK,27,0)</f>
        <v>0</v>
      </c>
      <c r="AC54" s="293">
        <f>VLOOKUP($B54,'4、其他合同'!$D:$AK,28,0)</f>
        <v>0</v>
      </c>
      <c r="AD54" s="290">
        <f>VLOOKUP($B54,'4、其他合同'!$D:$AK,29,0)</f>
        <v>0</v>
      </c>
      <c r="AE54" s="293">
        <f>VLOOKUP($B54,'4、其他合同'!$D:$AK,30,0)</f>
        <v>0</v>
      </c>
      <c r="AF54" s="293">
        <f>VLOOKUP($B54,'4、其他合同'!$D:$AK,31,0)</f>
        <v>0</v>
      </c>
      <c r="AG54" s="293">
        <f>VLOOKUP($B54,'4、其他合同'!$D:$AK,32,0)</f>
        <v>0</v>
      </c>
      <c r="AH54" s="293">
        <f>VLOOKUP($B54,'4、其他合同'!$D:$AK,33,0)</f>
        <v>0</v>
      </c>
      <c r="AI54" s="312">
        <f>VLOOKUP($B54,'4、其他合同'!$D:$AK,34,0)</f>
        <v>0</v>
      </c>
      <c r="AJ54" s="309">
        <f t="shared" si="13"/>
        <v>35245</v>
      </c>
      <c r="AK54" s="289">
        <f t="shared" si="14"/>
        <v>1855</v>
      </c>
      <c r="AL54" s="310">
        <f t="shared" si="15"/>
        <v>0.95</v>
      </c>
      <c r="AM54" s="289">
        <f t="shared" si="16"/>
        <v>37100</v>
      </c>
      <c r="AN54" s="311" t="str">
        <f t="shared" si="17"/>
        <v>数据正确</v>
      </c>
    </row>
    <row r="55" s="228" customFormat="1" customHeight="1" spans="1:40">
      <c r="A55" s="228" t="str">
        <f t="shared" si="12"/>
        <v>已完毕</v>
      </c>
      <c r="B55" s="261">
        <v>50</v>
      </c>
      <c r="C55" s="266" t="str">
        <f>VLOOKUP($B55,'4、其他合同'!$D:$AK,2,0)</f>
        <v>YRKJXZ-170004</v>
      </c>
      <c r="D55" s="267" t="s">
        <v>25</v>
      </c>
      <c r="E55" s="267">
        <f>VLOOKUP($B55,'4、其他合同'!$D:$AK,4,0)</f>
        <v>2017030009</v>
      </c>
      <c r="F55" s="268">
        <f>VLOOKUP($B55,'4、其他合同'!$D:$AK,5,0)</f>
        <v>42830</v>
      </c>
      <c r="G55" s="269">
        <f>VLOOKUP($B55,'4、其他合同'!$D:$AK,6,0)</f>
        <v>23520</v>
      </c>
      <c r="H55" s="269" t="str">
        <f>VLOOKUP($B55,'4、其他合同'!$D:$AK,7,0)</f>
        <v>8台扬天台式电脑</v>
      </c>
      <c r="I55" s="269" t="str">
        <f>VLOOKUP($B55,'4、其他合同'!$D:$AK,8,0)</f>
        <v>福建聚众科技有限公司</v>
      </c>
      <c r="J55" s="290">
        <f>VLOOKUP($B55,'4、其他合同'!$D:$AK,9,0)</f>
        <v>0</v>
      </c>
      <c r="K55" s="291" t="str">
        <f>VLOOKUP($B55,'4、其他合同'!$D:$AK,10,0)</f>
        <v>承兑汇票</v>
      </c>
      <c r="L55" s="292" t="str">
        <f>VLOOKUP($B55,'4、其他合同'!$D:$AK,11,0)</f>
        <v>货到交货地点验收合格后，支付100%货款，乙方不接受反向贴息</v>
      </c>
      <c r="M55" s="293">
        <f>VLOOKUP($B55,'4、其他合同'!$D:$AK,12,0)</f>
        <v>23520</v>
      </c>
      <c r="N55" s="293">
        <f>VLOOKUP($B55,'4、其他合同'!$D:$AK,13,0)</f>
        <v>23520</v>
      </c>
      <c r="O55" s="290">
        <f>VLOOKUP($B55,'4、其他合同'!$D:$AK,14,0)</f>
        <v>0</v>
      </c>
      <c r="P55" s="293">
        <f>VLOOKUP($B55,'4、其他合同'!$D:$AK,15,0)</f>
        <v>0</v>
      </c>
      <c r="Q55" s="293">
        <f>VLOOKUP($B55,'4、其他合同'!$D:$AK,16,0)</f>
        <v>0</v>
      </c>
      <c r="R55" s="290">
        <f>VLOOKUP($B55,'4、其他合同'!$D:$AK,17,0)</f>
        <v>0</v>
      </c>
      <c r="S55" s="293">
        <f>VLOOKUP($B55,'4、其他合同'!$D:$AK,18,0)</f>
        <v>0</v>
      </c>
      <c r="T55" s="293">
        <f>VLOOKUP($B55,'4、其他合同'!$D:$AK,19,0)</f>
        <v>0</v>
      </c>
      <c r="U55" s="290">
        <f>VLOOKUP($B55,'4、其他合同'!$D:$AK,20,0)</f>
        <v>0</v>
      </c>
      <c r="V55" s="293">
        <f>VLOOKUP($B55,'4、其他合同'!$D:$AK,21,0)</f>
        <v>0</v>
      </c>
      <c r="W55" s="293">
        <f>VLOOKUP($B55,'4、其他合同'!$D:$AK,22,0)</f>
        <v>0</v>
      </c>
      <c r="X55" s="290">
        <f>VLOOKUP($B55,'4、其他合同'!$D:$AK,23,0)</f>
        <v>0</v>
      </c>
      <c r="Y55" s="293">
        <f>VLOOKUP($B55,'4、其他合同'!$D:$AK,24,0)</f>
        <v>0</v>
      </c>
      <c r="Z55" s="293">
        <f>VLOOKUP($B55,'4、其他合同'!$D:$AK,25,0)</f>
        <v>0</v>
      </c>
      <c r="AA55" s="290">
        <f>VLOOKUP($B55,'4、其他合同'!$D:$AK,26,0)</f>
        <v>0</v>
      </c>
      <c r="AB55" s="293">
        <f>VLOOKUP($B55,'4、其他合同'!$D:$AK,27,0)</f>
        <v>0</v>
      </c>
      <c r="AC55" s="293">
        <f>VLOOKUP($B55,'4、其他合同'!$D:$AK,28,0)</f>
        <v>0</v>
      </c>
      <c r="AD55" s="290">
        <f>VLOOKUP($B55,'4、其他合同'!$D:$AK,29,0)</f>
        <v>0</v>
      </c>
      <c r="AE55" s="293">
        <f>VLOOKUP($B55,'4、其他合同'!$D:$AK,30,0)</f>
        <v>0</v>
      </c>
      <c r="AF55" s="293">
        <f>VLOOKUP($B55,'4、其他合同'!$D:$AK,31,0)</f>
        <v>0</v>
      </c>
      <c r="AG55" s="293">
        <f>VLOOKUP($B55,'4、其他合同'!$D:$AK,32,0)</f>
        <v>0</v>
      </c>
      <c r="AH55" s="293">
        <f>VLOOKUP($B55,'4、其他合同'!$D:$AK,33,0)</f>
        <v>0</v>
      </c>
      <c r="AI55" s="312">
        <f>VLOOKUP($B55,'4、其他合同'!$D:$AK,34,0)</f>
        <v>0</v>
      </c>
      <c r="AJ55" s="309">
        <f t="shared" si="13"/>
        <v>23520</v>
      </c>
      <c r="AK55" s="289">
        <f t="shared" si="14"/>
        <v>0</v>
      </c>
      <c r="AL55" s="310">
        <f t="shared" si="15"/>
        <v>1</v>
      </c>
      <c r="AM55" s="289">
        <f t="shared" si="16"/>
        <v>23520</v>
      </c>
      <c r="AN55" s="311" t="str">
        <f t="shared" si="17"/>
        <v>数据正确</v>
      </c>
    </row>
    <row r="56" s="228" customFormat="1" customHeight="1" spans="1:40">
      <c r="A56" s="228" t="str">
        <f t="shared" si="12"/>
        <v>已完毕</v>
      </c>
      <c r="B56" s="261">
        <v>51</v>
      </c>
      <c r="C56" s="266" t="str">
        <f>VLOOKUP($B56,'4、其他合同'!$D:$AK,2,0)</f>
        <v>YRKJXZ-170005</v>
      </c>
      <c r="D56" s="267" t="s">
        <v>25</v>
      </c>
      <c r="E56" s="267">
        <f>VLOOKUP($B56,'4、其他合同'!$D:$AK,4,0)</f>
        <v>2017040026</v>
      </c>
      <c r="F56" s="268">
        <f>VLOOKUP($B56,'4、其他合同'!$D:$AK,5,0)</f>
        <v>42839</v>
      </c>
      <c r="G56" s="269">
        <f>VLOOKUP($B56,'4、其他合同'!$D:$AK,6,0)</f>
        <v>77690</v>
      </c>
      <c r="H56" s="269" t="str">
        <f>VLOOKUP($B56,'4、其他合同'!$D:$AK,7,0)</f>
        <v>14台扬天台式电脑和1台戴尔电脑</v>
      </c>
      <c r="I56" s="269" t="str">
        <f>VLOOKUP($B56,'4、其他合同'!$D:$AK,8,0)</f>
        <v>福建聚众科技有限公司</v>
      </c>
      <c r="J56" s="290">
        <f>VLOOKUP($B56,'4、其他合同'!$D:$AK,9,0)</f>
        <v>0</v>
      </c>
      <c r="K56" s="291" t="str">
        <f>VLOOKUP($B56,'4、其他合同'!$D:$AK,10,0)</f>
        <v>承兑汇票</v>
      </c>
      <c r="L56" s="292" t="str">
        <f>VLOOKUP($B56,'4、其他合同'!$D:$AK,11,0)</f>
        <v>货到交货地点验收合格后，支付100%货款，乙方不接受反向贴息</v>
      </c>
      <c r="M56" s="293">
        <f>VLOOKUP($B56,'4、其他合同'!$D:$AK,12,0)</f>
        <v>77690</v>
      </c>
      <c r="N56" s="293">
        <f>VLOOKUP($B56,'4、其他合同'!$D:$AK,13,0)</f>
        <v>77690</v>
      </c>
      <c r="O56" s="290">
        <f>VLOOKUP($B56,'4、其他合同'!$D:$AK,14,0)</f>
        <v>0</v>
      </c>
      <c r="P56" s="293">
        <f>VLOOKUP($B56,'4、其他合同'!$D:$AK,15,0)</f>
        <v>0</v>
      </c>
      <c r="Q56" s="293">
        <f>VLOOKUP($B56,'4、其他合同'!$D:$AK,16,0)</f>
        <v>0</v>
      </c>
      <c r="R56" s="290">
        <f>VLOOKUP($B56,'4、其他合同'!$D:$AK,17,0)</f>
        <v>0</v>
      </c>
      <c r="S56" s="293">
        <f>VLOOKUP($B56,'4、其他合同'!$D:$AK,18,0)</f>
        <v>0</v>
      </c>
      <c r="T56" s="293">
        <f>VLOOKUP($B56,'4、其他合同'!$D:$AK,19,0)</f>
        <v>0</v>
      </c>
      <c r="U56" s="290">
        <f>VLOOKUP($B56,'4、其他合同'!$D:$AK,20,0)</f>
        <v>0</v>
      </c>
      <c r="V56" s="293">
        <f>VLOOKUP($B56,'4、其他合同'!$D:$AK,21,0)</f>
        <v>0</v>
      </c>
      <c r="W56" s="293">
        <f>VLOOKUP($B56,'4、其他合同'!$D:$AK,22,0)</f>
        <v>0</v>
      </c>
      <c r="X56" s="290">
        <f>VLOOKUP($B56,'4、其他合同'!$D:$AK,23,0)</f>
        <v>0</v>
      </c>
      <c r="Y56" s="293">
        <f>VLOOKUP($B56,'4、其他合同'!$D:$AK,24,0)</f>
        <v>0</v>
      </c>
      <c r="Z56" s="293">
        <f>VLOOKUP($B56,'4、其他合同'!$D:$AK,25,0)</f>
        <v>0</v>
      </c>
      <c r="AA56" s="290">
        <f>VLOOKUP($B56,'4、其他合同'!$D:$AK,26,0)</f>
        <v>0</v>
      </c>
      <c r="AB56" s="293">
        <f>VLOOKUP($B56,'4、其他合同'!$D:$AK,27,0)</f>
        <v>0</v>
      </c>
      <c r="AC56" s="293">
        <f>VLOOKUP($B56,'4、其他合同'!$D:$AK,28,0)</f>
        <v>0</v>
      </c>
      <c r="AD56" s="290">
        <f>VLOOKUP($B56,'4、其他合同'!$D:$AK,29,0)</f>
        <v>0</v>
      </c>
      <c r="AE56" s="293">
        <f>VLOOKUP($B56,'4、其他合同'!$D:$AK,30,0)</f>
        <v>0</v>
      </c>
      <c r="AF56" s="293">
        <f>VLOOKUP($B56,'4、其他合同'!$D:$AK,31,0)</f>
        <v>0</v>
      </c>
      <c r="AG56" s="293">
        <f>VLOOKUP($B56,'4、其他合同'!$D:$AK,32,0)</f>
        <v>0</v>
      </c>
      <c r="AH56" s="293">
        <f>VLOOKUP($B56,'4、其他合同'!$D:$AK,33,0)</f>
        <v>0</v>
      </c>
      <c r="AI56" s="312">
        <f>VLOOKUP($B56,'4、其他合同'!$D:$AK,34,0)</f>
        <v>0</v>
      </c>
      <c r="AJ56" s="309">
        <f t="shared" si="13"/>
        <v>77690</v>
      </c>
      <c r="AK56" s="289">
        <f t="shared" si="14"/>
        <v>0</v>
      </c>
      <c r="AL56" s="310">
        <f t="shared" si="15"/>
        <v>1</v>
      </c>
      <c r="AM56" s="289">
        <f t="shared" si="16"/>
        <v>77690</v>
      </c>
      <c r="AN56" s="311" t="str">
        <f t="shared" si="17"/>
        <v>数据正确</v>
      </c>
    </row>
    <row r="57" s="228" customFormat="1" customHeight="1" spans="1:40">
      <c r="A57" s="228" t="str">
        <f t="shared" si="12"/>
        <v>已完毕</v>
      </c>
      <c r="B57" s="256">
        <v>52</v>
      </c>
      <c r="C57" s="266" t="str">
        <f>VLOOKUP($B57,'4、其他合同'!$D:$AK,2,0)</f>
        <v>YRKJXZ-170006</v>
      </c>
      <c r="D57" s="267" t="s">
        <v>25</v>
      </c>
      <c r="E57" s="267" t="str">
        <f>VLOOKUP($B57,'4、其他合同'!$D:$AK,4,0)</f>
        <v>-</v>
      </c>
      <c r="F57" s="268">
        <f>VLOOKUP($B57,'4、其他合同'!$D:$AK,5,0)</f>
        <v>42845</v>
      </c>
      <c r="G57" s="269">
        <f>VLOOKUP($B57,'4、其他合同'!$D:$AK,6,0)</f>
        <v>87600</v>
      </c>
      <c r="H57" s="269" t="str">
        <f>VLOOKUP($B57,'4、其他合同'!$D:$AK,7,0)</f>
        <v>2017年夏季工作服600套*146元/套</v>
      </c>
      <c r="I57" s="269" t="str">
        <f>VLOOKUP($B57,'4、其他合同'!$D:$AK,8,0)</f>
        <v>才子服饰股份有限公司</v>
      </c>
      <c r="J57" s="290">
        <f>VLOOKUP($B57,'4、其他合同'!$D:$AK,9,0)</f>
        <v>0</v>
      </c>
      <c r="K57" s="291" t="str">
        <f>VLOOKUP($B57,'4、其他合同'!$D:$AK,10,0)</f>
        <v>承兑汇票</v>
      </c>
      <c r="L57" s="292" t="str">
        <f>VLOOKUP($B57,'4、其他合同'!$D:$AK,11,0)</f>
        <v>货到交货点验收合格后支付100%货款</v>
      </c>
      <c r="M57" s="293">
        <f>VLOOKUP($B57,'4、其他合同'!$D:$AK,12,0)</f>
        <v>87600</v>
      </c>
      <c r="N57" s="293">
        <f>VLOOKUP($B57,'4、其他合同'!$D:$AK,13,0)</f>
        <v>87600</v>
      </c>
      <c r="O57" s="290">
        <f>VLOOKUP($B57,'4、其他合同'!$D:$AK,14,0)</f>
        <v>0</v>
      </c>
      <c r="P57" s="293">
        <f>VLOOKUP($B57,'4、其他合同'!$D:$AK,15,0)</f>
        <v>0</v>
      </c>
      <c r="Q57" s="293">
        <f>VLOOKUP($B57,'4、其他合同'!$D:$AK,16,0)</f>
        <v>0</v>
      </c>
      <c r="R57" s="290">
        <f>VLOOKUP($B57,'4、其他合同'!$D:$AK,17,0)</f>
        <v>0</v>
      </c>
      <c r="S57" s="293">
        <f>VLOOKUP($B57,'4、其他合同'!$D:$AK,18,0)</f>
        <v>0</v>
      </c>
      <c r="T57" s="293">
        <f>VLOOKUP($B57,'4、其他合同'!$D:$AK,19,0)</f>
        <v>0</v>
      </c>
      <c r="U57" s="290">
        <f>VLOOKUP($B57,'4、其他合同'!$D:$AK,20,0)</f>
        <v>0</v>
      </c>
      <c r="V57" s="293">
        <f>VLOOKUP($B57,'4、其他合同'!$D:$AK,21,0)</f>
        <v>0</v>
      </c>
      <c r="W57" s="293">
        <f>VLOOKUP($B57,'4、其他合同'!$D:$AK,22,0)</f>
        <v>0</v>
      </c>
      <c r="X57" s="290">
        <f>VLOOKUP($B57,'4、其他合同'!$D:$AK,23,0)</f>
        <v>0</v>
      </c>
      <c r="Y57" s="293">
        <f>VLOOKUP($B57,'4、其他合同'!$D:$AK,24,0)</f>
        <v>0</v>
      </c>
      <c r="Z57" s="293">
        <f>VLOOKUP($B57,'4、其他合同'!$D:$AK,25,0)</f>
        <v>0</v>
      </c>
      <c r="AA57" s="290">
        <f>VLOOKUP($B57,'4、其他合同'!$D:$AK,26,0)</f>
        <v>0</v>
      </c>
      <c r="AB57" s="293">
        <f>VLOOKUP($B57,'4、其他合同'!$D:$AK,27,0)</f>
        <v>0</v>
      </c>
      <c r="AC57" s="293">
        <f>VLOOKUP($B57,'4、其他合同'!$D:$AK,28,0)</f>
        <v>0</v>
      </c>
      <c r="AD57" s="290">
        <f>VLOOKUP($B57,'4、其他合同'!$D:$AK,29,0)</f>
        <v>0</v>
      </c>
      <c r="AE57" s="293">
        <f>VLOOKUP($B57,'4、其他合同'!$D:$AK,30,0)</f>
        <v>0</v>
      </c>
      <c r="AF57" s="293">
        <f>VLOOKUP($B57,'4、其他合同'!$D:$AK,31,0)</f>
        <v>0</v>
      </c>
      <c r="AG57" s="293">
        <f>VLOOKUP($B57,'4、其他合同'!$D:$AK,32,0)</f>
        <v>0</v>
      </c>
      <c r="AH57" s="293">
        <f>VLOOKUP($B57,'4、其他合同'!$D:$AK,33,0)</f>
        <v>0</v>
      </c>
      <c r="AI57" s="312">
        <f>VLOOKUP($B57,'4、其他合同'!$D:$AK,34,0)</f>
        <v>0</v>
      </c>
      <c r="AJ57" s="309">
        <f t="shared" si="13"/>
        <v>87600</v>
      </c>
      <c r="AK57" s="289">
        <f t="shared" si="14"/>
        <v>0</v>
      </c>
      <c r="AL57" s="310">
        <f t="shared" si="15"/>
        <v>1</v>
      </c>
      <c r="AM57" s="289">
        <f t="shared" si="16"/>
        <v>87600</v>
      </c>
      <c r="AN57" s="311" t="str">
        <f t="shared" si="17"/>
        <v>数据正确</v>
      </c>
    </row>
    <row r="58" s="228" customFormat="1" customHeight="1" spans="1:40">
      <c r="A58" s="228" t="str">
        <f t="shared" si="12"/>
        <v/>
      </c>
      <c r="B58" s="261">
        <v>53</v>
      </c>
      <c r="C58" s="266" t="str">
        <f>VLOOKUP($B58,'4、其他合同'!$D:$AK,2,0)</f>
        <v>YRKJXZ-170007</v>
      </c>
      <c r="D58" s="267" t="s">
        <v>25</v>
      </c>
      <c r="E58" s="267">
        <f>VLOOKUP($B58,'4、其他合同'!$D:$AK,4,0)</f>
        <v>2017050003</v>
      </c>
      <c r="F58" s="268">
        <f>VLOOKUP($B58,'4、其他合同'!$D:$AK,5,0)</f>
        <v>42872</v>
      </c>
      <c r="G58" s="269">
        <f>VLOOKUP($B58,'4、其他合同'!$D:$AK,6,0)</f>
        <v>91200</v>
      </c>
      <c r="H58" s="269" t="str">
        <f>VLOOKUP($B58,'4、其他合同'!$D:$AK,7,0)</f>
        <v>5匹格力单冷空调12台*7600元/台</v>
      </c>
      <c r="I58" s="269" t="str">
        <f>VLOOKUP($B58,'4、其他合同'!$D:$AK,8,0)</f>
        <v>莆田市涵江区意盛电器有限公司</v>
      </c>
      <c r="J58" s="290">
        <f>VLOOKUP($B58,'4、其他合同'!$D:$AK,9,0)</f>
        <v>0</v>
      </c>
      <c r="K58" s="291" t="str">
        <f>VLOOKUP($B58,'4、其他合同'!$D:$AK,10,0)</f>
        <v>电汇</v>
      </c>
      <c r="L58" s="292" t="str">
        <f>VLOOKUP($B58,'4、其他合同'!$D:$AK,11,0)</f>
        <v>货到交货地点验收合格后收到17%全额专票后10个工作日支付全款</v>
      </c>
      <c r="M58" s="293">
        <f>VLOOKUP($B58,'4、其他合同'!$D:$AK,12,0)</f>
        <v>91200</v>
      </c>
      <c r="N58" s="293">
        <f>VLOOKUP($B58,'4、其他合同'!$D:$AK,13,0)</f>
        <v>0</v>
      </c>
      <c r="O58" s="290">
        <f>VLOOKUP($B58,'4、其他合同'!$D:$AK,14,0)</f>
        <v>0</v>
      </c>
      <c r="P58" s="293">
        <f>VLOOKUP($B58,'4、其他合同'!$D:$AK,15,0)</f>
        <v>0</v>
      </c>
      <c r="Q58" s="293">
        <f>VLOOKUP($B58,'4、其他合同'!$D:$AK,16,0)</f>
        <v>0</v>
      </c>
      <c r="R58" s="290">
        <f>VLOOKUP($B58,'4、其他合同'!$D:$AK,17,0)</f>
        <v>0</v>
      </c>
      <c r="S58" s="293">
        <f>VLOOKUP($B58,'4、其他合同'!$D:$AK,18,0)</f>
        <v>0</v>
      </c>
      <c r="T58" s="293">
        <f>VLOOKUP($B58,'4、其他合同'!$D:$AK,19,0)</f>
        <v>0</v>
      </c>
      <c r="U58" s="290">
        <f>VLOOKUP($B58,'4、其他合同'!$D:$AK,20,0)</f>
        <v>0</v>
      </c>
      <c r="V58" s="293">
        <f>VLOOKUP($B58,'4、其他合同'!$D:$AK,21,0)</f>
        <v>0</v>
      </c>
      <c r="W58" s="293">
        <f>VLOOKUP($B58,'4、其他合同'!$D:$AK,22,0)</f>
        <v>0</v>
      </c>
      <c r="X58" s="290">
        <f>VLOOKUP($B58,'4、其他合同'!$D:$AK,23,0)</f>
        <v>0</v>
      </c>
      <c r="Y58" s="293">
        <f>VLOOKUP($B58,'4、其他合同'!$D:$AK,24,0)</f>
        <v>0</v>
      </c>
      <c r="Z58" s="293">
        <f>VLOOKUP($B58,'4、其他合同'!$D:$AK,25,0)</f>
        <v>0</v>
      </c>
      <c r="AA58" s="290">
        <f>VLOOKUP($B58,'4、其他合同'!$D:$AK,26,0)</f>
        <v>0</v>
      </c>
      <c r="AB58" s="293">
        <f>VLOOKUP($B58,'4、其他合同'!$D:$AK,27,0)</f>
        <v>0</v>
      </c>
      <c r="AC58" s="293">
        <f>VLOOKUP($B58,'4、其他合同'!$D:$AK,28,0)</f>
        <v>0</v>
      </c>
      <c r="AD58" s="290">
        <f>VLOOKUP($B58,'4、其他合同'!$D:$AK,29,0)</f>
        <v>0</v>
      </c>
      <c r="AE58" s="293">
        <f>VLOOKUP($B58,'4、其他合同'!$D:$AK,30,0)</f>
        <v>0</v>
      </c>
      <c r="AF58" s="293">
        <f>VLOOKUP($B58,'4、其他合同'!$D:$AK,31,0)</f>
        <v>0</v>
      </c>
      <c r="AG58" s="293">
        <f>VLOOKUP($B58,'4、其他合同'!$D:$AK,32,0)</f>
        <v>0</v>
      </c>
      <c r="AH58" s="293">
        <f>VLOOKUP($B58,'4、其他合同'!$D:$AK,33,0)</f>
        <v>0</v>
      </c>
      <c r="AI58" s="312">
        <f>VLOOKUP($B58,'4、其他合同'!$D:$AK,34,0)</f>
        <v>0</v>
      </c>
      <c r="AJ58" s="309">
        <f t="shared" si="13"/>
        <v>0</v>
      </c>
      <c r="AK58" s="289">
        <f t="shared" si="14"/>
        <v>91200</v>
      </c>
      <c r="AL58" s="310">
        <f t="shared" si="15"/>
        <v>0</v>
      </c>
      <c r="AM58" s="289">
        <f t="shared" si="16"/>
        <v>91200</v>
      </c>
      <c r="AN58" s="311" t="str">
        <f t="shared" si="17"/>
        <v>数据正确</v>
      </c>
    </row>
    <row r="59" s="228" customFormat="1" customHeight="1" spans="1:40">
      <c r="A59" s="228" t="str">
        <f t="shared" si="12"/>
        <v/>
      </c>
      <c r="B59" s="261">
        <v>54</v>
      </c>
      <c r="C59" s="266" t="str">
        <f>VLOOKUP($B59,'4、其他合同'!$D:$AK,2,0)</f>
        <v>YRKJXZ-170008</v>
      </c>
      <c r="D59" s="267" t="s">
        <v>25</v>
      </c>
      <c r="E59" s="267">
        <f>VLOOKUP($B59,'4、其他合同'!$D:$AK,4,0)</f>
        <v>2017050026</v>
      </c>
      <c r="F59" s="268">
        <f>VLOOKUP($B59,'4、其他合同'!$D:$AK,5,0)</f>
        <v>42872</v>
      </c>
      <c r="G59" s="269">
        <f>VLOOKUP($B59,'4、其他合同'!$D:$AK,6,0)</f>
        <v>20510</v>
      </c>
      <c r="H59" s="269" t="str">
        <f>VLOOKUP($B59,'4、其他合同'!$D:$AK,7,0)</f>
        <v>扬天电脑7台*2930元/台</v>
      </c>
      <c r="I59" s="269" t="str">
        <f>VLOOKUP($B59,'4、其他合同'!$D:$AK,8,0)</f>
        <v>福建聚众科技有限公司</v>
      </c>
      <c r="J59" s="290">
        <f>VLOOKUP($B59,'4、其他合同'!$D:$AK,9,0)</f>
        <v>0</v>
      </c>
      <c r="K59" s="291" t="str">
        <f>VLOOKUP($B59,'4、其他合同'!$D:$AK,10,0)</f>
        <v>承兑汇票</v>
      </c>
      <c r="L59" s="292" t="str">
        <f>VLOOKUP($B59,'4、其他合同'!$D:$AK,11,0)</f>
        <v>货到交货地点验收合格后，支付100%货款，乙方接受反向贴息</v>
      </c>
      <c r="M59" s="293">
        <f>VLOOKUP($B59,'4、其他合同'!$D:$AK,12,0)</f>
        <v>20510</v>
      </c>
      <c r="N59" s="293">
        <f>VLOOKUP($B59,'4、其他合同'!$D:$AK,13,0)</f>
        <v>0</v>
      </c>
      <c r="O59" s="290">
        <f>VLOOKUP($B59,'4、其他合同'!$D:$AK,14,0)</f>
        <v>0</v>
      </c>
      <c r="P59" s="293">
        <f>VLOOKUP($B59,'4、其他合同'!$D:$AK,15,0)</f>
        <v>0</v>
      </c>
      <c r="Q59" s="293">
        <f>VLOOKUP($B59,'4、其他合同'!$D:$AK,16,0)</f>
        <v>0</v>
      </c>
      <c r="R59" s="290">
        <f>VLOOKUP($B59,'4、其他合同'!$D:$AK,17,0)</f>
        <v>0</v>
      </c>
      <c r="S59" s="293">
        <f>VLOOKUP($B59,'4、其他合同'!$D:$AK,18,0)</f>
        <v>0</v>
      </c>
      <c r="T59" s="293">
        <f>VLOOKUP($B59,'4、其他合同'!$D:$AK,19,0)</f>
        <v>0</v>
      </c>
      <c r="U59" s="290">
        <f>VLOOKUP($B59,'4、其他合同'!$D:$AK,20,0)</f>
        <v>0</v>
      </c>
      <c r="V59" s="293">
        <f>VLOOKUP($B59,'4、其他合同'!$D:$AK,21,0)</f>
        <v>0</v>
      </c>
      <c r="W59" s="293">
        <f>VLOOKUP($B59,'4、其他合同'!$D:$AK,22,0)</f>
        <v>0</v>
      </c>
      <c r="X59" s="290">
        <f>VLOOKUP($B59,'4、其他合同'!$D:$AK,23,0)</f>
        <v>0</v>
      </c>
      <c r="Y59" s="293">
        <f>VLOOKUP($B59,'4、其他合同'!$D:$AK,24,0)</f>
        <v>0</v>
      </c>
      <c r="Z59" s="293">
        <f>VLOOKUP($B59,'4、其他合同'!$D:$AK,25,0)</f>
        <v>0</v>
      </c>
      <c r="AA59" s="290">
        <f>VLOOKUP($B59,'4、其他合同'!$D:$AK,26,0)</f>
        <v>0</v>
      </c>
      <c r="AB59" s="293">
        <f>VLOOKUP($B59,'4、其他合同'!$D:$AK,27,0)</f>
        <v>0</v>
      </c>
      <c r="AC59" s="293">
        <f>VLOOKUP($B59,'4、其他合同'!$D:$AK,28,0)</f>
        <v>0</v>
      </c>
      <c r="AD59" s="290">
        <f>VLOOKUP($B59,'4、其他合同'!$D:$AK,29,0)</f>
        <v>0</v>
      </c>
      <c r="AE59" s="293">
        <f>VLOOKUP($B59,'4、其他合同'!$D:$AK,30,0)</f>
        <v>0</v>
      </c>
      <c r="AF59" s="293">
        <f>VLOOKUP($B59,'4、其他合同'!$D:$AK,31,0)</f>
        <v>0</v>
      </c>
      <c r="AG59" s="293">
        <f>VLOOKUP($B59,'4、其他合同'!$D:$AK,32,0)</f>
        <v>0</v>
      </c>
      <c r="AH59" s="293">
        <f>VLOOKUP($B59,'4、其他合同'!$D:$AK,33,0)</f>
        <v>0</v>
      </c>
      <c r="AI59" s="312">
        <f>VLOOKUP($B59,'4、其他合同'!$D:$AK,34,0)</f>
        <v>0</v>
      </c>
      <c r="AJ59" s="309">
        <f t="shared" si="13"/>
        <v>0</v>
      </c>
      <c r="AK59" s="289">
        <f t="shared" si="14"/>
        <v>20510</v>
      </c>
      <c r="AL59" s="310">
        <f t="shared" si="15"/>
        <v>0</v>
      </c>
      <c r="AM59" s="289">
        <f t="shared" si="16"/>
        <v>20510</v>
      </c>
      <c r="AN59" s="311" t="str">
        <f t="shared" si="17"/>
        <v>数据正确</v>
      </c>
    </row>
    <row r="60" s="228" customFormat="1" customHeight="1" spans="1:40">
      <c r="A60" s="228" t="str">
        <f t="shared" si="12"/>
        <v>已完毕</v>
      </c>
      <c r="B60" s="256">
        <v>55</v>
      </c>
      <c r="C60" s="266" t="str">
        <f>VLOOKUP($B60,'4、其他合同'!$D:$AK,2,0)</f>
        <v>YRKJXZ-170009</v>
      </c>
      <c r="D60" s="267" t="s">
        <v>25</v>
      </c>
      <c r="E60" s="267" t="str">
        <f>VLOOKUP($B60,'4、其他合同'!$D:$AK,4,0)</f>
        <v>-</v>
      </c>
      <c r="F60" s="268">
        <f>VLOOKUP($B60,'4、其他合同'!$D:$AK,5,0)</f>
        <v>42895</v>
      </c>
      <c r="G60" s="269">
        <f>VLOOKUP($B60,'4、其他合同'!$D:$AK,6,0)</f>
        <v>49800</v>
      </c>
      <c r="H60" s="269" t="str">
        <f>VLOOKUP($B60,'4、其他合同'!$D:$AK,7,0)</f>
        <v>劳保用品（安全鞋、纱手套、口罩、护目镜）</v>
      </c>
      <c r="I60" s="269" t="str">
        <f>VLOOKUP($B60,'4、其他合同'!$D:$AK,8,0)</f>
        <v>福州帆顺特需劳保用品有限公司</v>
      </c>
      <c r="J60" s="290" t="str">
        <f>VLOOKUP($B60,'4、其他合同'!$D:$AK,9,0)</f>
        <v>非装置</v>
      </c>
      <c r="K60" s="291" t="str">
        <f>VLOOKUP($B60,'4、其他合同'!$D:$AK,10,0)</f>
        <v>6个月承兑汇票</v>
      </c>
      <c r="L60" s="292" t="str">
        <f>VLOOKUP($B60,'4、其他合同'!$D:$AK,11,0)</f>
        <v>货到交货点验收合格后全额支付，乙方接受反向贴息</v>
      </c>
      <c r="M60" s="293">
        <f>VLOOKUP($B60,'4、其他合同'!$D:$AK,12,0)</f>
        <v>49800</v>
      </c>
      <c r="N60" s="293">
        <f>VLOOKUP($B60,'4、其他合同'!$D:$AK,13,0)</f>
        <v>49800</v>
      </c>
      <c r="O60" s="290">
        <f>VLOOKUP($B60,'4、其他合同'!$D:$AK,14,0)</f>
        <v>0</v>
      </c>
      <c r="P60" s="293">
        <f>VLOOKUP($B60,'4、其他合同'!$D:$AK,15,0)</f>
        <v>0</v>
      </c>
      <c r="Q60" s="293">
        <f>VLOOKUP($B60,'4、其他合同'!$D:$AK,16,0)</f>
        <v>0</v>
      </c>
      <c r="R60" s="290">
        <f>VLOOKUP($B60,'4、其他合同'!$D:$AK,17,0)</f>
        <v>0</v>
      </c>
      <c r="S60" s="293">
        <f>VLOOKUP($B60,'4、其他合同'!$D:$AK,18,0)</f>
        <v>0</v>
      </c>
      <c r="T60" s="293">
        <f>VLOOKUP($B60,'4、其他合同'!$D:$AK,19,0)</f>
        <v>0</v>
      </c>
      <c r="U60" s="290">
        <f>VLOOKUP($B60,'4、其他合同'!$D:$AK,20,0)</f>
        <v>0</v>
      </c>
      <c r="V60" s="293">
        <f>VLOOKUP($B60,'4、其他合同'!$D:$AK,21,0)</f>
        <v>0</v>
      </c>
      <c r="W60" s="293">
        <f>VLOOKUP($B60,'4、其他合同'!$D:$AK,22,0)</f>
        <v>0</v>
      </c>
      <c r="X60" s="290">
        <f>VLOOKUP($B60,'4、其他合同'!$D:$AK,23,0)</f>
        <v>0</v>
      </c>
      <c r="Y60" s="293">
        <f>VLOOKUP($B60,'4、其他合同'!$D:$AK,24,0)</f>
        <v>0</v>
      </c>
      <c r="Z60" s="293">
        <f>VLOOKUP($B60,'4、其他合同'!$D:$AK,25,0)</f>
        <v>0</v>
      </c>
      <c r="AA60" s="290">
        <f>VLOOKUP($B60,'4、其他合同'!$D:$AK,26,0)</f>
        <v>0</v>
      </c>
      <c r="AB60" s="293">
        <f>VLOOKUP($B60,'4、其他合同'!$D:$AK,27,0)</f>
        <v>0</v>
      </c>
      <c r="AC60" s="293">
        <f>VLOOKUP($B60,'4、其他合同'!$D:$AK,28,0)</f>
        <v>0</v>
      </c>
      <c r="AD60" s="290">
        <f>VLOOKUP($B60,'4、其他合同'!$D:$AK,29,0)</f>
        <v>0</v>
      </c>
      <c r="AE60" s="293">
        <f>VLOOKUP($B60,'4、其他合同'!$D:$AK,30,0)</f>
        <v>0</v>
      </c>
      <c r="AF60" s="293">
        <f>VLOOKUP($B60,'4、其他合同'!$D:$AK,31,0)</f>
        <v>0</v>
      </c>
      <c r="AG60" s="293">
        <f>VLOOKUP($B60,'4、其他合同'!$D:$AK,32,0)</f>
        <v>0</v>
      </c>
      <c r="AH60" s="293">
        <f>VLOOKUP($B60,'4、其他合同'!$D:$AK,33,0)</f>
        <v>0</v>
      </c>
      <c r="AI60" s="312">
        <f>VLOOKUP($B60,'4、其他合同'!$D:$AK,34,0)</f>
        <v>0</v>
      </c>
      <c r="AJ60" s="309">
        <f t="shared" si="13"/>
        <v>49800</v>
      </c>
      <c r="AK60" s="289">
        <f t="shared" si="14"/>
        <v>0</v>
      </c>
      <c r="AL60" s="310">
        <f t="shared" si="15"/>
        <v>1</v>
      </c>
      <c r="AM60" s="289">
        <f t="shared" si="16"/>
        <v>49800</v>
      </c>
      <c r="AN60" s="311" t="str">
        <f t="shared" si="17"/>
        <v>数据正确</v>
      </c>
    </row>
    <row r="61" s="228" customFormat="1" customHeight="1" spans="1:40">
      <c r="A61" s="228" t="str">
        <f t="shared" si="12"/>
        <v>已完毕</v>
      </c>
      <c r="B61" s="261">
        <v>56</v>
      </c>
      <c r="C61" s="266" t="str">
        <f>VLOOKUP($B61,'4、其他合同'!$D:$AK,2,0)</f>
        <v>YRKJXZ-170013</v>
      </c>
      <c r="D61" s="267" t="s">
        <v>25</v>
      </c>
      <c r="E61" s="267" t="str">
        <f>VLOOKUP($B61,'4、其他合同'!$D:$AK,4,0)</f>
        <v>-</v>
      </c>
      <c r="F61" s="268">
        <f>VLOOKUP($B61,'4、其他合同'!$D:$AK,5,0)</f>
        <v>42887</v>
      </c>
      <c r="G61" s="269">
        <f>VLOOKUP($B61,'4、其他合同'!$D:$AK,6,0)</f>
        <v>0.001</v>
      </c>
      <c r="H61" s="269" t="str">
        <f>VLOOKUP($B61,'4、其他合同'!$D:$AK,7,0)</f>
        <v>食堂食材物资团购业务协议书（2017.6.4-2017.9.3）</v>
      </c>
      <c r="I61" s="269" t="str">
        <f>VLOOKUP($B61,'4、其他合同'!$D:$AK,8,0)</f>
        <v>莆田市凤凰百货有限公司</v>
      </c>
      <c r="J61" s="290" t="str">
        <f>VLOOKUP($B61,'4、其他合同'!$D:$AK,9,0)</f>
        <v>非装置</v>
      </c>
      <c r="K61" s="291" t="str">
        <f>VLOOKUP($B61,'4、其他合同'!$D:$AK,10,0)</f>
        <v>电汇</v>
      </c>
      <c r="L61" s="292" t="str">
        <f>VLOOKUP($B61,'4、其他合同'!$D:$AK,11,0)</f>
        <v>每月一结，下个月2-3日双方财务核对无误后，收到销售正式发票和请款单等资料给买方，买方30天内汇款制定账户</v>
      </c>
      <c r="M61" s="293">
        <f>VLOOKUP($B61,'4、其他合同'!$D:$AK,12,0)</f>
        <v>0.001</v>
      </c>
      <c r="N61" s="293">
        <f>VLOOKUP($B61,'4、其他合同'!$D:$AK,13,0)</f>
        <v>0.001</v>
      </c>
      <c r="O61" s="290">
        <f>VLOOKUP($B61,'4、其他合同'!$D:$AK,14,0)</f>
        <v>0</v>
      </c>
      <c r="P61" s="293">
        <f>VLOOKUP($B61,'4、其他合同'!$D:$AK,15,0)</f>
        <v>0</v>
      </c>
      <c r="Q61" s="293">
        <f>VLOOKUP($B61,'4、其他合同'!$D:$AK,16,0)</f>
        <v>0</v>
      </c>
      <c r="R61" s="290">
        <f>VLOOKUP($B61,'4、其他合同'!$D:$AK,17,0)</f>
        <v>0</v>
      </c>
      <c r="S61" s="293">
        <f>VLOOKUP($B61,'4、其他合同'!$D:$AK,18,0)</f>
        <v>0</v>
      </c>
      <c r="T61" s="293">
        <f>VLOOKUP($B61,'4、其他合同'!$D:$AK,19,0)</f>
        <v>0</v>
      </c>
      <c r="U61" s="290">
        <f>VLOOKUP($B61,'4、其他合同'!$D:$AK,20,0)</f>
        <v>0</v>
      </c>
      <c r="V61" s="293">
        <f>VLOOKUP($B61,'4、其他合同'!$D:$AK,21,0)</f>
        <v>0</v>
      </c>
      <c r="W61" s="293">
        <f>VLOOKUP($B61,'4、其他合同'!$D:$AK,22,0)</f>
        <v>0</v>
      </c>
      <c r="X61" s="290">
        <f>VLOOKUP($B61,'4、其他合同'!$D:$AK,23,0)</f>
        <v>0</v>
      </c>
      <c r="Y61" s="293">
        <f>VLOOKUP($B61,'4、其他合同'!$D:$AK,24,0)</f>
        <v>0</v>
      </c>
      <c r="Z61" s="293">
        <f>VLOOKUP($B61,'4、其他合同'!$D:$AK,25,0)</f>
        <v>0</v>
      </c>
      <c r="AA61" s="290">
        <f>VLOOKUP($B61,'4、其他合同'!$D:$AK,26,0)</f>
        <v>0</v>
      </c>
      <c r="AB61" s="293">
        <f>VLOOKUP($B61,'4、其他合同'!$D:$AK,27,0)</f>
        <v>0</v>
      </c>
      <c r="AC61" s="293">
        <f>VLOOKUP($B61,'4、其他合同'!$D:$AK,28,0)</f>
        <v>0</v>
      </c>
      <c r="AD61" s="290">
        <f>VLOOKUP($B61,'4、其他合同'!$D:$AK,29,0)</f>
        <v>0</v>
      </c>
      <c r="AE61" s="293">
        <f>VLOOKUP($B61,'4、其他合同'!$D:$AK,30,0)</f>
        <v>0</v>
      </c>
      <c r="AF61" s="293">
        <f>VLOOKUP($B61,'4、其他合同'!$D:$AK,31,0)</f>
        <v>0</v>
      </c>
      <c r="AG61" s="293">
        <f>VLOOKUP($B61,'4、其他合同'!$D:$AK,32,0)</f>
        <v>0</v>
      </c>
      <c r="AH61" s="293">
        <f>VLOOKUP($B61,'4、其他合同'!$D:$AK,33,0)</f>
        <v>0</v>
      </c>
      <c r="AI61" s="312">
        <f>VLOOKUP($B61,'4、其他合同'!$D:$AK,34,0)</f>
        <v>0</v>
      </c>
      <c r="AJ61" s="309">
        <f t="shared" si="13"/>
        <v>0.001</v>
      </c>
      <c r="AK61" s="289">
        <f t="shared" si="14"/>
        <v>0</v>
      </c>
      <c r="AL61" s="310">
        <f t="shared" si="15"/>
        <v>1</v>
      </c>
      <c r="AM61" s="289">
        <f t="shared" si="16"/>
        <v>0.001</v>
      </c>
      <c r="AN61" s="311" t="str">
        <f t="shared" si="17"/>
        <v>数据正确</v>
      </c>
    </row>
    <row r="62" s="228" customFormat="1" customHeight="1" spans="1:40">
      <c r="A62" s="228" t="str">
        <f t="shared" si="12"/>
        <v>已完毕</v>
      </c>
      <c r="B62" s="261">
        <v>57</v>
      </c>
      <c r="C62" s="266" t="str">
        <f>VLOOKUP($B62,'4、其他合同'!$D:$AK,2,0)</f>
        <v>YRKJXZ-170014</v>
      </c>
      <c r="D62" s="267" t="s">
        <v>25</v>
      </c>
      <c r="E62" s="267" t="str">
        <f>VLOOKUP($B62,'4、其他合同'!$D:$AK,4,0)</f>
        <v>-</v>
      </c>
      <c r="F62" s="268">
        <f>VLOOKUP($B62,'4、其他合同'!$D:$AK,5,0)</f>
        <v>42895</v>
      </c>
      <c r="G62" s="269">
        <f>VLOOKUP($B62,'4、其他合同'!$D:$AK,6,0)</f>
        <v>0.001</v>
      </c>
      <c r="H62" s="269" t="str">
        <f>VLOOKUP($B62,'4、其他合同'!$D:$AK,7,0)</f>
        <v>食堂食材物资团购业务协议书（2017.9.4-2017.12.3）</v>
      </c>
      <c r="I62" s="269" t="str">
        <f>VLOOKUP($B62,'4、其他合同'!$D:$AK,8,0)</f>
        <v>锦江麦德龙现购自运有限公司莆田荔城商行</v>
      </c>
      <c r="J62" s="290" t="str">
        <f>VLOOKUP($B62,'4、其他合同'!$D:$AK,9,0)</f>
        <v>非装置</v>
      </c>
      <c r="K62" s="291" t="str">
        <f>VLOOKUP($B62,'4、其他合同'!$D:$AK,10,0)</f>
        <v>电汇</v>
      </c>
      <c r="L62" s="292" t="str">
        <f>VLOOKUP($B62,'4、其他合同'!$D:$AK,11,0)</f>
        <v>每月一结，下个月2-3日双方财务核对无误后，收到销售正式发票和请款单等资料给买方，买方30天内汇款制定账户</v>
      </c>
      <c r="M62" s="293">
        <f>VLOOKUP($B62,'4、其他合同'!$D:$AK,12,0)</f>
        <v>0.001</v>
      </c>
      <c r="N62" s="293">
        <f>VLOOKUP($B62,'4、其他合同'!$D:$AK,13,0)</f>
        <v>0.001</v>
      </c>
      <c r="O62" s="290">
        <f>VLOOKUP($B62,'4、其他合同'!$D:$AK,14,0)</f>
        <v>0</v>
      </c>
      <c r="P62" s="293">
        <f>VLOOKUP($B62,'4、其他合同'!$D:$AK,15,0)</f>
        <v>0</v>
      </c>
      <c r="Q62" s="293">
        <f>VLOOKUP($B62,'4、其他合同'!$D:$AK,16,0)</f>
        <v>0</v>
      </c>
      <c r="R62" s="290">
        <f>VLOOKUP($B62,'4、其他合同'!$D:$AK,17,0)</f>
        <v>0</v>
      </c>
      <c r="S62" s="293">
        <f>VLOOKUP($B62,'4、其他合同'!$D:$AK,18,0)</f>
        <v>0</v>
      </c>
      <c r="T62" s="293">
        <f>VLOOKUP($B62,'4、其他合同'!$D:$AK,19,0)</f>
        <v>0</v>
      </c>
      <c r="U62" s="290">
        <f>VLOOKUP($B62,'4、其他合同'!$D:$AK,20,0)</f>
        <v>0</v>
      </c>
      <c r="V62" s="293">
        <f>VLOOKUP($B62,'4、其他合同'!$D:$AK,21,0)</f>
        <v>0</v>
      </c>
      <c r="W62" s="293">
        <f>VLOOKUP($B62,'4、其他合同'!$D:$AK,22,0)</f>
        <v>0</v>
      </c>
      <c r="X62" s="290">
        <f>VLOOKUP($B62,'4、其他合同'!$D:$AK,23,0)</f>
        <v>0</v>
      </c>
      <c r="Y62" s="293">
        <f>VLOOKUP($B62,'4、其他合同'!$D:$AK,24,0)</f>
        <v>0</v>
      </c>
      <c r="Z62" s="293">
        <f>VLOOKUP($B62,'4、其他合同'!$D:$AK,25,0)</f>
        <v>0</v>
      </c>
      <c r="AA62" s="290">
        <f>VLOOKUP($B62,'4、其他合同'!$D:$AK,26,0)</f>
        <v>0</v>
      </c>
      <c r="AB62" s="293">
        <f>VLOOKUP($B62,'4、其他合同'!$D:$AK,27,0)</f>
        <v>0</v>
      </c>
      <c r="AC62" s="293">
        <f>VLOOKUP($B62,'4、其他合同'!$D:$AK,28,0)</f>
        <v>0</v>
      </c>
      <c r="AD62" s="290">
        <f>VLOOKUP($B62,'4、其他合同'!$D:$AK,29,0)</f>
        <v>0</v>
      </c>
      <c r="AE62" s="293">
        <f>VLOOKUP($B62,'4、其他合同'!$D:$AK,30,0)</f>
        <v>0</v>
      </c>
      <c r="AF62" s="293">
        <f>VLOOKUP($B62,'4、其他合同'!$D:$AK,31,0)</f>
        <v>0</v>
      </c>
      <c r="AG62" s="293">
        <f>VLOOKUP($B62,'4、其他合同'!$D:$AK,32,0)</f>
        <v>0</v>
      </c>
      <c r="AH62" s="293">
        <f>VLOOKUP($B62,'4、其他合同'!$D:$AK,33,0)</f>
        <v>0</v>
      </c>
      <c r="AI62" s="312">
        <f>VLOOKUP($B62,'4、其他合同'!$D:$AK,34,0)</f>
        <v>0</v>
      </c>
      <c r="AJ62" s="309">
        <f t="shared" si="13"/>
        <v>0.001</v>
      </c>
      <c r="AK62" s="289">
        <f t="shared" si="14"/>
        <v>0</v>
      </c>
      <c r="AL62" s="310">
        <f t="shared" si="15"/>
        <v>1</v>
      </c>
      <c r="AM62" s="289">
        <f t="shared" si="16"/>
        <v>0.001</v>
      </c>
      <c r="AN62" s="311" t="str">
        <f t="shared" si="17"/>
        <v>数据正确</v>
      </c>
    </row>
    <row r="63" s="228" customFormat="1" customHeight="1" spans="1:40">
      <c r="A63" s="228" t="str">
        <f t="shared" si="12"/>
        <v>已完毕</v>
      </c>
      <c r="B63" s="256">
        <v>58</v>
      </c>
      <c r="C63" s="266" t="str">
        <f>VLOOKUP($B63,'4、其他合同'!$D:$AK,2,0)</f>
        <v>YRKJXZ-170015</v>
      </c>
      <c r="D63" s="267" t="s">
        <v>25</v>
      </c>
      <c r="E63" s="267" t="str">
        <f>VLOOKUP($B63,'4、其他合同'!$D:$AK,4,0)</f>
        <v>-</v>
      </c>
      <c r="F63" s="268">
        <f>VLOOKUP($B63,'4、其他合同'!$D:$AK,5,0)</f>
        <v>42887</v>
      </c>
      <c r="G63" s="269">
        <f>VLOOKUP($B63,'4、其他合同'!$D:$AK,6,0)</f>
        <v>0.001</v>
      </c>
      <c r="H63" s="269" t="str">
        <f>VLOOKUP($B63,'4、其他合同'!$D:$AK,7,0)</f>
        <v>食堂早餐食材物资业务协议书</v>
      </c>
      <c r="I63" s="269" t="str">
        <f>VLOOKUP($B63,'4、其他合同'!$D:$AK,8,0)</f>
        <v>莆田市秀屿区东庄镇赵祖浩包子店</v>
      </c>
      <c r="J63" s="290" t="str">
        <f>VLOOKUP($B63,'4、其他合同'!$D:$AK,9,0)</f>
        <v>非装置</v>
      </c>
      <c r="K63" s="291" t="str">
        <f>VLOOKUP($B63,'4、其他合同'!$D:$AK,10,0)</f>
        <v>电汇</v>
      </c>
      <c r="L63" s="292" t="str">
        <f>VLOOKUP($B63,'4、其他合同'!$D:$AK,11,0)</f>
        <v>每月一结，下个月2-3日双方财务核对无误后，收到销售正式发票和请款单等资料给买方，买方15天内汇款制定账户</v>
      </c>
      <c r="M63" s="293">
        <f>VLOOKUP($B63,'4、其他合同'!$D:$AK,12,0)</f>
        <v>0.001</v>
      </c>
      <c r="N63" s="293">
        <f>VLOOKUP($B63,'4、其他合同'!$D:$AK,13,0)</f>
        <v>0.001</v>
      </c>
      <c r="O63" s="290">
        <f>VLOOKUP($B63,'4、其他合同'!$D:$AK,14,0)</f>
        <v>0</v>
      </c>
      <c r="P63" s="293">
        <f>VLOOKUP($B63,'4、其他合同'!$D:$AK,15,0)</f>
        <v>0</v>
      </c>
      <c r="Q63" s="293">
        <f>VLOOKUP($B63,'4、其他合同'!$D:$AK,16,0)</f>
        <v>0</v>
      </c>
      <c r="R63" s="290">
        <f>VLOOKUP($B63,'4、其他合同'!$D:$AK,17,0)</f>
        <v>0</v>
      </c>
      <c r="S63" s="293">
        <f>VLOOKUP($B63,'4、其他合同'!$D:$AK,18,0)</f>
        <v>0</v>
      </c>
      <c r="T63" s="293">
        <f>VLOOKUP($B63,'4、其他合同'!$D:$AK,19,0)</f>
        <v>0</v>
      </c>
      <c r="U63" s="290">
        <f>VLOOKUP($B63,'4、其他合同'!$D:$AK,20,0)</f>
        <v>0</v>
      </c>
      <c r="V63" s="293">
        <f>VLOOKUP($B63,'4、其他合同'!$D:$AK,21,0)</f>
        <v>0</v>
      </c>
      <c r="W63" s="293">
        <f>VLOOKUP($B63,'4、其他合同'!$D:$AK,22,0)</f>
        <v>0</v>
      </c>
      <c r="X63" s="290">
        <f>VLOOKUP($B63,'4、其他合同'!$D:$AK,23,0)</f>
        <v>0</v>
      </c>
      <c r="Y63" s="293">
        <f>VLOOKUP($B63,'4、其他合同'!$D:$AK,24,0)</f>
        <v>0</v>
      </c>
      <c r="Z63" s="293">
        <f>VLOOKUP($B63,'4、其他合同'!$D:$AK,25,0)</f>
        <v>0</v>
      </c>
      <c r="AA63" s="290">
        <f>VLOOKUP($B63,'4、其他合同'!$D:$AK,26,0)</f>
        <v>0</v>
      </c>
      <c r="AB63" s="293">
        <f>VLOOKUP($B63,'4、其他合同'!$D:$AK,27,0)</f>
        <v>0</v>
      </c>
      <c r="AC63" s="293">
        <f>VLOOKUP($B63,'4、其他合同'!$D:$AK,28,0)</f>
        <v>0</v>
      </c>
      <c r="AD63" s="290">
        <f>VLOOKUP($B63,'4、其他合同'!$D:$AK,29,0)</f>
        <v>0</v>
      </c>
      <c r="AE63" s="293">
        <f>VLOOKUP($B63,'4、其他合同'!$D:$AK,30,0)</f>
        <v>0</v>
      </c>
      <c r="AF63" s="293">
        <f>VLOOKUP($B63,'4、其他合同'!$D:$AK,31,0)</f>
        <v>0</v>
      </c>
      <c r="AG63" s="293">
        <f>VLOOKUP($B63,'4、其他合同'!$D:$AK,32,0)</f>
        <v>0</v>
      </c>
      <c r="AH63" s="293">
        <f>VLOOKUP($B63,'4、其他合同'!$D:$AK,33,0)</f>
        <v>0</v>
      </c>
      <c r="AI63" s="312">
        <f>VLOOKUP($B63,'4、其他合同'!$D:$AK,34,0)</f>
        <v>0</v>
      </c>
      <c r="AJ63" s="309">
        <f t="shared" si="13"/>
        <v>0.001</v>
      </c>
      <c r="AK63" s="289">
        <f t="shared" si="14"/>
        <v>0</v>
      </c>
      <c r="AL63" s="310">
        <f t="shared" si="15"/>
        <v>1</v>
      </c>
      <c r="AM63" s="289">
        <f t="shared" si="16"/>
        <v>0.001</v>
      </c>
      <c r="AN63" s="311" t="str">
        <f t="shared" si="17"/>
        <v>数据正确</v>
      </c>
    </row>
    <row r="64" s="228" customFormat="1" customHeight="1" spans="1:40">
      <c r="A64" s="228" t="str">
        <f t="shared" si="12"/>
        <v/>
      </c>
      <c r="B64" s="261">
        <v>59</v>
      </c>
      <c r="C64" s="266" t="str">
        <f>VLOOKUP($B64,'4、其他合同'!$D:$AK,2,0)</f>
        <v>YRKJXZ-170017</v>
      </c>
      <c r="D64" s="267" t="s">
        <v>25</v>
      </c>
      <c r="E64" s="267" t="str">
        <f>VLOOKUP($B64,'4、其他合同'!$D:$AK,4,0)</f>
        <v>-</v>
      </c>
      <c r="F64" s="268">
        <f>VLOOKUP($B64,'4、其他合同'!$D:$AK,5,0)</f>
        <v>42898</v>
      </c>
      <c r="G64" s="269">
        <f>VLOOKUP($B64,'4、其他合同'!$D:$AK,6,0)</f>
        <v>26370</v>
      </c>
      <c r="H64" s="269" t="str">
        <f>VLOOKUP($B64,'4、其他合同'!$D:$AK,7,0)</f>
        <v>9台扬天台式电脑</v>
      </c>
      <c r="I64" s="269" t="str">
        <f>VLOOKUP($B64,'4、其他合同'!$D:$AK,8,0)</f>
        <v>福建聚众科技有限公司</v>
      </c>
      <c r="J64" s="290">
        <f>VLOOKUP($B64,'4、其他合同'!$D:$AK,9,0)</f>
        <v>0</v>
      </c>
      <c r="K64" s="291" t="str">
        <f>VLOOKUP($B64,'4、其他合同'!$D:$AK,10,0)</f>
        <v>6个月承兑汇票</v>
      </c>
      <c r="L64" s="292" t="str">
        <f>VLOOKUP($B64,'4、其他合同'!$D:$AK,11,0)</f>
        <v>验收合格后支付，6个月的承兑汇票，卖方接受反向贴息</v>
      </c>
      <c r="M64" s="293">
        <f>VLOOKUP($B64,'4、其他合同'!$D:$AK,12,0)</f>
        <v>26370</v>
      </c>
      <c r="N64" s="293">
        <f>VLOOKUP($B64,'4、其他合同'!$D:$AK,13,0)</f>
        <v>0</v>
      </c>
      <c r="O64" s="290">
        <f>VLOOKUP($B64,'4、其他合同'!$D:$AK,14,0)</f>
        <v>0</v>
      </c>
      <c r="P64" s="293">
        <f>VLOOKUP($B64,'4、其他合同'!$D:$AK,15,0)</f>
        <v>0</v>
      </c>
      <c r="Q64" s="293">
        <f>VLOOKUP($B64,'4、其他合同'!$D:$AK,16,0)</f>
        <v>0</v>
      </c>
      <c r="R64" s="290">
        <f>VLOOKUP($B64,'4、其他合同'!$D:$AK,17,0)</f>
        <v>0</v>
      </c>
      <c r="S64" s="293">
        <f>VLOOKUP($B64,'4、其他合同'!$D:$AK,18,0)</f>
        <v>0</v>
      </c>
      <c r="T64" s="293">
        <f>VLOOKUP($B64,'4、其他合同'!$D:$AK,19,0)</f>
        <v>0</v>
      </c>
      <c r="U64" s="290">
        <f>VLOOKUP($B64,'4、其他合同'!$D:$AK,20,0)</f>
        <v>0</v>
      </c>
      <c r="V64" s="293">
        <f>VLOOKUP($B64,'4、其他合同'!$D:$AK,21,0)</f>
        <v>0</v>
      </c>
      <c r="W64" s="293">
        <f>VLOOKUP($B64,'4、其他合同'!$D:$AK,22,0)</f>
        <v>0</v>
      </c>
      <c r="X64" s="290">
        <f>VLOOKUP($B64,'4、其他合同'!$D:$AK,23,0)</f>
        <v>0</v>
      </c>
      <c r="Y64" s="293">
        <f>VLOOKUP($B64,'4、其他合同'!$D:$AK,24,0)</f>
        <v>0</v>
      </c>
      <c r="Z64" s="293">
        <f>VLOOKUP($B64,'4、其他合同'!$D:$AK,25,0)</f>
        <v>0</v>
      </c>
      <c r="AA64" s="290">
        <f>VLOOKUP($B64,'4、其他合同'!$D:$AK,26,0)</f>
        <v>0</v>
      </c>
      <c r="AB64" s="293">
        <f>VLOOKUP($B64,'4、其他合同'!$D:$AK,27,0)</f>
        <v>0</v>
      </c>
      <c r="AC64" s="293">
        <f>VLOOKUP($B64,'4、其他合同'!$D:$AK,28,0)</f>
        <v>0</v>
      </c>
      <c r="AD64" s="290">
        <f>VLOOKUP($B64,'4、其他合同'!$D:$AK,29,0)</f>
        <v>0</v>
      </c>
      <c r="AE64" s="293">
        <f>VLOOKUP($B64,'4、其他合同'!$D:$AK,30,0)</f>
        <v>0</v>
      </c>
      <c r="AF64" s="293">
        <f>VLOOKUP($B64,'4、其他合同'!$D:$AK,31,0)</f>
        <v>0</v>
      </c>
      <c r="AG64" s="293">
        <f>VLOOKUP($B64,'4、其他合同'!$D:$AK,32,0)</f>
        <v>0</v>
      </c>
      <c r="AH64" s="293">
        <f>VLOOKUP($B64,'4、其他合同'!$D:$AK,33,0)</f>
        <v>0</v>
      </c>
      <c r="AI64" s="312">
        <f>VLOOKUP($B64,'4、其他合同'!$D:$AK,34,0)</f>
        <v>0</v>
      </c>
      <c r="AJ64" s="309">
        <f t="shared" si="13"/>
        <v>0</v>
      </c>
      <c r="AK64" s="289">
        <f t="shared" si="14"/>
        <v>26370</v>
      </c>
      <c r="AL64" s="310">
        <f t="shared" si="15"/>
        <v>0</v>
      </c>
      <c r="AM64" s="289">
        <f t="shared" si="16"/>
        <v>26370</v>
      </c>
      <c r="AN64" s="311" t="str">
        <f t="shared" si="17"/>
        <v>数据正确</v>
      </c>
    </row>
    <row r="65" s="228" customFormat="1" customHeight="1" spans="1:40">
      <c r="A65" s="228" t="str">
        <f t="shared" si="12"/>
        <v/>
      </c>
      <c r="B65" s="261">
        <v>60</v>
      </c>
      <c r="C65" s="266" t="str">
        <f>VLOOKUP($B65,'4、其他合同'!$D:$AK,2,0)</f>
        <v>YRKJXZ-170019</v>
      </c>
      <c r="D65" s="267" t="s">
        <v>25</v>
      </c>
      <c r="E65" s="267">
        <f>VLOOKUP($B65,'4、其他合同'!$D:$AK,4,0)</f>
        <v>2017050001</v>
      </c>
      <c r="F65" s="268">
        <f>VLOOKUP($B65,'4、其他合同'!$D:$AK,5,0)</f>
        <v>42909</v>
      </c>
      <c r="G65" s="269">
        <f>VLOOKUP($B65,'4、其他合同'!$D:$AK,6,0)</f>
        <v>215000</v>
      </c>
      <c r="H65" s="269" t="str">
        <f>VLOOKUP($B65,'4、其他合同'!$D:$AK,7,0)</f>
        <v>5#、6#宿舍楼空气能热水器2套</v>
      </c>
      <c r="I65" s="269" t="str">
        <f>VLOOKUP($B65,'4、其他合同'!$D:$AK,8,0)</f>
        <v>莆田市秀屿区宏达贸易有限公司</v>
      </c>
      <c r="J65" s="290" t="str">
        <f>VLOOKUP($B65,'4、其他合同'!$D:$AK,9,0)</f>
        <v>非装置</v>
      </c>
      <c r="K65" s="291" t="str">
        <f>VLOOKUP($B65,'4、其他合同'!$D:$AK,10,0)</f>
        <v>6个月承兑汇票</v>
      </c>
      <c r="L65" s="292" t="str">
        <f>VLOOKUP($B65,'4、其他合同'!$D:$AK,11,0)</f>
        <v>甲方收到货款验收合格以及全额的发票后15个工作日支付90%的货款</v>
      </c>
      <c r="M65" s="293">
        <f>VLOOKUP($B65,'4、其他合同'!$D:$AK,12,0)</f>
        <v>193500</v>
      </c>
      <c r="N65" s="293">
        <f>VLOOKUP($B65,'4、其他合同'!$D:$AK,13,0)</f>
        <v>0</v>
      </c>
      <c r="O65" s="290" t="str">
        <f>VLOOKUP($B65,'4、其他合同'!$D:$AK,14,0)</f>
        <v>本合同的10%作为质量保证金，验收后12个月后支付，甲方接收反向贴息</v>
      </c>
      <c r="P65" s="293">
        <f>VLOOKUP($B65,'4、其他合同'!$D:$AK,15,0)</f>
        <v>21500</v>
      </c>
      <c r="Q65" s="293">
        <f>VLOOKUP($B65,'4、其他合同'!$D:$AK,16,0)</f>
        <v>0</v>
      </c>
      <c r="R65" s="290">
        <f>VLOOKUP($B65,'4、其他合同'!$D:$AK,17,0)</f>
        <v>0</v>
      </c>
      <c r="S65" s="293">
        <f>VLOOKUP($B65,'4、其他合同'!$D:$AK,18,0)</f>
        <v>0</v>
      </c>
      <c r="T65" s="293">
        <f>VLOOKUP($B65,'4、其他合同'!$D:$AK,19,0)</f>
        <v>0</v>
      </c>
      <c r="U65" s="290">
        <f>VLOOKUP($B65,'4、其他合同'!$D:$AK,20,0)</f>
        <v>0</v>
      </c>
      <c r="V65" s="293">
        <f>VLOOKUP($B65,'4、其他合同'!$D:$AK,21,0)</f>
        <v>0</v>
      </c>
      <c r="W65" s="293">
        <f>VLOOKUP($B65,'4、其他合同'!$D:$AK,22,0)</f>
        <v>0</v>
      </c>
      <c r="X65" s="290">
        <f>VLOOKUP($B65,'4、其他合同'!$D:$AK,23,0)</f>
        <v>0</v>
      </c>
      <c r="Y65" s="293">
        <f>VLOOKUP($B65,'4、其他合同'!$D:$AK,24,0)</f>
        <v>0</v>
      </c>
      <c r="Z65" s="293">
        <f>VLOOKUP($B65,'4、其他合同'!$D:$AK,25,0)</f>
        <v>0</v>
      </c>
      <c r="AA65" s="290">
        <f>VLOOKUP($B65,'4、其他合同'!$D:$AK,26,0)</f>
        <v>0</v>
      </c>
      <c r="AB65" s="293">
        <f>VLOOKUP($B65,'4、其他合同'!$D:$AK,27,0)</f>
        <v>0</v>
      </c>
      <c r="AC65" s="293">
        <f>VLOOKUP($B65,'4、其他合同'!$D:$AK,28,0)</f>
        <v>0</v>
      </c>
      <c r="AD65" s="290">
        <f>VLOOKUP($B65,'4、其他合同'!$D:$AK,29,0)</f>
        <v>0</v>
      </c>
      <c r="AE65" s="293">
        <f>VLOOKUP($B65,'4、其他合同'!$D:$AK,30,0)</f>
        <v>0</v>
      </c>
      <c r="AF65" s="293">
        <f>VLOOKUP($B65,'4、其他合同'!$D:$AK,31,0)</f>
        <v>0</v>
      </c>
      <c r="AG65" s="293">
        <f>VLOOKUP($B65,'4、其他合同'!$D:$AK,32,0)</f>
        <v>0</v>
      </c>
      <c r="AH65" s="293">
        <f>VLOOKUP($B65,'4、其他合同'!$D:$AK,33,0)</f>
        <v>0</v>
      </c>
      <c r="AI65" s="312">
        <f>VLOOKUP($B65,'4、其他合同'!$D:$AK,34,0)</f>
        <v>0</v>
      </c>
      <c r="AJ65" s="309">
        <f t="shared" si="13"/>
        <v>0</v>
      </c>
      <c r="AK65" s="289">
        <f t="shared" si="14"/>
        <v>215000</v>
      </c>
      <c r="AL65" s="310">
        <f t="shared" si="15"/>
        <v>0</v>
      </c>
      <c r="AM65" s="289">
        <f t="shared" si="16"/>
        <v>215000</v>
      </c>
      <c r="AN65" s="311" t="str">
        <f t="shared" si="17"/>
        <v>数据正确</v>
      </c>
    </row>
    <row r="66" s="228" customFormat="1" customHeight="1" spans="1:40">
      <c r="A66" s="228" t="str">
        <f t="shared" si="12"/>
        <v/>
      </c>
      <c r="B66" s="256">
        <v>61</v>
      </c>
      <c r="C66" s="266" t="str">
        <f>VLOOKUP($B66,'3、工程合同'!$D:$AL,2,0)</f>
        <v>YRKJGC-170003</v>
      </c>
      <c r="D66" s="267" t="str">
        <f>VLOOKUP($B66,'3、工程合同'!$D:$AL,3,0)</f>
        <v>工程合同</v>
      </c>
      <c r="E66" s="267">
        <f>VLOOKUP($B66,'3、工程合同'!$D:$AL,4,0)</f>
        <v>2017020021</v>
      </c>
      <c r="F66" s="268">
        <f>VLOOKUP($B66,'3、工程合同'!$D:$AL,5,0)</f>
        <v>42796</v>
      </c>
      <c r="G66" s="269">
        <f>VLOOKUP($B66,'3、工程合同'!$D:$AL,6,0)</f>
        <v>125000000</v>
      </c>
      <c r="H66" s="269" t="str">
        <f>VLOOKUP($B66,'3、工程合同'!$D:$AL,7,0)</f>
        <v>环己酮装置设计服务(环己酮预算范围内管控） 合同未拿</v>
      </c>
      <c r="I66" s="269" t="str">
        <f>VLOOKUP($B66,'3、工程合同'!$D:$AL,8,0)</f>
        <v>中国天辰工程有限公司</v>
      </c>
      <c r="J66" s="290">
        <f>VLOOKUP($B66,'3、工程合同'!$D:$AL,9,0)</f>
        <v>0</v>
      </c>
      <c r="K66" s="291" t="str">
        <f>VLOOKUP($B66,'3、工程合同'!$D:$AL,10,0)</f>
        <v>承兑汇票</v>
      </c>
      <c r="L66" s="292" t="str">
        <f>VLOOKUP($B66,'3、工程合同'!$D:$AL,11,0)</f>
        <v>-</v>
      </c>
      <c r="M66" s="293">
        <f>VLOOKUP($B66,'3、工程合同'!$D:$AL,12,0)</f>
        <v>43400000</v>
      </c>
      <c r="N66" s="293">
        <f>VLOOKUP($B66,'3、工程合同'!$D:$AL,13,0)</f>
        <v>11700000</v>
      </c>
      <c r="O66" s="290" t="str">
        <f>VLOOKUP($B66,'3、工程合同'!$D:$AL,14,0)</f>
        <v>-</v>
      </c>
      <c r="P66" s="293">
        <f>VLOOKUP($B66,'3、工程合同'!$D:$AL,15,0)</f>
        <v>40750000</v>
      </c>
      <c r="Q66" s="293">
        <f>VLOOKUP($B66,'3、工程合同'!$D:$AL,16,0)</f>
        <v>25550000</v>
      </c>
      <c r="R66" s="290" t="str">
        <f>VLOOKUP($B66,'3、工程合同'!$D:$AL,17,0)</f>
        <v>-</v>
      </c>
      <c r="S66" s="293">
        <f>VLOOKUP($B66,'3、工程合同'!$D:$AL,18,0)</f>
        <v>8900000</v>
      </c>
      <c r="T66" s="293">
        <f>VLOOKUP($B66,'3、工程合同'!$D:$AL,19,0)</f>
        <v>0</v>
      </c>
      <c r="U66" s="290" t="str">
        <f>VLOOKUP($B66,'3、工程合同'!$D:$AL,20,0)</f>
        <v>-</v>
      </c>
      <c r="V66" s="293">
        <f>VLOOKUP($B66,'3、工程合同'!$D:$AL,21,0)</f>
        <v>4400000</v>
      </c>
      <c r="W66" s="293">
        <f>VLOOKUP($B66,'3、工程合同'!$D:$AL,22,0)</f>
        <v>0</v>
      </c>
      <c r="X66" s="290" t="str">
        <f>VLOOKUP($B66,'3、工程合同'!$D:$AL,23,0)</f>
        <v>-</v>
      </c>
      <c r="Y66" s="293">
        <f>VLOOKUP($B66,'3、工程合同'!$D:$AL,24,0)</f>
        <v>8050000</v>
      </c>
      <c r="Z66" s="293">
        <f>VLOOKUP($B66,'3、工程合同'!$D:$AL,25,0)</f>
        <v>0</v>
      </c>
      <c r="AA66" s="290" t="str">
        <f>VLOOKUP($B66,'3、工程合同'!$D:$AL,26,0)</f>
        <v>-</v>
      </c>
      <c r="AB66" s="293">
        <f>VLOOKUP($B66,'3、工程合同'!$D:$AL,27,0)</f>
        <v>4400000</v>
      </c>
      <c r="AC66" s="293">
        <f>VLOOKUP($B66,'3、工程合同'!$D:$AL,28,0)</f>
        <v>0</v>
      </c>
      <c r="AD66" s="290" t="str">
        <f>VLOOKUP($B66,'3、工程合同'!$D:$AL,29,0)</f>
        <v>-</v>
      </c>
      <c r="AE66" s="293">
        <f>VLOOKUP($B66,'3、工程合同'!$D:$AL,30,0)</f>
        <v>7800000</v>
      </c>
      <c r="AF66" s="293">
        <f>VLOOKUP($B66,'3、工程合同'!$D:$AL,31,0)</f>
        <v>0</v>
      </c>
      <c r="AG66" s="293" t="str">
        <f>VLOOKUP($B66,'3、工程合同'!$D:$AL,32,0)</f>
        <v>-</v>
      </c>
      <c r="AH66" s="293">
        <f>VLOOKUP($B66,'3、工程合同'!$D:$AL,33,0)</f>
        <v>7300000</v>
      </c>
      <c r="AI66" s="312">
        <f>VLOOKUP($B66,'3、工程合同'!$D:$AL,34,0)</f>
        <v>0</v>
      </c>
      <c r="AJ66" s="309">
        <f t="shared" si="1"/>
        <v>37250000</v>
      </c>
      <c r="AK66" s="289">
        <f t="shared" si="2"/>
        <v>87750000</v>
      </c>
      <c r="AL66" s="310">
        <f t="shared" si="3"/>
        <v>0.298</v>
      </c>
      <c r="AM66" s="289">
        <f t="shared" si="4"/>
        <v>125000000</v>
      </c>
      <c r="AN66" s="311" t="str">
        <f t="shared" si="5"/>
        <v>数据正确</v>
      </c>
    </row>
    <row r="67" s="228" customFormat="1" customHeight="1" spans="1:40">
      <c r="A67" s="228" t="str">
        <f t="shared" si="12"/>
        <v/>
      </c>
      <c r="B67" s="261">
        <v>62</v>
      </c>
      <c r="C67" s="266" t="str">
        <f>VLOOKUP($B67,'3、工程合同'!$D:$AL,2,0)</f>
        <v>YRKJ-2017GC-SGHT004</v>
      </c>
      <c r="D67" s="267" t="str">
        <f>VLOOKUP($B67,'3、工程合同'!$D:$AL,3,0)</f>
        <v>工程合同</v>
      </c>
      <c r="E67" s="267" t="str">
        <f>VLOOKUP($B67,'3、工程合同'!$D:$AL,4,0)</f>
        <v>-</v>
      </c>
      <c r="F67" s="268">
        <f>VLOOKUP($B67,'3、工程合同'!$D:$AL,5,0)</f>
        <v>42814</v>
      </c>
      <c r="G67" s="269">
        <f>VLOOKUP($B67,'3、工程合同'!$D:$AL,6,0)</f>
        <v>3360000</v>
      </c>
      <c r="H67" s="269" t="str">
        <f>VLOOKUP($B67,'3、工程合同'!$D:$AL,7,0)</f>
        <v>桩基打桩工程第1标段施工合同书（预应力非一体化管桩24元/米，一体化22.5元/米） </v>
      </c>
      <c r="I67" s="269" t="str">
        <f>VLOOKUP($B67,'3、工程合同'!$D:$AL,8,0)</f>
        <v>福建省岩田基础工程技术有限公司</v>
      </c>
      <c r="J67" s="290">
        <f>VLOOKUP($B67,'3、工程合同'!$D:$AL,9,0)</f>
        <v>0</v>
      </c>
      <c r="K67" s="291" t="str">
        <f>VLOOKUP($B67,'3、工程合同'!$D:$AL,10,0)</f>
        <v>6个月承兑汇票</v>
      </c>
      <c r="L67" s="292" t="str">
        <f>VLOOKUP($B67,'3、工程合同'!$D:$AL,11,0)</f>
        <v>按月支付工程款，支付当月已验收完工对应价的80%，工程竣工验收合格后付清余款。现金支付，则价格下浮1.5%，对方提供11%专票后付款</v>
      </c>
      <c r="M67" s="293">
        <f>VLOOKUP($B67,'3、工程合同'!$D:$AL,12,0)</f>
        <v>2688000</v>
      </c>
      <c r="N67" s="293">
        <f>VLOOKUP($B67,'3、工程合同'!$D:$AL,13,0)</f>
        <v>1611000</v>
      </c>
      <c r="O67" s="290" t="str">
        <f>VLOOKUP($B67,'3、工程合同'!$D:$AL,14,0)</f>
        <v>按月支付工程款，支付当月已验收完工对应价的80%，工程竣工验收合格后付清余款。现金支付，则价格下浮1.5%，对方提供11%专票后付款</v>
      </c>
      <c r="P67" s="293">
        <f>VLOOKUP($B67,'3、工程合同'!$D:$AL,15,0)</f>
        <v>672000</v>
      </c>
      <c r="Q67" s="293">
        <f>VLOOKUP($B67,'3、工程合同'!$D:$AL,16,0)</f>
        <v>0</v>
      </c>
      <c r="R67" s="290">
        <f>VLOOKUP($B67,'3、工程合同'!$D:$AL,17,0)</f>
        <v>0</v>
      </c>
      <c r="S67" s="293">
        <f>VLOOKUP($B67,'3、工程合同'!$D:$AL,18,0)</f>
        <v>0</v>
      </c>
      <c r="T67" s="293">
        <f>VLOOKUP($B67,'3、工程合同'!$D:$AL,19,0)</f>
        <v>0</v>
      </c>
      <c r="U67" s="290">
        <f>VLOOKUP($B67,'3、工程合同'!$D:$AL,20,0)</f>
        <v>0</v>
      </c>
      <c r="V67" s="293">
        <f>VLOOKUP($B67,'3、工程合同'!$D:$AL,21,0)</f>
        <v>0</v>
      </c>
      <c r="W67" s="293">
        <f>VLOOKUP($B67,'3、工程合同'!$D:$AL,22,0)</f>
        <v>0</v>
      </c>
      <c r="X67" s="290">
        <f>VLOOKUP($B67,'3、工程合同'!$D:$AL,23,0)</f>
        <v>0</v>
      </c>
      <c r="Y67" s="293">
        <f>VLOOKUP($B67,'3、工程合同'!$D:$AL,24,0)</f>
        <v>0</v>
      </c>
      <c r="Z67" s="293">
        <f>VLOOKUP($B67,'3、工程合同'!$D:$AL,25,0)</f>
        <v>0</v>
      </c>
      <c r="AA67" s="290">
        <f>VLOOKUP($B67,'3、工程合同'!$D:$AL,26,0)</f>
        <v>0</v>
      </c>
      <c r="AB67" s="293">
        <f>VLOOKUP($B67,'3、工程合同'!$D:$AL,27,0)</f>
        <v>0</v>
      </c>
      <c r="AC67" s="293">
        <f>VLOOKUP($B67,'3、工程合同'!$D:$AL,28,0)</f>
        <v>0</v>
      </c>
      <c r="AD67" s="290">
        <f>VLOOKUP($B67,'3、工程合同'!$D:$AL,29,0)</f>
        <v>0</v>
      </c>
      <c r="AE67" s="293">
        <f>VLOOKUP($B67,'3、工程合同'!$D:$AL,30,0)</f>
        <v>0</v>
      </c>
      <c r="AF67" s="293">
        <f>VLOOKUP($B67,'3、工程合同'!$D:$AL,31,0)</f>
        <v>0</v>
      </c>
      <c r="AG67" s="293">
        <f>VLOOKUP($B67,'3、工程合同'!$D:$AL,32,0)</f>
        <v>0</v>
      </c>
      <c r="AH67" s="293">
        <f>VLOOKUP($B67,'3、工程合同'!$D:$AL,33,0)</f>
        <v>0</v>
      </c>
      <c r="AI67" s="312">
        <f>VLOOKUP($B67,'3、工程合同'!$D:$AL,34,0)</f>
        <v>0</v>
      </c>
      <c r="AJ67" s="309">
        <f t="shared" si="1"/>
        <v>1611000</v>
      </c>
      <c r="AK67" s="289">
        <f t="shared" si="2"/>
        <v>1749000</v>
      </c>
      <c r="AL67" s="310">
        <f t="shared" si="3"/>
        <v>0.479464285714286</v>
      </c>
      <c r="AM67" s="289">
        <f t="shared" si="4"/>
        <v>3360000</v>
      </c>
      <c r="AN67" s="311" t="str">
        <f t="shared" si="5"/>
        <v>数据正确</v>
      </c>
    </row>
    <row r="68" s="228" customFormat="1" customHeight="1" spans="1:40">
      <c r="A68" s="228" t="str">
        <f t="shared" si="12"/>
        <v>已完毕</v>
      </c>
      <c r="B68" s="261">
        <v>63</v>
      </c>
      <c r="C68" s="266" t="str">
        <f>VLOOKUP($B68,'4、其他合同'!$D:$AK,2,0)</f>
        <v>YRKJGC-170024</v>
      </c>
      <c r="D68" s="267" t="s">
        <v>25</v>
      </c>
      <c r="E68" s="267" t="str">
        <f>VLOOKUP($B68,'4、其他合同'!$D:$AK,4,0)</f>
        <v>-</v>
      </c>
      <c r="F68" s="268">
        <f>VLOOKUP($B68,'4、其他合同'!$D:$AK,5,0)</f>
        <v>42881</v>
      </c>
      <c r="G68" s="269">
        <f>VLOOKUP($B68,'4、其他合同'!$D:$AK,6,0)</f>
        <v>2329791.84</v>
      </c>
      <c r="H68" s="269" t="str">
        <f>VLOOKUP($B68,'4、其他合同'!$D:$AK,7,0)</f>
        <v>关于己内酰胺项目管理框架协议 </v>
      </c>
      <c r="I68" s="269" t="str">
        <f>VLOOKUP($B68,'4、其他合同'!$D:$AK,8,0)</f>
        <v>东洋工程（上海）有限公司</v>
      </c>
      <c r="J68" s="290">
        <f>VLOOKUP($B68,'4、其他合同'!$D:$AK,9,0)</f>
        <v>0</v>
      </c>
      <c r="K68" s="291" t="str">
        <f>VLOOKUP($B68,'4、其他合同'!$D:$AK,10,0)</f>
        <v>电汇</v>
      </c>
      <c r="L68" s="292" t="str">
        <f>VLOOKUP($B68,'4、其他合同'!$D:$AK,11,0)</f>
        <v>收到东洋出具发票后15天内支付给东洋指定账户</v>
      </c>
      <c r="M68" s="293">
        <f>VLOOKUP($B68,'4、其他合同'!$D:$AK,12,0)</f>
        <v>2329791.84</v>
      </c>
      <c r="N68" s="293">
        <f>VLOOKUP($B68,'4、其他合同'!$D:$AK,13,0)</f>
        <v>2329791.84</v>
      </c>
      <c r="O68" s="290">
        <f>VLOOKUP($B68,'4、其他合同'!$D:$AK,14,0)</f>
        <v>0</v>
      </c>
      <c r="P68" s="293">
        <f>VLOOKUP($B68,'4、其他合同'!$D:$AK,15,0)</f>
        <v>0</v>
      </c>
      <c r="Q68" s="293">
        <f>VLOOKUP($B68,'4、其他合同'!$D:$AK,16,0)</f>
        <v>0</v>
      </c>
      <c r="R68" s="290">
        <f>VLOOKUP($B68,'4、其他合同'!$D:$AK,17,0)</f>
        <v>0</v>
      </c>
      <c r="S68" s="293">
        <f>VLOOKUP($B68,'4、其他合同'!$D:$AK,18,0)</f>
        <v>0</v>
      </c>
      <c r="T68" s="293">
        <f>VLOOKUP($B68,'4、其他合同'!$D:$AK,19,0)</f>
        <v>0</v>
      </c>
      <c r="U68" s="290">
        <f>VLOOKUP($B68,'4、其他合同'!$D:$AK,20,0)</f>
        <v>0</v>
      </c>
      <c r="V68" s="293">
        <f>VLOOKUP($B68,'4、其他合同'!$D:$AK,21,0)</f>
        <v>0</v>
      </c>
      <c r="W68" s="293">
        <f>VLOOKUP($B68,'4、其他合同'!$D:$AK,22,0)</f>
        <v>0</v>
      </c>
      <c r="X68" s="290">
        <f>VLOOKUP($B68,'4、其他合同'!$D:$AK,23,0)</f>
        <v>0</v>
      </c>
      <c r="Y68" s="293">
        <f>VLOOKUP($B68,'4、其他合同'!$D:$AK,24,0)</f>
        <v>0</v>
      </c>
      <c r="Z68" s="293">
        <f>VLOOKUP($B68,'4、其他合同'!$D:$AK,25,0)</f>
        <v>0</v>
      </c>
      <c r="AA68" s="290">
        <f>VLOOKUP($B68,'4、其他合同'!$D:$AK,26,0)</f>
        <v>0</v>
      </c>
      <c r="AB68" s="293">
        <f>VLOOKUP($B68,'4、其他合同'!$D:$AK,27,0)</f>
        <v>0</v>
      </c>
      <c r="AC68" s="293">
        <f>VLOOKUP($B68,'4、其他合同'!$D:$AK,28,0)</f>
        <v>0</v>
      </c>
      <c r="AD68" s="290">
        <f>VLOOKUP($B68,'4、其他合同'!$D:$AK,29,0)</f>
        <v>0</v>
      </c>
      <c r="AE68" s="293">
        <f>VLOOKUP($B68,'4、其他合同'!$D:$AK,30,0)</f>
        <v>0</v>
      </c>
      <c r="AF68" s="293">
        <f>VLOOKUP($B68,'4、其他合同'!$D:$AK,31,0)</f>
        <v>0</v>
      </c>
      <c r="AG68" s="293">
        <f>VLOOKUP($B68,'4、其他合同'!$D:$AK,32,0)</f>
        <v>0</v>
      </c>
      <c r="AH68" s="293">
        <f>VLOOKUP($B68,'4、其他合同'!$D:$AK,33,0)</f>
        <v>0</v>
      </c>
      <c r="AI68" s="312">
        <f>VLOOKUP($B68,'4、其他合同'!$D:$AK,34,0)</f>
        <v>0</v>
      </c>
      <c r="AJ68" s="309">
        <f t="shared" si="1"/>
        <v>2329791.84</v>
      </c>
      <c r="AK68" s="289">
        <f t="shared" si="2"/>
        <v>0</v>
      </c>
      <c r="AL68" s="310">
        <f t="shared" si="3"/>
        <v>1</v>
      </c>
      <c r="AM68" s="289">
        <f t="shared" si="4"/>
        <v>2329791.84</v>
      </c>
      <c r="AN68" s="311" t="str">
        <f t="shared" si="5"/>
        <v>数据正确</v>
      </c>
    </row>
    <row r="69" s="228" customFormat="1" customHeight="1" spans="1:40">
      <c r="A69" s="228" t="str">
        <f t="shared" si="12"/>
        <v>已完毕</v>
      </c>
      <c r="B69" s="256">
        <v>64</v>
      </c>
      <c r="C69" s="266" t="str">
        <f>VLOOKUP($B69,'3、工程合同'!$D:$AL,2,0)</f>
        <v>YRKJGC-170027</v>
      </c>
      <c r="D69" s="267" t="str">
        <f>VLOOKUP($B69,'3、工程合同'!$D:$AL,3,0)</f>
        <v>工程合同</v>
      </c>
      <c r="E69" s="267" t="str">
        <f>VLOOKUP($B69,'3、工程合同'!$D:$AL,4,0)</f>
        <v>-</v>
      </c>
      <c r="F69" s="268">
        <f>VLOOKUP($B69,'3、工程合同'!$D:$AL,5,0)</f>
        <v>42875</v>
      </c>
      <c r="G69" s="269">
        <f>VLOOKUP($B69,'3、工程合同'!$D:$AL,6,0)</f>
        <v>259486.9</v>
      </c>
      <c r="H69" s="269" t="str">
        <f>VLOOKUP($B69,'3、工程合同'!$D:$AL,7,0)</f>
        <v>吊车租赁（按台班结算）</v>
      </c>
      <c r="I69" s="269" t="str">
        <f>VLOOKUP($B69,'3、工程合同'!$D:$AL,8,0)</f>
        <v>莆田市秀屿区笏石双雄吊车出租</v>
      </c>
      <c r="J69" s="290">
        <f>VLOOKUP($B69,'3、工程合同'!$D:$AL,9,0)</f>
        <v>0</v>
      </c>
      <c r="K69" s="291" t="str">
        <f>VLOOKUP($B69,'3、工程合同'!$D:$AL,10,0)</f>
        <v>电汇</v>
      </c>
      <c r="L69" s="292" t="str">
        <f>VLOOKUP($B69,'3、工程合同'!$D:$AL,11,0)</f>
        <v>发票：机械租赁费17%，吊车费6%，甲方如需开票，税点另算。每月结算一次，收到发票后5天内支付</v>
      </c>
      <c r="M69" s="293">
        <f>VLOOKUP($B69,'3、工程合同'!$D:$AL,12,0)</f>
        <v>259486.9</v>
      </c>
      <c r="N69" s="293">
        <f>VLOOKUP($B69,'3、工程合同'!$D:$AL,13,0)</f>
        <v>259486.9</v>
      </c>
      <c r="O69" s="290">
        <f>VLOOKUP($B69,'3、工程合同'!$D:$AL,14,0)</f>
        <v>0</v>
      </c>
      <c r="P69" s="293">
        <f>VLOOKUP($B69,'3、工程合同'!$D:$AL,15,0)</f>
        <v>0</v>
      </c>
      <c r="Q69" s="293">
        <f>VLOOKUP($B69,'3、工程合同'!$D:$AL,16,0)</f>
        <v>0</v>
      </c>
      <c r="R69" s="290">
        <f>VLOOKUP($B69,'3、工程合同'!$D:$AL,17,0)</f>
        <v>0</v>
      </c>
      <c r="S69" s="293">
        <f>VLOOKUP($B69,'3、工程合同'!$D:$AL,18,0)</f>
        <v>0</v>
      </c>
      <c r="T69" s="293">
        <f>VLOOKUP($B69,'3、工程合同'!$D:$AL,19,0)</f>
        <v>0</v>
      </c>
      <c r="U69" s="290">
        <f>VLOOKUP($B69,'3、工程合同'!$D:$AL,20,0)</f>
        <v>0</v>
      </c>
      <c r="V69" s="293">
        <f>VLOOKUP($B69,'3、工程合同'!$D:$AL,21,0)</f>
        <v>0</v>
      </c>
      <c r="W69" s="293">
        <f>VLOOKUP($B69,'3、工程合同'!$D:$AL,22,0)</f>
        <v>0</v>
      </c>
      <c r="X69" s="290">
        <f>VLOOKUP($B69,'3、工程合同'!$D:$AL,23,0)</f>
        <v>0</v>
      </c>
      <c r="Y69" s="293">
        <f>VLOOKUP($B69,'3、工程合同'!$D:$AL,24,0)</f>
        <v>0</v>
      </c>
      <c r="Z69" s="293">
        <f>VLOOKUP($B69,'3、工程合同'!$D:$AL,25,0)</f>
        <v>0</v>
      </c>
      <c r="AA69" s="290">
        <f>VLOOKUP($B69,'3、工程合同'!$D:$AL,26,0)</f>
        <v>0</v>
      </c>
      <c r="AB69" s="293">
        <f>VLOOKUP($B69,'3、工程合同'!$D:$AL,27,0)</f>
        <v>0</v>
      </c>
      <c r="AC69" s="293">
        <f>VLOOKUP($B69,'3、工程合同'!$D:$AL,28,0)</f>
        <v>0</v>
      </c>
      <c r="AD69" s="290">
        <f>VLOOKUP($B69,'3、工程合同'!$D:$AL,29,0)</f>
        <v>0</v>
      </c>
      <c r="AE69" s="293">
        <f>VLOOKUP($B69,'3、工程合同'!$D:$AL,30,0)</f>
        <v>0</v>
      </c>
      <c r="AF69" s="293">
        <f>VLOOKUP($B69,'3、工程合同'!$D:$AL,31,0)</f>
        <v>0</v>
      </c>
      <c r="AG69" s="293">
        <f>VLOOKUP($B69,'3、工程合同'!$D:$AL,32,0)</f>
        <v>0</v>
      </c>
      <c r="AH69" s="293">
        <f>VLOOKUP($B69,'3、工程合同'!$D:$AL,33,0)</f>
        <v>0</v>
      </c>
      <c r="AI69" s="312">
        <f>VLOOKUP($B69,'3、工程合同'!$D:$AL,34,0)</f>
        <v>0</v>
      </c>
      <c r="AJ69" s="309">
        <f t="shared" si="1"/>
        <v>259486.9</v>
      </c>
      <c r="AK69" s="289">
        <f t="shared" si="2"/>
        <v>0</v>
      </c>
      <c r="AL69" s="310">
        <f t="shared" si="3"/>
        <v>1</v>
      </c>
      <c r="AM69" s="289">
        <f t="shared" si="4"/>
        <v>259486.9</v>
      </c>
      <c r="AN69" s="311" t="str">
        <f t="shared" si="5"/>
        <v>数据正确</v>
      </c>
    </row>
    <row r="70" s="228" customFormat="1" customHeight="1" spans="1:40">
      <c r="A70" s="228" t="str">
        <f t="shared" si="12"/>
        <v/>
      </c>
      <c r="B70" s="261">
        <v>65</v>
      </c>
      <c r="C70" s="266" t="str">
        <f>VLOOKUP($B70,'4、其他合同'!$D:$AK,2,0)</f>
        <v>EVERSUN201506</v>
      </c>
      <c r="D70" s="267" t="s">
        <v>25</v>
      </c>
      <c r="E70" s="267" t="str">
        <f>VLOOKUP($B70,'4、其他合同'!$D:$AK,4,0)</f>
        <v>-</v>
      </c>
      <c r="F70" s="268">
        <f>VLOOKUP($B70,'4、其他合同'!$D:$AK,5,0)</f>
        <v>42160</v>
      </c>
      <c r="G70" s="269">
        <f>VLOOKUP($B70,'4、其他合同'!$D:$AK,6,0)</f>
        <v>21940000</v>
      </c>
      <c r="H70" s="269" t="str">
        <f>VLOOKUP($B70,'4、其他合同'!$D:$AK,7,0)</f>
        <v>湖南百利设计费</v>
      </c>
      <c r="I70" s="269" t="str">
        <f>VLOOKUP($B70,'4、其他合同'!$D:$AK,8,0)</f>
        <v>湖南百利工程科技股份有限公司</v>
      </c>
      <c r="J70" s="290" t="str">
        <f>VLOOKUP($B70,'4、其他合同'!$D:$AK,9,0)</f>
        <v>非装置</v>
      </c>
      <c r="K70" s="291" t="str">
        <f>VLOOKUP($B70,'4、其他合同'!$D:$AK,10,0)</f>
        <v>承兑</v>
      </c>
      <c r="L70" s="292" t="str">
        <f>VLOOKUP($B70,'4、其他合同'!$D:$AK,11,0)</f>
        <v>合同签订且甲方收到乙方对应金额的正式发票后，甲方在三十天内向乙方支付设计费的15%，作为定金。</v>
      </c>
      <c r="M70" s="293">
        <f>VLOOKUP($B70,'4、其他合同'!$D:$AK,12,0)</f>
        <v>3291000</v>
      </c>
      <c r="N70" s="293">
        <f>VLOOKUP($B70,'4、其他合同'!$D:$AK,13,0)</f>
        <v>3750000</v>
      </c>
      <c r="O70" s="290" t="str">
        <f>VLOOKUP($B70,'4、其他合同'!$D:$AK,14,0)</f>
        <v>乙方向甲方提交长周期设备数据表或工程图及用于长周期设备采购文件，甲方需咋一周内进行确认，确认后三十天内，甲方支付设计费的5%</v>
      </c>
      <c r="P70" s="293">
        <f>VLOOKUP($B70,'4、其他合同'!$D:$AK,15,0)</f>
        <v>1097000</v>
      </c>
      <c r="Q70" s="293">
        <f>VLOOKUP($B70,'4、其他合同'!$D:$AK,16,0)</f>
        <v>10000000</v>
      </c>
      <c r="R70" s="290" t="str">
        <f>VLOOKUP($B70,'4、其他合同'!$D:$AK,17,0)</f>
        <v>乙方基础工程设计文件审查后，甲方在30天内甲方向乙方支付设计费30%</v>
      </c>
      <c r="S70" s="293">
        <f>VLOOKUP($B70,'4、其他合同'!$D:$AK,18,0)</f>
        <v>6582000</v>
      </c>
      <c r="T70" s="293">
        <f>VLOOKUP($B70,'4、其他合同'!$D:$AK,19,0)</f>
        <v>1133000</v>
      </c>
      <c r="U70" s="290" t="str">
        <f>VLOOKUP($B70,'4、其他合同'!$D:$AK,20,0)</f>
        <v>乙方向甲方提交工艺管道及仪表流程图PID,甲方需在一周内进行确认，确认后三十天内，甲方支付设计费5%</v>
      </c>
      <c r="V70" s="293">
        <f>VLOOKUP($B70,'4、其他合同'!$D:$AK,21,0)</f>
        <v>1097000</v>
      </c>
      <c r="W70" s="293">
        <f>VLOOKUP($B70,'4、其他合同'!$D:$AK,22,0)</f>
        <v>0</v>
      </c>
      <c r="X70" s="290" t="str">
        <f>VLOOKUP($B70,'4、其他合同'!$D:$AK,23,0)</f>
        <v>乙方向甲方提供主要建构筑物的土建施工图，甲方需在一周内进行确认，确认后30天内向乙方支付设计费的30%</v>
      </c>
      <c r="Y70" s="293">
        <f>VLOOKUP($B70,'4、其他合同'!$D:$AK,24,0)</f>
        <v>1097000</v>
      </c>
      <c r="Z70" s="293">
        <f>VLOOKUP($B70,'4、其他合同'!$D:$AK,25,0)</f>
        <v>0</v>
      </c>
      <c r="AA70" s="290" t="str">
        <f>VLOOKUP($B70,'4、其他合同'!$D:$AK,26,0)</f>
        <v>乙方向甲方提交全部详细工程设计文件，甲方需在一周内进行确认，30天内支付设计费的30%</v>
      </c>
      <c r="AB70" s="293">
        <f>VLOOKUP($B70,'4、其他合同'!$D:$AK,27,0)</f>
        <v>6582000</v>
      </c>
      <c r="AC70" s="293">
        <f>VLOOKUP($B70,'4、其他合同'!$D:$AK,28,0)</f>
        <v>0</v>
      </c>
      <c r="AD70" s="290" t="str">
        <f>VLOOKUP($B70,'4、其他合同'!$D:$AK,29,0)</f>
        <v>待本合同项下所有工厂装置性能考核合格，项目开车成功后3个月内，甲方向乙方支付至设计费的100%。</v>
      </c>
      <c r="AE70" s="293">
        <f>VLOOKUP($B70,'4、其他合同'!$D:$AK,30,0)</f>
        <v>2194000</v>
      </c>
      <c r="AF70" s="293">
        <f>VLOOKUP($B70,'4、其他合同'!$D:$AK,31,0)</f>
        <v>0</v>
      </c>
      <c r="AG70" s="293">
        <f>VLOOKUP($B70,'4、其他合同'!$D:$AK,32,0)</f>
        <v>0</v>
      </c>
      <c r="AH70" s="293">
        <f>VLOOKUP($B70,'4、其他合同'!$D:$AK,33,0)</f>
        <v>0</v>
      </c>
      <c r="AI70" s="312">
        <f>VLOOKUP($B70,'4、其他合同'!$D:$AK,34,0)</f>
        <v>0</v>
      </c>
      <c r="AJ70" s="309">
        <f t="shared" si="1"/>
        <v>14883000</v>
      </c>
      <c r="AK70" s="289">
        <f t="shared" si="2"/>
        <v>7057000</v>
      </c>
      <c r="AL70" s="310">
        <f t="shared" si="3"/>
        <v>0.678350045578851</v>
      </c>
      <c r="AM70" s="289">
        <f t="shared" si="4"/>
        <v>21940000</v>
      </c>
      <c r="AN70" s="311" t="str">
        <f t="shared" si="5"/>
        <v>数据正确</v>
      </c>
    </row>
    <row r="71" s="228" customFormat="1" customHeight="1" spans="1:40">
      <c r="A71" s="228" t="str">
        <f t="shared" ref="A71:A102" si="18">IF(AL71=100%,"已完毕","")</f>
        <v/>
      </c>
      <c r="B71" s="261">
        <v>66</v>
      </c>
      <c r="C71" s="266" t="str">
        <f>VLOOKUP($B71,'3、工程合同'!$D:$AL,2,0)</f>
        <v>YRKJ-2017GC-SGHT005</v>
      </c>
      <c r="D71" s="267" t="str">
        <f>VLOOKUP($B71,'3、工程合同'!$D:$AL,3,0)</f>
        <v>工程合同</v>
      </c>
      <c r="E71" s="267" t="str">
        <f>VLOOKUP($B71,'3、工程合同'!$D:$AL,4,0)</f>
        <v>-</v>
      </c>
      <c r="F71" s="268">
        <f>VLOOKUP($B71,'3、工程合同'!$D:$AL,5,0)</f>
        <v>42814</v>
      </c>
      <c r="G71" s="269">
        <f>VLOOKUP($B71,'3、工程合同'!$D:$AL,6,0)</f>
        <v>3400000</v>
      </c>
      <c r="H71" s="269" t="str">
        <f>VLOOKUP($B71,'3、工程合同'!$D:$AL,7,0)</f>
        <v>桩基打桩工程第2标段施工合同书（预应力非一体化管桩24元/米，一体化22.4元/米）</v>
      </c>
      <c r="I71" s="269" t="str">
        <f>VLOOKUP($B71,'3、工程合同'!$D:$AL,8,0)</f>
        <v>湖北建东勘察基础工程有限公司</v>
      </c>
      <c r="J71" s="290">
        <f>VLOOKUP($B71,'3、工程合同'!$D:$AL,9,0)</f>
        <v>0</v>
      </c>
      <c r="K71" s="291" t="str">
        <f>VLOOKUP($B71,'3、工程合同'!$D:$AL,10,0)</f>
        <v>6个月承兑汇票</v>
      </c>
      <c r="L71" s="292" t="str">
        <f>VLOOKUP($B71,'3、工程合同'!$D:$AL,11,0)</f>
        <v>按月支付工程款，支付当月已验收完工对应价的80%，工程竣工验收合格后付清余款。现金支付，则价格下浮2%，对方提供11%专票后付款</v>
      </c>
      <c r="M71" s="293">
        <f>VLOOKUP($B71,'3、工程合同'!$D:$AL,12,0)</f>
        <v>2720000</v>
      </c>
      <c r="N71" s="293">
        <f>VLOOKUP($B71,'3、工程合同'!$D:$AL,13,0)</f>
        <v>1150000</v>
      </c>
      <c r="O71" s="290" t="str">
        <f>VLOOKUP($B71,'3、工程合同'!$D:$AL,14,0)</f>
        <v>按月支付工程款，支付当月已验收完工对应价的80%，工程竣工验收合格后付清余款。现金支付，则价格下浮2%，对方提供11%专票后付款</v>
      </c>
      <c r="P71" s="293">
        <f>VLOOKUP($B71,'3、工程合同'!$D:$AL,15,0)</f>
        <v>680000</v>
      </c>
      <c r="Q71" s="293">
        <f>VLOOKUP($B71,'3、工程合同'!$D:$AL,16,0)</f>
        <v>0</v>
      </c>
      <c r="R71" s="290">
        <f>VLOOKUP($B71,'3、工程合同'!$D:$AL,17,0)</f>
        <v>0</v>
      </c>
      <c r="S71" s="293">
        <f>VLOOKUP($B71,'3、工程合同'!$D:$AL,18,0)</f>
        <v>0</v>
      </c>
      <c r="T71" s="293">
        <f>VLOOKUP($B71,'3、工程合同'!$D:$AL,19,0)</f>
        <v>0</v>
      </c>
      <c r="U71" s="290">
        <f>VLOOKUP($B71,'3、工程合同'!$D:$AL,20,0)</f>
        <v>0</v>
      </c>
      <c r="V71" s="293">
        <f>VLOOKUP($B71,'3、工程合同'!$D:$AL,21,0)</f>
        <v>0</v>
      </c>
      <c r="W71" s="293">
        <f>VLOOKUP($B71,'3、工程合同'!$D:$AL,22,0)</f>
        <v>0</v>
      </c>
      <c r="X71" s="290">
        <f>VLOOKUP($B71,'3、工程合同'!$D:$AL,23,0)</f>
        <v>0</v>
      </c>
      <c r="Y71" s="293">
        <f>VLOOKUP($B71,'3、工程合同'!$D:$AL,24,0)</f>
        <v>0</v>
      </c>
      <c r="Z71" s="293">
        <f>VLOOKUP($B71,'3、工程合同'!$D:$AL,25,0)</f>
        <v>0</v>
      </c>
      <c r="AA71" s="290">
        <f>VLOOKUP($B71,'3、工程合同'!$D:$AL,26,0)</f>
        <v>0</v>
      </c>
      <c r="AB71" s="293">
        <f>VLOOKUP($B71,'3、工程合同'!$D:$AL,27,0)</f>
        <v>0</v>
      </c>
      <c r="AC71" s="293">
        <f>VLOOKUP($B71,'3、工程合同'!$D:$AL,28,0)</f>
        <v>0</v>
      </c>
      <c r="AD71" s="290">
        <f>VLOOKUP($B71,'3、工程合同'!$D:$AL,29,0)</f>
        <v>0</v>
      </c>
      <c r="AE71" s="293">
        <f>VLOOKUP($B71,'3、工程合同'!$D:$AL,30,0)</f>
        <v>0</v>
      </c>
      <c r="AF71" s="293">
        <f>VLOOKUP($B71,'3、工程合同'!$D:$AL,31,0)</f>
        <v>0</v>
      </c>
      <c r="AG71" s="293">
        <f>VLOOKUP($B71,'3、工程合同'!$D:$AL,32,0)</f>
        <v>0</v>
      </c>
      <c r="AH71" s="293">
        <f>VLOOKUP($B71,'3、工程合同'!$D:$AL,33,0)</f>
        <v>0</v>
      </c>
      <c r="AI71" s="312">
        <f>VLOOKUP($B71,'3、工程合同'!$D:$AL,34,0)</f>
        <v>0</v>
      </c>
      <c r="AJ71" s="309">
        <f t="shared" si="1"/>
        <v>1150000</v>
      </c>
      <c r="AK71" s="289">
        <f t="shared" si="2"/>
        <v>2250000</v>
      </c>
      <c r="AL71" s="310">
        <f t="shared" si="3"/>
        <v>0.338235294117647</v>
      </c>
      <c r="AM71" s="289">
        <f t="shared" si="4"/>
        <v>3400000</v>
      </c>
      <c r="AN71" s="311" t="str">
        <f t="shared" si="5"/>
        <v>数据正确</v>
      </c>
    </row>
    <row r="72" s="228" customFormat="1" customHeight="1" spans="1:40">
      <c r="A72" s="228" t="str">
        <f t="shared" si="18"/>
        <v/>
      </c>
      <c r="B72" s="256">
        <v>67</v>
      </c>
      <c r="C72" s="262" t="str">
        <f>VLOOKUP($B72,'2、设备合同'!$D:$AK,2,0)</f>
        <v>YRKJEQ-170024-1</v>
      </c>
      <c r="D72" s="263" t="str">
        <f>VLOOKUP($B72,'2、设备合同'!$D:$AK,3,0)</f>
        <v>设备合同</v>
      </c>
      <c r="E72" s="263">
        <f>VLOOKUP($B72,'2、设备合同'!$D:$AK,4,0)</f>
        <v>0</v>
      </c>
      <c r="F72" s="264">
        <f>VLOOKUP($B72,'2、设备合同'!$D:$AK,5,0)</f>
        <v>42912</v>
      </c>
      <c r="G72" s="265">
        <f>VLOOKUP($B72,'2、设备合同'!$D:$AK,6,0)</f>
        <v>160000</v>
      </c>
      <c r="H72" s="265" t="str">
        <f>VLOOKUP($B72,'2、设备合同'!$D:$AK,7,0)</f>
        <v>过滤器3台及增补技术协议</v>
      </c>
      <c r="I72" s="265" t="str">
        <f>VLOOKUP($B72,'2、设备合同'!$D:$AK,8,0)</f>
        <v>上海泽尔石化设备有限公司</v>
      </c>
      <c r="J72" s="286">
        <f>VLOOKUP($B72,'2、设备合同'!$D:$AK,9,0)</f>
        <v>0</v>
      </c>
      <c r="K72" s="287" t="str">
        <f>VLOOKUP($B72,'2、设备合同'!$D:$AK,10,0)</f>
        <v>承兑汇票</v>
      </c>
      <c r="L72" s="288" t="str">
        <f>VLOOKUP($B72,'2、设备合同'!$D:$AK,11,0)</f>
        <v>在乙方工厂初步验收后支付合同金额的60%为发货款。乙方提供10%的履约保证金</v>
      </c>
      <c r="M72" s="289">
        <f>VLOOKUP($B72,'2、设备合同'!$D:$AK,12,0)</f>
        <v>96000</v>
      </c>
      <c r="N72" s="289">
        <f>VLOOKUP($B72,'2、设备合同'!$D:$AK,13,0)</f>
        <v>0</v>
      </c>
      <c r="O72" s="286" t="str">
        <f>VLOOKUP($B72,'2、设备合同'!$D:$AK,14,0)</f>
        <v>甲方接收货物验收合格安装调试合格后30个工作日，收到全额的增值税发票后，支付30%货款</v>
      </c>
      <c r="P72" s="289">
        <f>VLOOKUP($B72,'2、设备合同'!$D:$AK,15,0)</f>
        <v>48000</v>
      </c>
      <c r="Q72" s="289">
        <f>VLOOKUP($B72,'2、设备合同'!$D:$AK,16,0)</f>
        <v>0</v>
      </c>
      <c r="R72" s="286" t="str">
        <f>VLOOKUP($B72,'2、设备合同'!$D:$AK,17,0)</f>
        <v>10%质量保证金，验收合格后满18月后支付</v>
      </c>
      <c r="S72" s="289">
        <f>VLOOKUP($B72,'2、设备合同'!$D:$AK,18,0)</f>
        <v>16000</v>
      </c>
      <c r="T72" s="289">
        <f>VLOOKUP($B72,'2、设备合同'!$D:$AK,19,0)</f>
        <v>0</v>
      </c>
      <c r="U72" s="286">
        <f>VLOOKUP($B72,'2、设备合同'!$D:$AK,20,0)</f>
        <v>0</v>
      </c>
      <c r="V72" s="289">
        <f>VLOOKUP($B72,'2、设备合同'!$D:$AK,21,0)</f>
        <v>0</v>
      </c>
      <c r="W72" s="289">
        <f>VLOOKUP($B72,'2、设备合同'!$D:$AK,22,0)</f>
        <v>0</v>
      </c>
      <c r="X72" s="286">
        <f>VLOOKUP($B72,'2、设备合同'!$D:$AK,23,0)</f>
        <v>0</v>
      </c>
      <c r="Y72" s="289">
        <f>VLOOKUP($B72,'2、设备合同'!$D:$AK,24,0)</f>
        <v>0</v>
      </c>
      <c r="Z72" s="289">
        <f>VLOOKUP($B72,'2、设备合同'!$D:$AK,25,0)</f>
        <v>0</v>
      </c>
      <c r="AA72" s="286">
        <f>VLOOKUP($B72,'2、设备合同'!$D:$AK,26,0)</f>
        <v>0</v>
      </c>
      <c r="AB72" s="289">
        <f>VLOOKUP($B72,'2、设备合同'!$D:$AK,27,0)</f>
        <v>0</v>
      </c>
      <c r="AC72" s="289">
        <f>VLOOKUP($B72,'2、设备合同'!$D:$AK,28,0)</f>
        <v>0</v>
      </c>
      <c r="AD72" s="286">
        <f>VLOOKUP($B72,'2、设备合同'!$D:$AK,29,0)</f>
        <v>0</v>
      </c>
      <c r="AE72" s="289">
        <f>VLOOKUP($B72,'2、设备合同'!$D:$AK,30,0)</f>
        <v>0</v>
      </c>
      <c r="AF72" s="289">
        <f>VLOOKUP($B72,'2、设备合同'!$D:$AK,31,0)</f>
        <v>0</v>
      </c>
      <c r="AG72" s="289">
        <f>VLOOKUP($B72,'2、设备合同'!$D:$AK,32,0)</f>
        <v>0</v>
      </c>
      <c r="AH72" s="289">
        <f>VLOOKUP($B72,'2、设备合同'!$D:$AK,33,0)</f>
        <v>0</v>
      </c>
      <c r="AI72" s="308">
        <f>VLOOKUP($B72,'2、设备合同'!$D:$AK,34,0)</f>
        <v>0</v>
      </c>
      <c r="AJ72" s="309">
        <f t="shared" si="1"/>
        <v>0</v>
      </c>
      <c r="AK72" s="289">
        <f t="shared" si="2"/>
        <v>160000</v>
      </c>
      <c r="AL72" s="310">
        <f t="shared" si="3"/>
        <v>0</v>
      </c>
      <c r="AM72" s="289">
        <f t="shared" si="4"/>
        <v>160000</v>
      </c>
      <c r="AN72" s="311" t="str">
        <f t="shared" si="5"/>
        <v>数据正确</v>
      </c>
    </row>
    <row r="73" s="228" customFormat="1" customHeight="1" spans="1:40">
      <c r="A73" s="228" t="str">
        <f t="shared" si="18"/>
        <v/>
      </c>
      <c r="B73" s="261">
        <v>68</v>
      </c>
      <c r="C73" s="266" t="str">
        <f>VLOOKUP($B73,'4、其他合同'!$D:$AK,2,0)</f>
        <v>YRKJXZ-170025</v>
      </c>
      <c r="D73" s="267" t="s">
        <v>25</v>
      </c>
      <c r="E73" s="267">
        <f>VLOOKUP($B73,'4、其他合同'!$D:$AK,4,0)</f>
        <v>2017050001</v>
      </c>
      <c r="F73" s="268">
        <f>VLOOKUP($B73,'4、其他合同'!$D:$AK,5,0)</f>
        <v>42920</v>
      </c>
      <c r="G73" s="269">
        <f>VLOOKUP($B73,'4、其他合同'!$D:$AK,6,0)</f>
        <v>74784</v>
      </c>
      <c r="H73" s="269" t="str">
        <f>VLOOKUP($B73,'4、其他合同'!$D:$AK,7,0)</f>
        <v>窗帘</v>
      </c>
      <c r="I73" s="269" t="str">
        <f>VLOOKUP($B73,'4、其他合同'!$D:$AK,8,0)</f>
        <v>莆田市鸿运窗饰贸易有限公司</v>
      </c>
      <c r="J73" s="290">
        <f>VLOOKUP($B73,'4、其他合同'!$D:$AK,9,0)</f>
        <v>0</v>
      </c>
      <c r="K73" s="291" t="str">
        <f>VLOOKUP($B73,'4、其他合同'!$D:$AK,10,0)</f>
        <v>电汇</v>
      </c>
      <c r="L73" s="292" t="str">
        <f>VLOOKUP($B73,'4、其他合同'!$D:$AK,11,0)</f>
        <v>收到全额的增值税普票后，支付15%预付款</v>
      </c>
      <c r="M73" s="293">
        <f>VLOOKUP($B73,'4、其他合同'!$D:$AK,12,0)</f>
        <v>11217.6</v>
      </c>
      <c r="N73" s="293">
        <f>VLOOKUP($B73,'4、其他合同'!$D:$AK,13,0)</f>
        <v>0</v>
      </c>
      <c r="O73" s="290" t="str">
        <f>VLOOKUP($B73,'4、其他合同'!$D:$AK,14,0)</f>
        <v>甲方接收货物验收合格后，在安装调试验收合格后20个工作日支付85%</v>
      </c>
      <c r="P73" s="293">
        <f>VLOOKUP($B73,'4、其他合同'!$D:$AK,15,0)</f>
        <v>63566.4</v>
      </c>
      <c r="Q73" s="293">
        <f>VLOOKUP($B73,'4、其他合同'!$D:$AK,16,0)</f>
        <v>0</v>
      </c>
      <c r="R73" s="290">
        <f>VLOOKUP($B73,'4、其他合同'!$D:$AK,17,0)</f>
        <v>0</v>
      </c>
      <c r="S73" s="293">
        <f>VLOOKUP($B73,'4、其他合同'!$D:$AK,18,0)</f>
        <v>0</v>
      </c>
      <c r="T73" s="293">
        <f>VLOOKUP($B73,'4、其他合同'!$D:$AK,19,0)</f>
        <v>0</v>
      </c>
      <c r="U73" s="290">
        <f>VLOOKUP($B73,'4、其他合同'!$D:$AK,20,0)</f>
        <v>0</v>
      </c>
      <c r="V73" s="293">
        <f>VLOOKUP($B73,'4、其他合同'!$D:$AK,21,0)</f>
        <v>0</v>
      </c>
      <c r="W73" s="293">
        <f>VLOOKUP($B73,'4、其他合同'!$D:$AK,22,0)</f>
        <v>0</v>
      </c>
      <c r="X73" s="290">
        <f>VLOOKUP($B73,'4、其他合同'!$D:$AK,23,0)</f>
        <v>0</v>
      </c>
      <c r="Y73" s="293">
        <f>VLOOKUP($B73,'4、其他合同'!$D:$AK,24,0)</f>
        <v>0</v>
      </c>
      <c r="Z73" s="293">
        <f>VLOOKUP($B73,'4、其他合同'!$D:$AK,25,0)</f>
        <v>0</v>
      </c>
      <c r="AA73" s="290">
        <f>VLOOKUP($B73,'4、其他合同'!$D:$AK,26,0)</f>
        <v>0</v>
      </c>
      <c r="AB73" s="293">
        <f>VLOOKUP($B73,'4、其他合同'!$D:$AK,27,0)</f>
        <v>0</v>
      </c>
      <c r="AC73" s="293">
        <f>VLOOKUP($B73,'4、其他合同'!$D:$AK,28,0)</f>
        <v>0</v>
      </c>
      <c r="AD73" s="290">
        <f>VLOOKUP($B73,'4、其他合同'!$D:$AK,29,0)</f>
        <v>0</v>
      </c>
      <c r="AE73" s="293">
        <f>VLOOKUP($B73,'4、其他合同'!$D:$AK,30,0)</f>
        <v>0</v>
      </c>
      <c r="AF73" s="293">
        <f>VLOOKUP($B73,'4、其他合同'!$D:$AK,31,0)</f>
        <v>0</v>
      </c>
      <c r="AG73" s="293">
        <f>VLOOKUP($B73,'4、其他合同'!$D:$AK,32,0)</f>
        <v>0</v>
      </c>
      <c r="AH73" s="293">
        <f>VLOOKUP($B73,'4、其他合同'!$D:$AK,33,0)</f>
        <v>0</v>
      </c>
      <c r="AI73" s="312">
        <f>VLOOKUP($B73,'4、其他合同'!$D:$AK,34,0)</f>
        <v>0</v>
      </c>
      <c r="AJ73" s="309">
        <f t="shared" si="1"/>
        <v>0</v>
      </c>
      <c r="AK73" s="289">
        <f t="shared" si="2"/>
        <v>74784</v>
      </c>
      <c r="AL73" s="310">
        <f t="shared" si="3"/>
        <v>0</v>
      </c>
      <c r="AM73" s="289">
        <f t="shared" si="4"/>
        <v>74784</v>
      </c>
      <c r="AN73" s="311" t="str">
        <f t="shared" si="5"/>
        <v>数据正确</v>
      </c>
    </row>
    <row r="74" s="228" customFormat="1" customHeight="1" spans="1:40">
      <c r="A74" s="228" t="str">
        <f t="shared" si="18"/>
        <v>已完毕</v>
      </c>
      <c r="B74" s="261">
        <v>69</v>
      </c>
      <c r="C74" s="266" t="str">
        <f>VLOOKUP($B74,'3、工程合同'!$D:$AL,2,0)</f>
        <v>YRKJGC-170030</v>
      </c>
      <c r="D74" s="267" t="str">
        <f>VLOOKUP($B74,'3、工程合同'!$D:$AL,3,0)</f>
        <v>工程合同</v>
      </c>
      <c r="E74" s="267">
        <f>VLOOKUP($B74,'3、工程合同'!$D:$AL,4,0)</f>
        <v>2017060007</v>
      </c>
      <c r="F74" s="268">
        <f>VLOOKUP($B74,'3、工程合同'!$D:$AL,5,0)</f>
        <v>42912</v>
      </c>
      <c r="G74" s="269">
        <f>VLOOKUP($B74,'3、工程合同'!$D:$AL,6,0)</f>
        <v>100000</v>
      </c>
      <c r="H74" s="269" t="str">
        <f>VLOOKUP($B74,'3、工程合同'!$D:$AL,7,0)</f>
        <v>枕木等五金工具</v>
      </c>
      <c r="I74" s="269" t="str">
        <f>VLOOKUP($B74,'3、工程合同'!$D:$AL,8,0)</f>
        <v>泉州市超越机电设备有限公司</v>
      </c>
      <c r="J74" s="290">
        <f>VLOOKUP($B74,'3、工程合同'!$D:$AL,9,0)</f>
        <v>0</v>
      </c>
      <c r="K74" s="291" t="str">
        <f>VLOOKUP($B74,'3、工程合同'!$D:$AL,10,0)</f>
        <v>6个月承兑汇票</v>
      </c>
      <c r="L74" s="292" t="str">
        <f>VLOOKUP($B74,'3、工程合同'!$D:$AL,11,0)</f>
        <v>甲方收到核定验收合格报告及全额的发票后30日之内支付100%货款</v>
      </c>
      <c r="M74" s="293">
        <f>VLOOKUP($B74,'3、工程合同'!$D:$AL,12,0)</f>
        <v>100000</v>
      </c>
      <c r="N74" s="293">
        <f>VLOOKUP($B74,'3、工程合同'!$D:$AL,13,0)</f>
        <v>100000</v>
      </c>
      <c r="O74" s="290">
        <f>VLOOKUP($B74,'3、工程合同'!$D:$AL,14,0)</f>
        <v>0</v>
      </c>
      <c r="P74" s="293">
        <f>VLOOKUP($B74,'3、工程合同'!$D:$AL,15,0)</f>
        <v>0</v>
      </c>
      <c r="Q74" s="293">
        <f>VLOOKUP($B74,'3、工程合同'!$D:$AL,16,0)</f>
        <v>0</v>
      </c>
      <c r="R74" s="290">
        <f>VLOOKUP($B74,'3、工程合同'!$D:$AL,17,0)</f>
        <v>0</v>
      </c>
      <c r="S74" s="293">
        <f>VLOOKUP($B74,'3、工程合同'!$D:$AL,18,0)</f>
        <v>0</v>
      </c>
      <c r="T74" s="293">
        <f>VLOOKUP($B74,'3、工程合同'!$D:$AL,19,0)</f>
        <v>0</v>
      </c>
      <c r="U74" s="290">
        <f>VLOOKUP($B74,'3、工程合同'!$D:$AL,20,0)</f>
        <v>0</v>
      </c>
      <c r="V74" s="293">
        <f>VLOOKUP($B74,'3、工程合同'!$D:$AL,21,0)</f>
        <v>0</v>
      </c>
      <c r="W74" s="293">
        <f>VLOOKUP($B74,'3、工程合同'!$D:$AL,22,0)</f>
        <v>0</v>
      </c>
      <c r="X74" s="290">
        <f>VLOOKUP($B74,'3、工程合同'!$D:$AL,23,0)</f>
        <v>0</v>
      </c>
      <c r="Y74" s="293">
        <f>VLOOKUP($B74,'3、工程合同'!$D:$AL,24,0)</f>
        <v>0</v>
      </c>
      <c r="Z74" s="293">
        <f>VLOOKUP($B74,'3、工程合同'!$D:$AL,25,0)</f>
        <v>0</v>
      </c>
      <c r="AA74" s="290">
        <f>VLOOKUP($B74,'3、工程合同'!$D:$AL,26,0)</f>
        <v>0</v>
      </c>
      <c r="AB74" s="293">
        <f>VLOOKUP($B74,'3、工程合同'!$D:$AL,27,0)</f>
        <v>0</v>
      </c>
      <c r="AC74" s="293">
        <f>VLOOKUP($B74,'3、工程合同'!$D:$AL,28,0)</f>
        <v>0</v>
      </c>
      <c r="AD74" s="290">
        <f>VLOOKUP($B74,'3、工程合同'!$D:$AL,29,0)</f>
        <v>0</v>
      </c>
      <c r="AE74" s="293">
        <f>VLOOKUP($B74,'3、工程合同'!$D:$AL,30,0)</f>
        <v>0</v>
      </c>
      <c r="AF74" s="293">
        <f>VLOOKUP($B74,'3、工程合同'!$D:$AL,31,0)</f>
        <v>0</v>
      </c>
      <c r="AG74" s="293">
        <f>VLOOKUP($B74,'3、工程合同'!$D:$AL,32,0)</f>
        <v>0</v>
      </c>
      <c r="AH74" s="293">
        <f>VLOOKUP($B74,'3、工程合同'!$D:$AL,33,0)</f>
        <v>0</v>
      </c>
      <c r="AI74" s="312">
        <f>VLOOKUP($B74,'3、工程合同'!$D:$AL,34,0)</f>
        <v>0</v>
      </c>
      <c r="AJ74" s="309">
        <f t="shared" si="1"/>
        <v>100000</v>
      </c>
      <c r="AK74" s="289">
        <f t="shared" si="2"/>
        <v>0</v>
      </c>
      <c r="AL74" s="310">
        <f t="shared" si="3"/>
        <v>1</v>
      </c>
      <c r="AM74" s="289">
        <f t="shared" si="4"/>
        <v>100000</v>
      </c>
      <c r="AN74" s="311" t="str">
        <f t="shared" si="5"/>
        <v>数据正确</v>
      </c>
    </row>
    <row r="75" s="228" customFormat="1" customHeight="1" spans="1:40">
      <c r="A75" s="228" t="str">
        <f t="shared" si="18"/>
        <v/>
      </c>
      <c r="B75" s="256">
        <v>70</v>
      </c>
      <c r="C75" s="262" t="str">
        <f>VLOOKUP($B75,'2、设备合同'!$D:$AK,2,0)</f>
        <v>YRKJEQ-170040</v>
      </c>
      <c r="D75" s="263" t="s">
        <v>23</v>
      </c>
      <c r="E75" s="263">
        <f>VLOOKUP($B75,'2、设备合同'!$D:$AK,4,0)</f>
        <v>2017050055</v>
      </c>
      <c r="F75" s="264">
        <f>VLOOKUP($B75,'2、设备合同'!$D:$AK,5,0)</f>
        <v>42912</v>
      </c>
      <c r="G75" s="265">
        <f>VLOOKUP($B75,'2、设备合同'!$D:$AK,6,0)</f>
        <v>300000</v>
      </c>
      <c r="H75" s="265" t="str">
        <f>VLOOKUP($B75,'2、设备合同'!$D:$AK,7,0)</f>
        <v>8台磁力泵</v>
      </c>
      <c r="I75" s="265" t="str">
        <f>VLOOKUP($B75,'2、设备合同'!$D:$AK,8,0)</f>
        <v>杭州大路实业有限公司</v>
      </c>
      <c r="J75" s="286" t="str">
        <f>VLOOKUP($B75,'2、设备合同'!$D:$AK,9,0)</f>
        <v>己内酰胺装置30万元</v>
      </c>
      <c r="K75" s="287" t="str">
        <f>VLOOKUP($B75,'2、设备合同'!$D:$AK,10,0)</f>
        <v>6个月承兑汇票，不接受反向贴息</v>
      </c>
      <c r="L75" s="288" t="str">
        <f>VLOOKUP($B75,'2、设备合同'!$D:$AK,11,0)</f>
        <v>到乙方工厂检验合格后，签发发货同意书，收到等额的17%专票后15个工作日支付60%发货款</v>
      </c>
      <c r="M75" s="289">
        <f>VLOOKUP($B75,'2、设备合同'!$D:$AK,12,0)</f>
        <v>180000</v>
      </c>
      <c r="N75" s="289">
        <f>VLOOKUP($B75,'2、设备合同'!$D:$AK,13,0)</f>
        <v>0</v>
      </c>
      <c r="O75" s="286" t="str">
        <f>VLOOKUP($B75,'2、设备合同'!$D:$AK,14,0)</f>
        <v>甲方收到调试合格报告及足额的发票后15个工作日支付30%调试款</v>
      </c>
      <c r="P75" s="289">
        <f>VLOOKUP($B75,'2、设备合同'!$D:$AK,15,0)</f>
        <v>90000</v>
      </c>
      <c r="Q75" s="289">
        <f>VLOOKUP($B75,'2、设备合同'!$D:$AK,16,0)</f>
        <v>0</v>
      </c>
      <c r="R75" s="286" t="str">
        <f>VLOOKUP($B75,'2、设备合同'!$D:$AK,17,0)</f>
        <v>10%质量保证金，验收合格后12个月或到货香肠18个月支付</v>
      </c>
      <c r="S75" s="289">
        <f>VLOOKUP($B75,'2、设备合同'!$D:$AK,18,0)</f>
        <v>30000</v>
      </c>
      <c r="T75" s="289">
        <f>VLOOKUP($B75,'2、设备合同'!$D:$AK,19,0)</f>
        <v>0</v>
      </c>
      <c r="U75" s="286">
        <f>VLOOKUP($B75,'2、设备合同'!$D:$AK,20,0)</f>
        <v>0</v>
      </c>
      <c r="V75" s="289">
        <f>VLOOKUP($B75,'2、设备合同'!$D:$AK,21,0)</f>
        <v>0</v>
      </c>
      <c r="W75" s="289">
        <f>VLOOKUP($B75,'2、设备合同'!$D:$AK,22,0)</f>
        <v>0</v>
      </c>
      <c r="X75" s="286">
        <f>VLOOKUP($B75,'2、设备合同'!$D:$AK,23,0)</f>
        <v>0</v>
      </c>
      <c r="Y75" s="289">
        <f>VLOOKUP($B75,'2、设备合同'!$D:$AK,24,0)</f>
        <v>0</v>
      </c>
      <c r="Z75" s="289">
        <f>VLOOKUP($B75,'2、设备合同'!$D:$AK,25,0)</f>
        <v>0</v>
      </c>
      <c r="AA75" s="286">
        <f>VLOOKUP($B75,'2、设备合同'!$D:$AK,26,0)</f>
        <v>0</v>
      </c>
      <c r="AB75" s="289">
        <f>VLOOKUP($B75,'2、设备合同'!$D:$AK,27,0)</f>
        <v>0</v>
      </c>
      <c r="AC75" s="289">
        <f>VLOOKUP($B75,'2、设备合同'!$D:$AK,28,0)</f>
        <v>0</v>
      </c>
      <c r="AD75" s="286">
        <f>VLOOKUP($B75,'2、设备合同'!$D:$AK,29,0)</f>
        <v>0</v>
      </c>
      <c r="AE75" s="289">
        <f>VLOOKUP($B75,'2、设备合同'!$D:$AK,30,0)</f>
        <v>0</v>
      </c>
      <c r="AF75" s="289">
        <f>VLOOKUP($B75,'2、设备合同'!$D:$AK,31,0)</f>
        <v>0</v>
      </c>
      <c r="AG75" s="289">
        <f>VLOOKUP($B75,'2、设备合同'!$D:$AK,32,0)</f>
        <v>0</v>
      </c>
      <c r="AH75" s="289">
        <f>VLOOKUP($B75,'2、设备合同'!$D:$AK,33,0)</f>
        <v>0</v>
      </c>
      <c r="AI75" s="308">
        <f>VLOOKUP($B75,'2、设备合同'!$D:$AK,34,0)</f>
        <v>0</v>
      </c>
      <c r="AJ75" s="309">
        <f t="shared" si="1"/>
        <v>0</v>
      </c>
      <c r="AK75" s="289">
        <f t="shared" si="2"/>
        <v>300000</v>
      </c>
      <c r="AL75" s="310">
        <f t="shared" si="3"/>
        <v>0</v>
      </c>
      <c r="AM75" s="289">
        <f t="shared" si="4"/>
        <v>300000</v>
      </c>
      <c r="AN75" s="311" t="str">
        <f t="shared" si="5"/>
        <v>数据正确</v>
      </c>
    </row>
    <row r="76" s="228" customFormat="1" customHeight="1" spans="1:40">
      <c r="A76" s="228" t="str">
        <f t="shared" si="18"/>
        <v>已完毕</v>
      </c>
      <c r="B76" s="261">
        <v>71</v>
      </c>
      <c r="C76" s="266" t="str">
        <f>VLOOKUP($B76,'3、工程合同'!$D:$AL,2,0)</f>
        <v>YRKJGC-170029</v>
      </c>
      <c r="D76" s="267" t="str">
        <f>VLOOKUP($B76,'3、工程合同'!$D:$AL,3,0)</f>
        <v>工程合同</v>
      </c>
      <c r="E76" s="267">
        <f>VLOOKUP($B76,'3、工程合同'!$D:$AL,4,0)</f>
        <v>2017060007</v>
      </c>
      <c r="F76" s="268">
        <f>VLOOKUP($B76,'3、工程合同'!$D:$AL,5,0)</f>
        <v>42912</v>
      </c>
      <c r="G76" s="269">
        <f>VLOOKUP($B76,'3、工程合同'!$D:$AL,6,0)</f>
        <v>56000</v>
      </c>
      <c r="H76" s="269" t="str">
        <f>VLOOKUP($B76,'3、工程合同'!$D:$AL,7,0)</f>
        <v>蜗居房共6间</v>
      </c>
      <c r="I76" s="269" t="str">
        <f>VLOOKUP($B76,'3、工程合同'!$D:$AL,8,0)</f>
        <v>莆田市秀屿区蜗居活动房有限公司</v>
      </c>
      <c r="J76" s="290">
        <f>VLOOKUP($B76,'3、工程合同'!$D:$AL,9,0)</f>
        <v>0</v>
      </c>
      <c r="K76" s="291" t="str">
        <f>VLOOKUP($B76,'3、工程合同'!$D:$AL,10,0)</f>
        <v>电汇</v>
      </c>
      <c r="L76" s="292" t="str">
        <f>VLOOKUP($B76,'3、工程合同'!$D:$AL,11,0)</f>
        <v>甲方收到核定验收合格报告及全额的发票后30日之内支付100%货款</v>
      </c>
      <c r="M76" s="293">
        <f>VLOOKUP($B76,'3、工程合同'!$D:$AL,12,0)</f>
        <v>56000</v>
      </c>
      <c r="N76" s="293">
        <f>VLOOKUP($B76,'3、工程合同'!$D:$AL,13,0)</f>
        <v>56000</v>
      </c>
      <c r="O76" s="290">
        <f>VLOOKUP($B76,'3、工程合同'!$D:$AL,14,0)</f>
        <v>0</v>
      </c>
      <c r="P76" s="293">
        <f>VLOOKUP($B76,'3、工程合同'!$D:$AL,15,0)</f>
        <v>0</v>
      </c>
      <c r="Q76" s="293">
        <f>VLOOKUP($B76,'3、工程合同'!$D:$AL,16,0)</f>
        <v>0</v>
      </c>
      <c r="R76" s="290">
        <f>VLOOKUP($B76,'3、工程合同'!$D:$AL,17,0)</f>
        <v>0</v>
      </c>
      <c r="S76" s="293">
        <f>VLOOKUP($B76,'3、工程合同'!$D:$AL,18,0)</f>
        <v>0</v>
      </c>
      <c r="T76" s="293">
        <f>VLOOKUP($B76,'3、工程合同'!$D:$AL,19,0)</f>
        <v>0</v>
      </c>
      <c r="U76" s="290">
        <f>VLOOKUP($B76,'3、工程合同'!$D:$AL,20,0)</f>
        <v>0</v>
      </c>
      <c r="V76" s="293">
        <f>VLOOKUP($B76,'3、工程合同'!$D:$AL,21,0)</f>
        <v>0</v>
      </c>
      <c r="W76" s="293">
        <f>VLOOKUP($B76,'3、工程合同'!$D:$AL,22,0)</f>
        <v>0</v>
      </c>
      <c r="X76" s="290">
        <f>VLOOKUP($B76,'3、工程合同'!$D:$AL,23,0)</f>
        <v>0</v>
      </c>
      <c r="Y76" s="293">
        <f>VLOOKUP($B76,'3、工程合同'!$D:$AL,24,0)</f>
        <v>0</v>
      </c>
      <c r="Z76" s="293">
        <f>VLOOKUP($B76,'3、工程合同'!$D:$AL,25,0)</f>
        <v>0</v>
      </c>
      <c r="AA76" s="290">
        <f>VLOOKUP($B76,'3、工程合同'!$D:$AL,26,0)</f>
        <v>0</v>
      </c>
      <c r="AB76" s="293">
        <f>VLOOKUP($B76,'3、工程合同'!$D:$AL,27,0)</f>
        <v>0</v>
      </c>
      <c r="AC76" s="293">
        <f>VLOOKUP($B76,'3、工程合同'!$D:$AL,28,0)</f>
        <v>0</v>
      </c>
      <c r="AD76" s="290">
        <f>VLOOKUP($B76,'3、工程合同'!$D:$AL,29,0)</f>
        <v>0</v>
      </c>
      <c r="AE76" s="293">
        <f>VLOOKUP($B76,'3、工程合同'!$D:$AL,30,0)</f>
        <v>0</v>
      </c>
      <c r="AF76" s="293">
        <f>VLOOKUP($B76,'3、工程合同'!$D:$AL,31,0)</f>
        <v>0</v>
      </c>
      <c r="AG76" s="293">
        <f>VLOOKUP($B76,'3、工程合同'!$D:$AL,32,0)</f>
        <v>0</v>
      </c>
      <c r="AH76" s="293">
        <f>VLOOKUP($B76,'3、工程合同'!$D:$AL,33,0)</f>
        <v>0</v>
      </c>
      <c r="AI76" s="312">
        <f>VLOOKUP($B76,'3、工程合同'!$D:$AL,34,0)</f>
        <v>0</v>
      </c>
      <c r="AJ76" s="309">
        <f t="shared" si="1"/>
        <v>56000</v>
      </c>
      <c r="AK76" s="289">
        <f t="shared" si="2"/>
        <v>0</v>
      </c>
      <c r="AL76" s="310">
        <f t="shared" si="3"/>
        <v>1</v>
      </c>
      <c r="AM76" s="289">
        <f t="shared" si="4"/>
        <v>56000</v>
      </c>
      <c r="AN76" s="311" t="str">
        <f t="shared" si="5"/>
        <v>数据正确</v>
      </c>
    </row>
    <row r="77" s="228" customFormat="1" customHeight="1" spans="1:40">
      <c r="A77" s="228" t="str">
        <f t="shared" si="18"/>
        <v/>
      </c>
      <c r="B77" s="261">
        <v>72</v>
      </c>
      <c r="C77" s="266" t="str">
        <f>VLOOKUP($B77,'4、其他合同'!$D:$AK,2,0)</f>
        <v>YRKJXZ-170021</v>
      </c>
      <c r="D77" s="267" t="s">
        <v>25</v>
      </c>
      <c r="E77" s="267">
        <f>VLOOKUP($B77,'4、其他合同'!$D:$AK,4,0)</f>
        <v>2017050001</v>
      </c>
      <c r="F77" s="268">
        <f>VLOOKUP($B77,'4、其他合同'!$D:$AK,5,0)</f>
        <v>42921</v>
      </c>
      <c r="G77" s="269">
        <f>VLOOKUP($B77,'4、其他合同'!$D:$AK,6,0)</f>
        <v>271360</v>
      </c>
      <c r="H77" s="269" t="str">
        <f>VLOOKUP($B77,'4、其他合同'!$D:$AK,7,0)</f>
        <v>5#、6#宿舍楼256台电视机共256台*1060元/台</v>
      </c>
      <c r="I77" s="269" t="str">
        <f>VLOOKUP($B77,'4、其他合同'!$D:$AK,8,0)</f>
        <v>福建省广电网络集团股份有限公司</v>
      </c>
      <c r="J77" s="290">
        <f>VLOOKUP($B77,'4、其他合同'!$D:$AK,9,0)</f>
        <v>0</v>
      </c>
      <c r="K77" s="291" t="str">
        <f>VLOOKUP($B77,'4、其他合同'!$D:$AK,10,0)</f>
        <v>6个月承兑汇票</v>
      </c>
      <c r="L77" s="292" t="str">
        <f>VLOOKUP($B77,'4、其他合同'!$D:$AK,11,0)</f>
        <v>货到安装验收合格后收到全额发票后15个工作日支付90%货款。8000元履约保证金退还</v>
      </c>
      <c r="M77" s="293">
        <f>VLOOKUP($B77,'4、其他合同'!$D:$AK,12,0)</f>
        <v>244224</v>
      </c>
      <c r="N77" s="293">
        <f>VLOOKUP($B77,'4、其他合同'!$D:$AK,13,0)</f>
        <v>0</v>
      </c>
      <c r="O77" s="290" t="str">
        <f>VLOOKUP($B77,'4、其他合同'!$D:$AK,14,0)</f>
        <v>10%质量保证金，验收合格后12个月支付</v>
      </c>
      <c r="P77" s="293">
        <f>VLOOKUP($B77,'4、其他合同'!$D:$AK,15,0)</f>
        <v>27136</v>
      </c>
      <c r="Q77" s="293">
        <f>VLOOKUP($B77,'4、其他合同'!$D:$AK,16,0)</f>
        <v>0</v>
      </c>
      <c r="R77" s="290">
        <f>VLOOKUP($B77,'4、其他合同'!$D:$AK,17,0)</f>
        <v>0</v>
      </c>
      <c r="S77" s="293">
        <f>VLOOKUP($B77,'4、其他合同'!$D:$AK,18,0)</f>
        <v>0</v>
      </c>
      <c r="T77" s="293">
        <f>VLOOKUP($B77,'4、其他合同'!$D:$AK,19,0)</f>
        <v>0</v>
      </c>
      <c r="U77" s="290">
        <f>VLOOKUP($B77,'4、其他合同'!$D:$AK,20,0)</f>
        <v>0</v>
      </c>
      <c r="V77" s="293">
        <f>VLOOKUP($B77,'4、其他合同'!$D:$AK,21,0)</f>
        <v>0</v>
      </c>
      <c r="W77" s="293">
        <f>VLOOKUP($B77,'4、其他合同'!$D:$AK,22,0)</f>
        <v>0</v>
      </c>
      <c r="X77" s="290">
        <f>VLOOKUP($B77,'4、其他合同'!$D:$AK,23,0)</f>
        <v>0</v>
      </c>
      <c r="Y77" s="293">
        <f>VLOOKUP($B77,'4、其他合同'!$D:$AK,24,0)</f>
        <v>0</v>
      </c>
      <c r="Z77" s="293">
        <f>VLOOKUP($B77,'4、其他合同'!$D:$AK,25,0)</f>
        <v>0</v>
      </c>
      <c r="AA77" s="290">
        <f>VLOOKUP($B77,'4、其他合同'!$D:$AK,26,0)</f>
        <v>0</v>
      </c>
      <c r="AB77" s="293">
        <f>VLOOKUP($B77,'4、其他合同'!$D:$AK,27,0)</f>
        <v>0</v>
      </c>
      <c r="AC77" s="293">
        <f>VLOOKUP($B77,'4、其他合同'!$D:$AK,28,0)</f>
        <v>0</v>
      </c>
      <c r="AD77" s="290">
        <f>VLOOKUP($B77,'4、其他合同'!$D:$AK,29,0)</f>
        <v>0</v>
      </c>
      <c r="AE77" s="293">
        <f>VLOOKUP($B77,'4、其他合同'!$D:$AK,30,0)</f>
        <v>0</v>
      </c>
      <c r="AF77" s="293">
        <f>VLOOKUP($B77,'4、其他合同'!$D:$AK,31,0)</f>
        <v>0</v>
      </c>
      <c r="AG77" s="293">
        <f>VLOOKUP($B77,'4、其他合同'!$D:$AK,32,0)</f>
        <v>0</v>
      </c>
      <c r="AH77" s="293">
        <f>VLOOKUP($B77,'4、其他合同'!$D:$AK,33,0)</f>
        <v>0</v>
      </c>
      <c r="AI77" s="312">
        <f>VLOOKUP($B77,'4、其他合同'!$D:$AK,34,0)</f>
        <v>0</v>
      </c>
      <c r="AJ77" s="309">
        <f t="shared" si="1"/>
        <v>0</v>
      </c>
      <c r="AK77" s="289">
        <f t="shared" si="2"/>
        <v>271360</v>
      </c>
      <c r="AL77" s="310">
        <f t="shared" si="3"/>
        <v>0</v>
      </c>
      <c r="AM77" s="289">
        <f t="shared" si="4"/>
        <v>271360</v>
      </c>
      <c r="AN77" s="311" t="str">
        <f t="shared" si="5"/>
        <v>数据正确</v>
      </c>
    </row>
    <row r="78" s="228" customFormat="1" customHeight="1" spans="1:40">
      <c r="A78" s="228" t="str">
        <f t="shared" si="18"/>
        <v/>
      </c>
      <c r="B78" s="256">
        <v>73</v>
      </c>
      <c r="C78" s="262" t="str">
        <f>VLOOKUP($B78,'2、设备合同'!$D:$AK,2,0)</f>
        <v>YRKJEQ-170046</v>
      </c>
      <c r="D78" s="263" t="str">
        <f>VLOOKUP($B78,'2、设备合同'!$D:$AK,3,0)</f>
        <v>设备合同</v>
      </c>
      <c r="E78" s="263">
        <f>VLOOKUP($B78,'2、设备合同'!$D:$AK,4,0)</f>
        <v>2017060021</v>
      </c>
      <c r="F78" s="264">
        <f>VLOOKUP($B78,'2、设备合同'!$D:$AK,5,0)</f>
        <v>42927</v>
      </c>
      <c r="G78" s="265">
        <f>VLOOKUP($B78,'2、设备合同'!$D:$AK,6,0)</f>
        <v>180000</v>
      </c>
      <c r="H78" s="265" t="str">
        <f>VLOOKUP($B78,'2、设备合同'!$D:$AK,7,0)</f>
        <v>板框式压滤机1台</v>
      </c>
      <c r="I78" s="265" t="str">
        <f>VLOOKUP($B78,'2、设备合同'!$D:$AK,8,0)</f>
        <v>浙江隆源环境科技有限公司</v>
      </c>
      <c r="J78" s="286" t="str">
        <f>VLOOKUP($B78,'2、设备合同'!$D:$AK,9,0)</f>
        <v>氨肟化装置18万元</v>
      </c>
      <c r="K78" s="287" t="s">
        <v>76</v>
      </c>
      <c r="L78" s="288" t="str">
        <f>VLOOKUP($B78,'2、设备合同'!$D:$AK,11,0)</f>
        <v>到乙方工厂检验货物合格后，签发发货同意书，收到等额的17%专票后15个工作日支付60%发货款</v>
      </c>
      <c r="M78" s="289">
        <f>VLOOKUP($B78,'2、设备合同'!$D:$AK,12,0)</f>
        <v>108000</v>
      </c>
      <c r="N78" s="289">
        <f>VLOOKUP($B78,'2、设备合同'!$D:$AK,13,0)</f>
        <v>0</v>
      </c>
      <c r="O78" s="286" t="str">
        <f>VLOOKUP($B78,'2、设备合同'!$D:$AK,14,0)</f>
        <v>甲方核定的调试合格报告及足额的发票后支付30%的验收款</v>
      </c>
      <c r="P78" s="289">
        <f>VLOOKUP($B78,'2、设备合同'!$D:$AK,15,0)</f>
        <v>54000</v>
      </c>
      <c r="Q78" s="289">
        <f>VLOOKUP($B78,'2、设备合同'!$D:$AK,16,0)</f>
        <v>0</v>
      </c>
      <c r="R78" s="286" t="str">
        <f>VLOOKUP($B78,'2、设备合同'!$D:$AK,17,0)</f>
        <v>10%作质量保证金，货物验收合格后12个月后的15个工作日支付</v>
      </c>
      <c r="S78" s="289">
        <f>VLOOKUP($B78,'2、设备合同'!$D:$AK,18,0)</f>
        <v>18000</v>
      </c>
      <c r="T78" s="289">
        <f>VLOOKUP($B78,'2、设备合同'!$D:$AK,19,0)</f>
        <v>0</v>
      </c>
      <c r="U78" s="286">
        <f>VLOOKUP($B78,'2、设备合同'!$D:$AK,20,0)</f>
        <v>0</v>
      </c>
      <c r="V78" s="289">
        <f>VLOOKUP($B78,'2、设备合同'!$D:$AK,21,0)</f>
        <v>0</v>
      </c>
      <c r="W78" s="289">
        <f>VLOOKUP($B78,'2、设备合同'!$D:$AK,22,0)</f>
        <v>0</v>
      </c>
      <c r="X78" s="286">
        <f>VLOOKUP($B78,'2、设备合同'!$D:$AK,23,0)</f>
        <v>0</v>
      </c>
      <c r="Y78" s="289">
        <f>VLOOKUP($B78,'2、设备合同'!$D:$AK,24,0)</f>
        <v>0</v>
      </c>
      <c r="Z78" s="289">
        <f>VLOOKUP($B78,'2、设备合同'!$D:$AK,25,0)</f>
        <v>0</v>
      </c>
      <c r="AA78" s="286">
        <f>VLOOKUP($B78,'2、设备合同'!$D:$AK,26,0)</f>
        <v>0</v>
      </c>
      <c r="AB78" s="289">
        <f>VLOOKUP($B78,'2、设备合同'!$D:$AK,27,0)</f>
        <v>0</v>
      </c>
      <c r="AC78" s="289">
        <f>VLOOKUP($B78,'2、设备合同'!$D:$AK,28,0)</f>
        <v>0</v>
      </c>
      <c r="AD78" s="286">
        <f>VLOOKUP($B78,'2、设备合同'!$D:$AK,29,0)</f>
        <v>0</v>
      </c>
      <c r="AE78" s="289">
        <f>VLOOKUP($B78,'2、设备合同'!$D:$AK,30,0)</f>
        <v>0</v>
      </c>
      <c r="AF78" s="289">
        <f>VLOOKUP($B78,'2、设备合同'!$D:$AK,31,0)</f>
        <v>0</v>
      </c>
      <c r="AG78" s="289">
        <f>VLOOKUP($B78,'2、设备合同'!$D:$AK,32,0)</f>
        <v>0</v>
      </c>
      <c r="AH78" s="289">
        <f>VLOOKUP($B78,'2、设备合同'!$D:$AK,33,0)</f>
        <v>0</v>
      </c>
      <c r="AI78" s="308">
        <f>VLOOKUP($B78,'2、设备合同'!$D:$AK,34,0)</f>
        <v>0</v>
      </c>
      <c r="AJ78" s="309">
        <f t="shared" si="1"/>
        <v>0</v>
      </c>
      <c r="AK78" s="289">
        <f t="shared" si="2"/>
        <v>180000</v>
      </c>
      <c r="AL78" s="310">
        <f t="shared" si="3"/>
        <v>0</v>
      </c>
      <c r="AM78" s="289">
        <f t="shared" si="4"/>
        <v>180000</v>
      </c>
      <c r="AN78" s="311" t="str">
        <f t="shared" si="5"/>
        <v>数据正确</v>
      </c>
    </row>
    <row r="79" s="228" customFormat="1" customHeight="1" spans="1:40">
      <c r="A79" s="228" t="str">
        <f t="shared" si="18"/>
        <v/>
      </c>
      <c r="B79" s="261">
        <v>74</v>
      </c>
      <c r="C79" s="266" t="str">
        <f>VLOOKUP($B79,'3、工程合同'!$D:$AL,2,0)</f>
        <v>YRKJGC-170028</v>
      </c>
      <c r="D79" s="267" t="str">
        <f>VLOOKUP($B79,'3、工程合同'!$D:$AL,3,0)</f>
        <v>工程合同</v>
      </c>
      <c r="E79" s="267">
        <f>VLOOKUP($B79,'3、工程合同'!$D:$AL,4,0)</f>
        <v>2017050051</v>
      </c>
      <c r="F79" s="268">
        <f>VLOOKUP($B79,'3、工程合同'!$D:$AL,5,0)</f>
        <v>42905</v>
      </c>
      <c r="G79" s="269">
        <f>VLOOKUP($B79,'3、工程合同'!$D:$AL,6,0)</f>
        <v>768068.21</v>
      </c>
      <c r="H79" s="269" t="str">
        <f>VLOOKUP($B79,'3、工程合同'!$D:$AL,7,0)</f>
        <v>工程一切险及第三者责任险（17.6.20-18.10.31）</v>
      </c>
      <c r="I79" s="269" t="str">
        <f>VLOOKUP($B79,'3、工程合同'!$D:$AL,8,0)</f>
        <v>中华联合财产保险股份有限公司</v>
      </c>
      <c r="J79" s="290">
        <f>VLOOKUP($B79,'3、工程合同'!$D:$AL,9,0)</f>
        <v>0</v>
      </c>
      <c r="K79" s="291" t="str">
        <f>VLOOKUP($B79,'3、工程合同'!$D:$AL,10,0)</f>
        <v>电汇</v>
      </c>
      <c r="L79" s="292" t="str">
        <f>VLOOKUP($B79,'3、工程合同'!$D:$AL,11,0)</f>
        <v>6.25日之前付清</v>
      </c>
      <c r="M79" s="293">
        <f>VLOOKUP($B79,'3、工程合同'!$D:$AL,12,0)</f>
        <v>400000</v>
      </c>
      <c r="N79" s="293">
        <f>VLOOKUP($B79,'3、工程合同'!$D:$AL,13,0)</f>
        <v>400000</v>
      </c>
      <c r="O79" s="290" t="str">
        <f>VLOOKUP($B79,'3、工程合同'!$D:$AL,14,0)</f>
        <v>2017.12.31之前付清</v>
      </c>
      <c r="P79" s="293">
        <f>VLOOKUP($B79,'3、工程合同'!$D:$AL,15,0)</f>
        <v>368068.21</v>
      </c>
      <c r="Q79" s="293">
        <f>VLOOKUP($B79,'3、工程合同'!$D:$AL,16,0)</f>
        <v>0</v>
      </c>
      <c r="R79" s="290">
        <f>VLOOKUP($B79,'3、工程合同'!$D:$AL,17,0)</f>
        <v>0</v>
      </c>
      <c r="S79" s="293">
        <f>VLOOKUP($B79,'3、工程合同'!$D:$AL,18,0)</f>
        <v>0</v>
      </c>
      <c r="T79" s="293">
        <f>VLOOKUP($B79,'3、工程合同'!$D:$AL,19,0)</f>
        <v>0</v>
      </c>
      <c r="U79" s="290">
        <f>VLOOKUP($B79,'3、工程合同'!$D:$AL,20,0)</f>
        <v>0</v>
      </c>
      <c r="V79" s="293">
        <f>VLOOKUP($B79,'3、工程合同'!$D:$AL,21,0)</f>
        <v>0</v>
      </c>
      <c r="W79" s="293">
        <f>VLOOKUP($B79,'3、工程合同'!$D:$AL,22,0)</f>
        <v>0</v>
      </c>
      <c r="X79" s="290">
        <f>VLOOKUP($B79,'3、工程合同'!$D:$AL,23,0)</f>
        <v>0</v>
      </c>
      <c r="Y79" s="293">
        <f>VLOOKUP($B79,'3、工程合同'!$D:$AL,24,0)</f>
        <v>0</v>
      </c>
      <c r="Z79" s="293">
        <f>VLOOKUP($B79,'3、工程合同'!$D:$AL,25,0)</f>
        <v>0</v>
      </c>
      <c r="AA79" s="290">
        <f>VLOOKUP($B79,'3、工程合同'!$D:$AL,26,0)</f>
        <v>0</v>
      </c>
      <c r="AB79" s="293">
        <f>VLOOKUP($B79,'3、工程合同'!$D:$AL,27,0)</f>
        <v>0</v>
      </c>
      <c r="AC79" s="293">
        <f>VLOOKUP($B79,'3、工程合同'!$D:$AL,28,0)</f>
        <v>0</v>
      </c>
      <c r="AD79" s="290">
        <f>VLOOKUP($B79,'3、工程合同'!$D:$AL,29,0)</f>
        <v>0</v>
      </c>
      <c r="AE79" s="293">
        <f>VLOOKUP($B79,'3、工程合同'!$D:$AL,30,0)</f>
        <v>0</v>
      </c>
      <c r="AF79" s="293">
        <f>VLOOKUP($B79,'3、工程合同'!$D:$AL,31,0)</f>
        <v>0</v>
      </c>
      <c r="AG79" s="293">
        <f>VLOOKUP($B79,'3、工程合同'!$D:$AL,32,0)</f>
        <v>0</v>
      </c>
      <c r="AH79" s="293">
        <f>VLOOKUP($B79,'3、工程合同'!$D:$AL,33,0)</f>
        <v>0</v>
      </c>
      <c r="AI79" s="312">
        <f>VLOOKUP($B79,'3、工程合同'!$D:$AL,34,0)</f>
        <v>0</v>
      </c>
      <c r="AJ79" s="309">
        <f t="shared" si="1"/>
        <v>400000</v>
      </c>
      <c r="AK79" s="289">
        <f t="shared" si="2"/>
        <v>368068.21</v>
      </c>
      <c r="AL79" s="310">
        <f t="shared" si="3"/>
        <v>0.520787079574612</v>
      </c>
      <c r="AM79" s="289">
        <f t="shared" si="4"/>
        <v>768068.21</v>
      </c>
      <c r="AN79" s="311" t="str">
        <f t="shared" si="5"/>
        <v>数据正确</v>
      </c>
    </row>
    <row r="80" s="228" customFormat="1" customHeight="1" spans="1:40">
      <c r="A80" s="228" t="str">
        <f t="shared" si="18"/>
        <v/>
      </c>
      <c r="B80" s="261">
        <v>75</v>
      </c>
      <c r="C80" s="262" t="str">
        <f>VLOOKUP($B80,'2、设备合同'!$D:$AK,2,0)</f>
        <v>YRKJEQ-170038</v>
      </c>
      <c r="D80" s="263" t="str">
        <f>VLOOKUP($B80,'2、设备合同'!$D:$AK,3,0)</f>
        <v>设备合同</v>
      </c>
      <c r="E80" s="263">
        <f>VLOOKUP($B80,'2、设备合同'!$D:$AK,4,0)</f>
        <v>2017060029</v>
      </c>
      <c r="F80" s="264">
        <f>VLOOKUP($B80,'2、设备合同'!$D:$AK,5,0)</f>
        <v>42908</v>
      </c>
      <c r="G80" s="265">
        <f>VLOOKUP($B80,'2、设备合同'!$D:$AK,6,0)</f>
        <v>7900</v>
      </c>
      <c r="H80" s="265" t="str">
        <f>VLOOKUP($B80,'2、设备合同'!$D:$AK,7,0)</f>
        <v>4台气动隔膜泵</v>
      </c>
      <c r="I80" s="265" t="str">
        <f>VLOOKUP($B80,'2、设备合同'!$D:$AK,8,0)</f>
        <v>上海边锋泵业制造有限公司</v>
      </c>
      <c r="J80" s="286" t="str">
        <f>VLOOKUP($B80,'2、设备合同'!$D:$AK,9,0)</f>
        <v>氨肟化装置2360元，环己酮装置2388元，己内酰胺装置3249元</v>
      </c>
      <c r="K80" s="287" t="str">
        <f>VLOOKUP($B80,'2、设备合同'!$D:$AK,10,0)</f>
        <v>电汇</v>
      </c>
      <c r="L80" s="288" t="str">
        <f>VLOOKUP($B80,'2、设备合同'!$D:$AK,11,0)</f>
        <v>乙方收到甲方全部货款后7天内将货物发出甲方附近物流点，7天后寄出17%增值税发票</v>
      </c>
      <c r="M80" s="289">
        <f>VLOOKUP($B80,'2、设备合同'!$D:$AK,12,0)</f>
        <v>7900</v>
      </c>
      <c r="N80" s="289">
        <f>VLOOKUP($B80,'2、设备合同'!$D:$AK,13,0)</f>
        <v>0</v>
      </c>
      <c r="O80" s="286">
        <f>VLOOKUP($B80,'2、设备合同'!$D:$AK,14,0)</f>
        <v>0</v>
      </c>
      <c r="P80" s="289">
        <f>VLOOKUP($B80,'2、设备合同'!$D:$AK,15,0)</f>
        <v>0</v>
      </c>
      <c r="Q80" s="289">
        <f>VLOOKUP($B80,'2、设备合同'!$D:$AK,16,0)</f>
        <v>0</v>
      </c>
      <c r="R80" s="286">
        <f>VLOOKUP($B80,'2、设备合同'!$D:$AK,17,0)</f>
        <v>0</v>
      </c>
      <c r="S80" s="289">
        <f>VLOOKUP($B80,'2、设备合同'!$D:$AK,18,0)</f>
        <v>0</v>
      </c>
      <c r="T80" s="289">
        <f>VLOOKUP($B80,'2、设备合同'!$D:$AK,19,0)</f>
        <v>0</v>
      </c>
      <c r="U80" s="286">
        <f>VLOOKUP($B80,'2、设备合同'!$D:$AK,20,0)</f>
        <v>0</v>
      </c>
      <c r="V80" s="289">
        <f>VLOOKUP($B80,'2、设备合同'!$D:$AK,21,0)</f>
        <v>0</v>
      </c>
      <c r="W80" s="289">
        <f>VLOOKUP($B80,'2、设备合同'!$D:$AK,22,0)</f>
        <v>0</v>
      </c>
      <c r="X80" s="286">
        <f>VLOOKUP($B80,'2、设备合同'!$D:$AK,23,0)</f>
        <v>0</v>
      </c>
      <c r="Y80" s="289">
        <f>VLOOKUP($B80,'2、设备合同'!$D:$AK,24,0)</f>
        <v>0</v>
      </c>
      <c r="Z80" s="289">
        <f>VLOOKUP($B80,'2、设备合同'!$D:$AK,25,0)</f>
        <v>0</v>
      </c>
      <c r="AA80" s="286">
        <f>VLOOKUP($B80,'2、设备合同'!$D:$AK,26,0)</f>
        <v>0</v>
      </c>
      <c r="AB80" s="289">
        <f>VLOOKUP($B80,'2、设备合同'!$D:$AK,27,0)</f>
        <v>0</v>
      </c>
      <c r="AC80" s="289">
        <f>VLOOKUP($B80,'2、设备合同'!$D:$AK,28,0)</f>
        <v>0</v>
      </c>
      <c r="AD80" s="286">
        <f>VLOOKUP($B80,'2、设备合同'!$D:$AK,29,0)</f>
        <v>0</v>
      </c>
      <c r="AE80" s="289">
        <f>VLOOKUP($B80,'2、设备合同'!$D:$AK,30,0)</f>
        <v>0</v>
      </c>
      <c r="AF80" s="289">
        <f>VLOOKUP($B80,'2、设备合同'!$D:$AK,31,0)</f>
        <v>0</v>
      </c>
      <c r="AG80" s="289">
        <f>VLOOKUP($B80,'2、设备合同'!$D:$AK,32,0)</f>
        <v>0</v>
      </c>
      <c r="AH80" s="289">
        <f>VLOOKUP($B80,'2、设备合同'!$D:$AK,33,0)</f>
        <v>0</v>
      </c>
      <c r="AI80" s="308">
        <f>VLOOKUP($B80,'2、设备合同'!$D:$AK,34,0)</f>
        <v>0</v>
      </c>
      <c r="AJ80" s="309">
        <f t="shared" si="1"/>
        <v>0</v>
      </c>
      <c r="AK80" s="289">
        <f t="shared" si="2"/>
        <v>7900</v>
      </c>
      <c r="AL80" s="310">
        <f t="shared" si="3"/>
        <v>0</v>
      </c>
      <c r="AM80" s="289">
        <f t="shared" si="4"/>
        <v>7900</v>
      </c>
      <c r="AN80" s="311" t="str">
        <f t="shared" si="5"/>
        <v>数据正确</v>
      </c>
    </row>
    <row r="81" s="228" customFormat="1" customHeight="1" spans="1:40">
      <c r="A81" s="228" t="str">
        <f t="shared" si="18"/>
        <v/>
      </c>
      <c r="B81" s="256">
        <v>76</v>
      </c>
      <c r="C81" s="266" t="str">
        <f>VLOOKUP($B81,'4、其他合同'!$D:$AK,2,0)</f>
        <v>YRKJXZ-170024</v>
      </c>
      <c r="D81" s="267" t="s">
        <v>25</v>
      </c>
      <c r="E81" s="267">
        <f>VLOOKUP($B81,'4、其他合同'!$D:$AK,4,0)</f>
        <v>2017050001</v>
      </c>
      <c r="F81" s="268">
        <f>VLOOKUP($B81,'4、其他合同'!$D:$AK,5,0)</f>
        <v>42944</v>
      </c>
      <c r="G81" s="269">
        <f>VLOOKUP($B81,'4、其他合同'!$D:$AK,6,0)</f>
        <v>34740</v>
      </c>
      <c r="H81" s="269" t="str">
        <f>VLOOKUP($B81,'4、其他合同'!$D:$AK,7,0)</f>
        <v>5#、6#宿舍楼冰箱18台*980元/台，洗衣机18台*950元/台</v>
      </c>
      <c r="I81" s="269" t="str">
        <f>VLOOKUP($B81,'4、其他合同'!$D:$AK,8,0)</f>
        <v>莆田市秀屿区宏达贸易有限公司</v>
      </c>
      <c r="J81" s="290">
        <f>VLOOKUP($B81,'4、其他合同'!$D:$AK,9,0)</f>
        <v>0</v>
      </c>
      <c r="K81" s="291" t="str">
        <f>VLOOKUP($B81,'4、其他合同'!$D:$AK,10,0)</f>
        <v>电汇</v>
      </c>
      <c r="L81" s="292" t="str">
        <f>VLOOKUP($B81,'4、其他合同'!$D:$AK,11,0)</f>
        <v>货到安装验收合格后收到全额发票后15个工作日支付90%货款。8000元履约保证金退还</v>
      </c>
      <c r="M81" s="293">
        <f>VLOOKUP($B81,'4、其他合同'!$D:$AK,12,0)</f>
        <v>31266</v>
      </c>
      <c r="N81" s="293">
        <f>VLOOKUP($B81,'4、其他合同'!$D:$AK,13,0)</f>
        <v>0</v>
      </c>
      <c r="O81" s="290" t="str">
        <f>VLOOKUP($B81,'4、其他合同'!$D:$AK,14,0)</f>
        <v>10%质量保证金，验收合格后12个月支付</v>
      </c>
      <c r="P81" s="293">
        <f>VLOOKUP($B81,'4、其他合同'!$D:$AK,15,0)</f>
        <v>3474</v>
      </c>
      <c r="Q81" s="293">
        <f>VLOOKUP($B81,'4、其他合同'!$D:$AK,16,0)</f>
        <v>0</v>
      </c>
      <c r="R81" s="290">
        <f>VLOOKUP($B81,'4、其他合同'!$D:$AK,17,0)</f>
        <v>0</v>
      </c>
      <c r="S81" s="293">
        <f>VLOOKUP($B81,'4、其他合同'!$D:$AK,18,0)</f>
        <v>0</v>
      </c>
      <c r="T81" s="293">
        <f>VLOOKUP($B81,'4、其他合同'!$D:$AK,19,0)</f>
        <v>0</v>
      </c>
      <c r="U81" s="290">
        <f>VLOOKUP($B81,'4、其他合同'!$D:$AK,20,0)</f>
        <v>0</v>
      </c>
      <c r="V81" s="293">
        <f>VLOOKUP($B81,'4、其他合同'!$D:$AK,21,0)</f>
        <v>0</v>
      </c>
      <c r="W81" s="293">
        <f>VLOOKUP($B81,'4、其他合同'!$D:$AK,22,0)</f>
        <v>0</v>
      </c>
      <c r="X81" s="290">
        <f>VLOOKUP($B81,'4、其他合同'!$D:$AK,23,0)</f>
        <v>0</v>
      </c>
      <c r="Y81" s="293">
        <f>VLOOKUP($B81,'4、其他合同'!$D:$AK,24,0)</f>
        <v>0</v>
      </c>
      <c r="Z81" s="293">
        <f>VLOOKUP($B81,'4、其他合同'!$D:$AK,25,0)</f>
        <v>0</v>
      </c>
      <c r="AA81" s="290">
        <f>VLOOKUP($B81,'4、其他合同'!$D:$AK,26,0)</f>
        <v>0</v>
      </c>
      <c r="AB81" s="293">
        <f>VLOOKUP($B81,'4、其他合同'!$D:$AK,27,0)</f>
        <v>0</v>
      </c>
      <c r="AC81" s="293">
        <f>VLOOKUP($B81,'4、其他合同'!$D:$AK,28,0)</f>
        <v>0</v>
      </c>
      <c r="AD81" s="290">
        <f>VLOOKUP($B81,'4、其他合同'!$D:$AK,29,0)</f>
        <v>0</v>
      </c>
      <c r="AE81" s="293">
        <f>VLOOKUP($B81,'4、其他合同'!$D:$AK,30,0)</f>
        <v>0</v>
      </c>
      <c r="AF81" s="293">
        <f>VLOOKUP($B81,'4、其他合同'!$D:$AK,31,0)</f>
        <v>0</v>
      </c>
      <c r="AG81" s="293">
        <f>VLOOKUP($B81,'4、其他合同'!$D:$AK,32,0)</f>
        <v>0</v>
      </c>
      <c r="AH81" s="293">
        <f>VLOOKUP($B81,'4、其他合同'!$D:$AK,33,0)</f>
        <v>0</v>
      </c>
      <c r="AI81" s="312">
        <f>VLOOKUP($B81,'4、其他合同'!$D:$AK,34,0)</f>
        <v>0</v>
      </c>
      <c r="AJ81" s="309">
        <f t="shared" ref="AJ81:AJ90" si="19">N81+Q81+T81+W81+Z81+AC81+AF81+AI81</f>
        <v>0</v>
      </c>
      <c r="AK81" s="289">
        <f t="shared" ref="AK81:AK90" si="20">G81-AJ81</f>
        <v>34740</v>
      </c>
      <c r="AL81" s="310">
        <f t="shared" ref="AL81:AL90" si="21">AJ81/G81</f>
        <v>0</v>
      </c>
      <c r="AM81" s="289">
        <f t="shared" ref="AM81:AM90" si="22">M81+P81+S81+V81+Y81+AB81+AE81+AH81</f>
        <v>34740</v>
      </c>
      <c r="AN81" s="311" t="str">
        <f t="shared" ref="AN81:AN90" si="23">IF(AM81-G81=0,"数据正确","数据错误")</f>
        <v>数据正确</v>
      </c>
    </row>
    <row r="82" s="228" customFormat="1" customHeight="1" spans="1:40">
      <c r="A82" s="228" t="str">
        <f t="shared" si="18"/>
        <v/>
      </c>
      <c r="B82" s="261">
        <v>77</v>
      </c>
      <c r="C82" s="266" t="str">
        <f>VLOOKUP($B82,'4、其他合同'!$D:$AK,2,0)</f>
        <v>YRKJXZ-170020</v>
      </c>
      <c r="D82" s="267" t="s">
        <v>25</v>
      </c>
      <c r="E82" s="267">
        <f>VLOOKUP($B82,'4、其他合同'!$D:$AK,4,0)</f>
        <v>2017050001</v>
      </c>
      <c r="F82" s="268">
        <f>VLOOKUP($B82,'4、其他合同'!$D:$AK,5,0)</f>
        <v>42940</v>
      </c>
      <c r="G82" s="269">
        <f>VLOOKUP($B82,'4、其他合同'!$D:$AK,6,0)</f>
        <v>704480</v>
      </c>
      <c r="H82" s="269" t="str">
        <f>VLOOKUP($B82,'4、其他合同'!$D:$AK,7,0)</f>
        <v>5#、6#宿舍楼296台空调</v>
      </c>
      <c r="I82" s="269" t="str">
        <f>VLOOKUP($B82,'4、其他合同'!$D:$AK,8,0)</f>
        <v>莆田市秀屿区宏达贸易有限公司</v>
      </c>
      <c r="J82" s="290">
        <f>VLOOKUP($B82,'4、其他合同'!$D:$AK,9,0)</f>
        <v>0</v>
      </c>
      <c r="K82" s="291" t="str">
        <f>VLOOKUP($B82,'4、其他合同'!$D:$AK,10,0)</f>
        <v>电汇</v>
      </c>
      <c r="L82" s="292" t="str">
        <f>VLOOKUP($B82,'4、其他合同'!$D:$AK,11,0)</f>
        <v>货到安装验收合格后收到全额发票后15个工作日支付90%货款。8000元履约保证金退还</v>
      </c>
      <c r="M82" s="293">
        <f>VLOOKUP($B82,'4、其他合同'!$D:$AK,12,0)</f>
        <v>634032</v>
      </c>
      <c r="N82" s="293">
        <f>VLOOKUP($B82,'4、其他合同'!$D:$AK,13,0)</f>
        <v>0</v>
      </c>
      <c r="O82" s="290" t="str">
        <f>VLOOKUP($B82,'4、其他合同'!$D:$AK,14,0)</f>
        <v>10%质量保证金，验收合格后12个月支付</v>
      </c>
      <c r="P82" s="293">
        <f>VLOOKUP($B82,'4、其他合同'!$D:$AK,15,0)</f>
        <v>70448</v>
      </c>
      <c r="Q82" s="293">
        <f>VLOOKUP($B82,'4、其他合同'!$D:$AK,16,0)</f>
        <v>0</v>
      </c>
      <c r="R82" s="290">
        <f>VLOOKUP($B82,'4、其他合同'!$D:$AK,17,0)</f>
        <v>0</v>
      </c>
      <c r="S82" s="293">
        <f>VLOOKUP($B82,'4、其他合同'!$D:$AK,18,0)</f>
        <v>0</v>
      </c>
      <c r="T82" s="293">
        <f>VLOOKUP($B82,'4、其他合同'!$D:$AK,19,0)</f>
        <v>0</v>
      </c>
      <c r="U82" s="290">
        <f>VLOOKUP($B82,'4、其他合同'!$D:$AK,20,0)</f>
        <v>0</v>
      </c>
      <c r="V82" s="293">
        <f>VLOOKUP($B82,'4、其他合同'!$D:$AK,21,0)</f>
        <v>0</v>
      </c>
      <c r="W82" s="293">
        <f>VLOOKUP($B82,'4、其他合同'!$D:$AK,22,0)</f>
        <v>0</v>
      </c>
      <c r="X82" s="290">
        <f>VLOOKUP($B82,'4、其他合同'!$D:$AK,23,0)</f>
        <v>0</v>
      </c>
      <c r="Y82" s="293">
        <f>VLOOKUP($B82,'4、其他合同'!$D:$AK,24,0)</f>
        <v>0</v>
      </c>
      <c r="Z82" s="293">
        <f>VLOOKUP($B82,'4、其他合同'!$D:$AK,25,0)</f>
        <v>0</v>
      </c>
      <c r="AA82" s="290">
        <f>VLOOKUP($B82,'4、其他合同'!$D:$AK,26,0)</f>
        <v>0</v>
      </c>
      <c r="AB82" s="293">
        <f>VLOOKUP($B82,'4、其他合同'!$D:$AK,27,0)</f>
        <v>0</v>
      </c>
      <c r="AC82" s="293">
        <f>VLOOKUP($B82,'4、其他合同'!$D:$AK,28,0)</f>
        <v>0</v>
      </c>
      <c r="AD82" s="290">
        <f>VLOOKUP($B82,'4、其他合同'!$D:$AK,29,0)</f>
        <v>0</v>
      </c>
      <c r="AE82" s="293">
        <f>VLOOKUP($B82,'4、其他合同'!$D:$AK,30,0)</f>
        <v>0</v>
      </c>
      <c r="AF82" s="293">
        <f>VLOOKUP($B82,'4、其他合同'!$D:$AK,31,0)</f>
        <v>0</v>
      </c>
      <c r="AG82" s="293">
        <f>VLOOKUP($B82,'4、其他合同'!$D:$AK,32,0)</f>
        <v>0</v>
      </c>
      <c r="AH82" s="293">
        <f>VLOOKUP($B82,'4、其他合同'!$D:$AK,33,0)</f>
        <v>0</v>
      </c>
      <c r="AI82" s="312">
        <f>VLOOKUP($B82,'4、其他合同'!$D:$AK,34,0)</f>
        <v>0</v>
      </c>
      <c r="AJ82" s="309">
        <f t="shared" si="19"/>
        <v>0</v>
      </c>
      <c r="AK82" s="289">
        <f t="shared" si="20"/>
        <v>704480</v>
      </c>
      <c r="AL82" s="310">
        <f t="shared" si="21"/>
        <v>0</v>
      </c>
      <c r="AM82" s="289">
        <f t="shared" si="22"/>
        <v>704480</v>
      </c>
      <c r="AN82" s="311" t="str">
        <f t="shared" si="23"/>
        <v>数据正确</v>
      </c>
    </row>
    <row r="83" s="228" customFormat="1" customHeight="1" spans="1:40">
      <c r="A83" s="228" t="str">
        <f t="shared" si="18"/>
        <v/>
      </c>
      <c r="B83" s="261">
        <v>78</v>
      </c>
      <c r="C83" s="266" t="str">
        <f>VLOOKUP($B83,'4、其他合同'!$D:$AK,2,0)</f>
        <v>YRKJXZ-160004</v>
      </c>
      <c r="D83" s="267" t="s">
        <v>25</v>
      </c>
      <c r="E83" s="267" t="str">
        <f>VLOOKUP($B83,'4、其他合同'!$D:$AK,4,0)</f>
        <v>-</v>
      </c>
      <c r="F83" s="268">
        <f>VLOOKUP($B83,'4、其他合同'!$D:$AK,5,0)</f>
        <v>42479</v>
      </c>
      <c r="G83" s="269">
        <f>VLOOKUP($B83,'4、其他合同'!$D:$AK,6,0)</f>
        <v>80000</v>
      </c>
      <c r="H83" s="269" t="str">
        <f>VLOOKUP($B83,'4、其他合同'!$D:$AK,7,0)</f>
        <v>房租房用家具类（床、床头柜、衣柜、书桌等）</v>
      </c>
      <c r="I83" s="269" t="str">
        <f>VLOOKUP($B83,'4、其他合同'!$D:$AK,8,0)</f>
        <v>福州市仓山区恒通日用品经营部</v>
      </c>
      <c r="J83" s="290">
        <f>VLOOKUP($B83,'4、其他合同'!$D:$AK,9,0)</f>
        <v>0</v>
      </c>
      <c r="K83" s="291" t="str">
        <f>VLOOKUP($B83,'4、其他合同'!$D:$AK,10,0)</f>
        <v>承兑汇票</v>
      </c>
      <c r="L83" s="292" t="str">
        <f>VLOOKUP($B83,'4、其他合同'!$D:$AK,11,0)</f>
        <v>货到验收合格收到全额发票后支付95%</v>
      </c>
      <c r="M83" s="293">
        <f>VLOOKUP($B83,'4、其他合同'!$D:$AK,12,0)</f>
        <v>76000</v>
      </c>
      <c r="N83" s="293">
        <f>VLOOKUP($B83,'4、其他合同'!$D:$AK,13,0)</f>
        <v>76000</v>
      </c>
      <c r="O83" s="290" t="str">
        <f>VLOOKUP($B83,'4、其他合同'!$D:$AK,14,0)</f>
        <v>5%质保金</v>
      </c>
      <c r="P83" s="293">
        <f>VLOOKUP($B83,'4、其他合同'!$D:$AK,15,0)</f>
        <v>4000</v>
      </c>
      <c r="Q83" s="293">
        <f>VLOOKUP($B83,'4、其他合同'!$D:$AK,16,0)</f>
        <v>0</v>
      </c>
      <c r="R83" s="290">
        <f>VLOOKUP($B83,'4、其他合同'!$D:$AK,17,0)</f>
        <v>0</v>
      </c>
      <c r="S83" s="293">
        <f>VLOOKUP($B83,'4、其他合同'!$D:$AK,18,0)</f>
        <v>0</v>
      </c>
      <c r="T83" s="293">
        <f>VLOOKUP($B83,'4、其他合同'!$D:$AK,19,0)</f>
        <v>0</v>
      </c>
      <c r="U83" s="290">
        <f>VLOOKUP($B83,'4、其他合同'!$D:$AK,20,0)</f>
        <v>0</v>
      </c>
      <c r="V83" s="293">
        <f>VLOOKUP($B83,'4、其他合同'!$D:$AK,21,0)</f>
        <v>0</v>
      </c>
      <c r="W83" s="293">
        <f>VLOOKUP($B83,'4、其他合同'!$D:$AK,22,0)</f>
        <v>0</v>
      </c>
      <c r="X83" s="290">
        <f>VLOOKUP($B83,'4、其他合同'!$D:$AK,23,0)</f>
        <v>0</v>
      </c>
      <c r="Y83" s="293">
        <f>VLOOKUP($B83,'4、其他合同'!$D:$AK,24,0)</f>
        <v>0</v>
      </c>
      <c r="Z83" s="293">
        <f>VLOOKUP($B83,'4、其他合同'!$D:$AK,25,0)</f>
        <v>0</v>
      </c>
      <c r="AA83" s="290">
        <f>VLOOKUP($B83,'4、其他合同'!$D:$AK,26,0)</f>
        <v>0</v>
      </c>
      <c r="AB83" s="293">
        <f>VLOOKUP($B83,'4、其他合同'!$D:$AK,27,0)</f>
        <v>0</v>
      </c>
      <c r="AC83" s="293">
        <f>VLOOKUP($B83,'4、其他合同'!$D:$AK,28,0)</f>
        <v>0</v>
      </c>
      <c r="AD83" s="290">
        <f>VLOOKUP($B83,'4、其他合同'!$D:$AK,29,0)</f>
        <v>0</v>
      </c>
      <c r="AE83" s="293">
        <f>VLOOKUP($B83,'4、其他合同'!$D:$AK,30,0)</f>
        <v>0</v>
      </c>
      <c r="AF83" s="293">
        <f>VLOOKUP($B83,'4、其他合同'!$D:$AK,31,0)</f>
        <v>0</v>
      </c>
      <c r="AG83" s="293">
        <f>VLOOKUP($B83,'4、其他合同'!$D:$AK,32,0)</f>
        <v>0</v>
      </c>
      <c r="AH83" s="293">
        <f>VLOOKUP($B83,'4、其他合同'!$D:$AK,33,0)</f>
        <v>0</v>
      </c>
      <c r="AI83" s="312">
        <f>VLOOKUP($B83,'4、其他合同'!$D:$AK,34,0)</f>
        <v>0</v>
      </c>
      <c r="AJ83" s="309">
        <f t="shared" si="19"/>
        <v>76000</v>
      </c>
      <c r="AK83" s="289">
        <f t="shared" si="20"/>
        <v>4000</v>
      </c>
      <c r="AL83" s="310">
        <f t="shared" si="21"/>
        <v>0.95</v>
      </c>
      <c r="AM83" s="289">
        <f t="shared" si="22"/>
        <v>80000</v>
      </c>
      <c r="AN83" s="311" t="str">
        <f t="shared" si="23"/>
        <v>数据正确</v>
      </c>
    </row>
    <row r="84" s="228" customFormat="1" customHeight="1" spans="1:40">
      <c r="A84" s="228" t="str">
        <f t="shared" si="18"/>
        <v>已完毕</v>
      </c>
      <c r="B84" s="256">
        <v>79</v>
      </c>
      <c r="C84" s="266" t="str">
        <f>VLOOKUP($B84,'4、其他合同'!$D:$AK,2,0)</f>
        <v>YRKJXZ-160005</v>
      </c>
      <c r="D84" s="267" t="s">
        <v>25</v>
      </c>
      <c r="E84" s="267" t="str">
        <f>VLOOKUP($B84,'4、其他合同'!$D:$AK,4,0)</f>
        <v>-</v>
      </c>
      <c r="F84" s="268">
        <f>VLOOKUP($B84,'4、其他合同'!$D:$AK,5,0)</f>
        <v>42508</v>
      </c>
      <c r="G84" s="269">
        <f>VLOOKUP($B84,'4、其他合同'!$D:$AK,6,0)</f>
        <v>57988</v>
      </c>
      <c r="H84" s="269" t="str">
        <f>VLOOKUP($B84,'4、其他合同'!$D:$AK,7,0)</f>
        <v>访客一体机1台</v>
      </c>
      <c r="I84" s="269" t="str">
        <f>VLOOKUP($B84,'4、其他合同'!$D:$AK,8,0)</f>
        <v>福建聚众科技有限公司</v>
      </c>
      <c r="J84" s="290">
        <f>VLOOKUP($B84,'4、其他合同'!$D:$AK,9,0)</f>
        <v>0</v>
      </c>
      <c r="K84" s="291" t="str">
        <f>VLOOKUP($B84,'4、其他合同'!$D:$AK,10,0)</f>
        <v>电汇</v>
      </c>
      <c r="L84" s="292" t="str">
        <f>VLOOKUP($B84,'4、其他合同'!$D:$AK,11,0)</f>
        <v>款到发货</v>
      </c>
      <c r="M84" s="293">
        <f>VLOOKUP($B84,'4、其他合同'!$D:$AK,12,0)</f>
        <v>57988</v>
      </c>
      <c r="N84" s="293">
        <f>VLOOKUP($B84,'4、其他合同'!$D:$AK,13,0)</f>
        <v>57988</v>
      </c>
      <c r="O84" s="290">
        <f>VLOOKUP($B84,'4、其他合同'!$D:$AK,14,0)</f>
        <v>0</v>
      </c>
      <c r="P84" s="293">
        <f>VLOOKUP($B84,'4、其他合同'!$D:$AK,15,0)</f>
        <v>0</v>
      </c>
      <c r="Q84" s="293">
        <f>VLOOKUP($B84,'4、其他合同'!$D:$AK,16,0)</f>
        <v>0</v>
      </c>
      <c r="R84" s="290">
        <f>VLOOKUP($B84,'4、其他合同'!$D:$AK,17,0)</f>
        <v>0</v>
      </c>
      <c r="S84" s="293">
        <f>VLOOKUP($B84,'4、其他合同'!$D:$AK,18,0)</f>
        <v>0</v>
      </c>
      <c r="T84" s="293">
        <f>VLOOKUP($B84,'4、其他合同'!$D:$AK,19,0)</f>
        <v>0</v>
      </c>
      <c r="U84" s="290">
        <f>VLOOKUP($B84,'4、其他合同'!$D:$AK,20,0)</f>
        <v>0</v>
      </c>
      <c r="V84" s="293">
        <f>VLOOKUP($B84,'4、其他合同'!$D:$AK,21,0)</f>
        <v>0</v>
      </c>
      <c r="W84" s="293">
        <f>VLOOKUP($B84,'4、其他合同'!$D:$AK,22,0)</f>
        <v>0</v>
      </c>
      <c r="X84" s="290">
        <f>VLOOKUP($B84,'4、其他合同'!$D:$AK,23,0)</f>
        <v>0</v>
      </c>
      <c r="Y84" s="293">
        <f>VLOOKUP($B84,'4、其他合同'!$D:$AK,24,0)</f>
        <v>0</v>
      </c>
      <c r="Z84" s="293">
        <f>VLOOKUP($B84,'4、其他合同'!$D:$AK,25,0)</f>
        <v>0</v>
      </c>
      <c r="AA84" s="290">
        <f>VLOOKUP($B84,'4、其他合同'!$D:$AK,26,0)</f>
        <v>0</v>
      </c>
      <c r="AB84" s="293">
        <f>VLOOKUP($B84,'4、其他合同'!$D:$AK,27,0)</f>
        <v>0</v>
      </c>
      <c r="AC84" s="293">
        <f>VLOOKUP($B84,'4、其他合同'!$D:$AK,28,0)</f>
        <v>0</v>
      </c>
      <c r="AD84" s="290">
        <f>VLOOKUP($B84,'4、其他合同'!$D:$AK,29,0)</f>
        <v>0</v>
      </c>
      <c r="AE84" s="293">
        <f>VLOOKUP($B84,'4、其他合同'!$D:$AK,30,0)</f>
        <v>0</v>
      </c>
      <c r="AF84" s="293">
        <f>VLOOKUP($B84,'4、其他合同'!$D:$AK,31,0)</f>
        <v>0</v>
      </c>
      <c r="AG84" s="293">
        <f>VLOOKUP($B84,'4、其他合同'!$D:$AK,32,0)</f>
        <v>0</v>
      </c>
      <c r="AH84" s="293">
        <f>VLOOKUP($B84,'4、其他合同'!$D:$AK,33,0)</f>
        <v>0</v>
      </c>
      <c r="AI84" s="312">
        <f>VLOOKUP($B84,'4、其他合同'!$D:$AK,34,0)</f>
        <v>0</v>
      </c>
      <c r="AJ84" s="309">
        <f t="shared" si="19"/>
        <v>57988</v>
      </c>
      <c r="AK84" s="289">
        <f t="shared" si="20"/>
        <v>0</v>
      </c>
      <c r="AL84" s="310">
        <f t="shared" si="21"/>
        <v>1</v>
      </c>
      <c r="AM84" s="289">
        <f t="shared" si="22"/>
        <v>57988</v>
      </c>
      <c r="AN84" s="311" t="str">
        <f t="shared" si="23"/>
        <v>数据正确</v>
      </c>
    </row>
    <row r="85" s="228" customFormat="1" customHeight="1" spans="1:40">
      <c r="A85" s="228" t="str">
        <f t="shared" si="18"/>
        <v>已完毕</v>
      </c>
      <c r="B85" s="261">
        <v>80</v>
      </c>
      <c r="C85" s="266" t="str">
        <f>VLOOKUP($B85,'4、其他合同'!$D:$AK,2,0)</f>
        <v>YRKJXZ-160006</v>
      </c>
      <c r="D85" s="267" t="s">
        <v>25</v>
      </c>
      <c r="E85" s="267" t="str">
        <f>VLOOKUP($B85,'4、其他合同'!$D:$AK,4,0)</f>
        <v>-</v>
      </c>
      <c r="F85" s="268">
        <f>VLOOKUP($B85,'4、其他合同'!$D:$AK,5,0)</f>
        <v>42545</v>
      </c>
      <c r="G85" s="269">
        <f>VLOOKUP($B85,'4、其他合同'!$D:$AK,6,0)</f>
        <v>21850</v>
      </c>
      <c r="H85" s="269" t="str">
        <f>VLOOKUP($B85,'4、其他合同'!$D:$AK,7,0)</f>
        <v>卓创资讯网站（化工网、钢铁网等商务信息）</v>
      </c>
      <c r="I85" s="269" t="str">
        <f>VLOOKUP($B85,'4、其他合同'!$D:$AK,8,0)</f>
        <v>山东卓创资讯集团有限公司</v>
      </c>
      <c r="J85" s="290">
        <f>VLOOKUP($B85,'4、其他合同'!$D:$AK,9,0)</f>
        <v>0</v>
      </c>
      <c r="K85" s="291" t="str">
        <f>VLOOKUP($B85,'4、其他合同'!$D:$AK,10,0)</f>
        <v>电汇</v>
      </c>
      <c r="L85" s="292" t="str">
        <f>VLOOKUP($B85,'4、其他合同'!$D:$AK,11,0)</f>
        <v>款到发货</v>
      </c>
      <c r="M85" s="293">
        <f>VLOOKUP($B85,'4、其他合同'!$D:$AK,12,0)</f>
        <v>21850</v>
      </c>
      <c r="N85" s="293">
        <f>VLOOKUP($B85,'4、其他合同'!$D:$AK,13,0)</f>
        <v>21850</v>
      </c>
      <c r="O85" s="290">
        <f>VLOOKUP($B85,'4、其他合同'!$D:$AK,14,0)</f>
        <v>0</v>
      </c>
      <c r="P85" s="293">
        <f>VLOOKUP($B85,'4、其他合同'!$D:$AK,15,0)</f>
        <v>0</v>
      </c>
      <c r="Q85" s="293">
        <f>VLOOKUP($B85,'4、其他合同'!$D:$AK,16,0)</f>
        <v>0</v>
      </c>
      <c r="R85" s="290">
        <f>VLOOKUP($B85,'4、其他合同'!$D:$AK,17,0)</f>
        <v>0</v>
      </c>
      <c r="S85" s="293">
        <f>VLOOKUP($B85,'4、其他合同'!$D:$AK,18,0)</f>
        <v>0</v>
      </c>
      <c r="T85" s="293">
        <f>VLOOKUP($B85,'4、其他合同'!$D:$AK,19,0)</f>
        <v>0</v>
      </c>
      <c r="U85" s="290">
        <f>VLOOKUP($B85,'4、其他合同'!$D:$AK,20,0)</f>
        <v>0</v>
      </c>
      <c r="V85" s="293">
        <f>VLOOKUP($B85,'4、其他合同'!$D:$AK,21,0)</f>
        <v>0</v>
      </c>
      <c r="W85" s="293">
        <f>VLOOKUP($B85,'4、其他合同'!$D:$AK,22,0)</f>
        <v>0</v>
      </c>
      <c r="X85" s="290">
        <f>VLOOKUP($B85,'4、其他合同'!$D:$AK,23,0)</f>
        <v>0</v>
      </c>
      <c r="Y85" s="293">
        <f>VLOOKUP($B85,'4、其他合同'!$D:$AK,24,0)</f>
        <v>0</v>
      </c>
      <c r="Z85" s="293">
        <f>VLOOKUP($B85,'4、其他合同'!$D:$AK,25,0)</f>
        <v>0</v>
      </c>
      <c r="AA85" s="290">
        <f>VLOOKUP($B85,'4、其他合同'!$D:$AK,26,0)</f>
        <v>0</v>
      </c>
      <c r="AB85" s="293">
        <f>VLOOKUP($B85,'4、其他合同'!$D:$AK,27,0)</f>
        <v>0</v>
      </c>
      <c r="AC85" s="293">
        <f>VLOOKUP($B85,'4、其他合同'!$D:$AK,28,0)</f>
        <v>0</v>
      </c>
      <c r="AD85" s="290">
        <f>VLOOKUP($B85,'4、其他合同'!$D:$AK,29,0)</f>
        <v>0</v>
      </c>
      <c r="AE85" s="293">
        <f>VLOOKUP($B85,'4、其他合同'!$D:$AK,30,0)</f>
        <v>0</v>
      </c>
      <c r="AF85" s="293">
        <f>VLOOKUP($B85,'4、其他合同'!$D:$AK,31,0)</f>
        <v>0</v>
      </c>
      <c r="AG85" s="293">
        <f>VLOOKUP($B85,'4、其他合同'!$D:$AK,32,0)</f>
        <v>0</v>
      </c>
      <c r="AH85" s="293">
        <f>VLOOKUP($B85,'4、其他合同'!$D:$AK,33,0)</f>
        <v>0</v>
      </c>
      <c r="AI85" s="312">
        <f>VLOOKUP($B85,'4、其他合同'!$D:$AK,34,0)</f>
        <v>0</v>
      </c>
      <c r="AJ85" s="309">
        <f t="shared" si="19"/>
        <v>21850</v>
      </c>
      <c r="AK85" s="289">
        <f t="shared" si="20"/>
        <v>0</v>
      </c>
      <c r="AL85" s="310">
        <f t="shared" si="21"/>
        <v>1</v>
      </c>
      <c r="AM85" s="289">
        <f t="shared" si="22"/>
        <v>21850</v>
      </c>
      <c r="AN85" s="311" t="str">
        <f t="shared" si="23"/>
        <v>数据正确</v>
      </c>
    </row>
    <row r="86" s="228" customFormat="1" customHeight="1" spans="1:40">
      <c r="A86" s="228" t="str">
        <f t="shared" si="18"/>
        <v>已完毕</v>
      </c>
      <c r="B86" s="261">
        <v>81</v>
      </c>
      <c r="C86" s="266" t="str">
        <f>VLOOKUP($B86,'4、其他合同'!$D:$AK,2,0)</f>
        <v>YRKJXZ-160006</v>
      </c>
      <c r="D86" s="267" t="s">
        <v>25</v>
      </c>
      <c r="E86" s="267" t="str">
        <f>VLOOKUP($B86,'4、其他合同'!$D:$AK,4,0)</f>
        <v>-</v>
      </c>
      <c r="F86" s="268">
        <f>VLOOKUP($B86,'4、其他合同'!$D:$AK,5,0)</f>
        <v>42520</v>
      </c>
      <c r="G86" s="269">
        <f>VLOOKUP($B86,'4、其他合同'!$D:$AK,6,0)</f>
        <v>22050</v>
      </c>
      <c r="H86" s="269" t="str">
        <f>VLOOKUP($B86,'4、其他合同'!$D:$AK,7,0)</f>
        <v>TCL液晶电视21台*1050元/台</v>
      </c>
      <c r="I86" s="269" t="str">
        <f>VLOOKUP($B86,'4、其他合同'!$D:$AK,8,0)</f>
        <v>福建广电网络集团有限公司莆田分公司</v>
      </c>
      <c r="J86" s="290">
        <f>VLOOKUP($B86,'4、其他合同'!$D:$AK,9,0)</f>
        <v>0</v>
      </c>
      <c r="K86" s="291" t="str">
        <f>VLOOKUP($B86,'4、其他合同'!$D:$AK,10,0)</f>
        <v>电汇</v>
      </c>
      <c r="L86" s="292" t="str">
        <f>VLOOKUP($B86,'4、其他合同'!$D:$AK,11,0)</f>
        <v>收到发票，验收合格支付</v>
      </c>
      <c r="M86" s="293">
        <f>VLOOKUP($B86,'4、其他合同'!$D:$AK,12,0)</f>
        <v>22050</v>
      </c>
      <c r="N86" s="293">
        <f>VLOOKUP($B86,'4、其他合同'!$D:$AK,13,0)</f>
        <v>22050</v>
      </c>
      <c r="O86" s="290">
        <f>VLOOKUP($B86,'4、其他合同'!$D:$AK,14,0)</f>
        <v>0</v>
      </c>
      <c r="P86" s="293">
        <f>VLOOKUP($B86,'4、其他合同'!$D:$AK,15,0)</f>
        <v>0</v>
      </c>
      <c r="Q86" s="293">
        <f>VLOOKUP($B86,'4、其他合同'!$D:$AK,16,0)</f>
        <v>0</v>
      </c>
      <c r="R86" s="290">
        <f>VLOOKUP($B86,'4、其他合同'!$D:$AK,17,0)</f>
        <v>0</v>
      </c>
      <c r="S86" s="293">
        <f>VLOOKUP($B86,'4、其他合同'!$D:$AK,18,0)</f>
        <v>0</v>
      </c>
      <c r="T86" s="293">
        <f>VLOOKUP($B86,'4、其他合同'!$D:$AK,19,0)</f>
        <v>0</v>
      </c>
      <c r="U86" s="290">
        <f>VLOOKUP($B86,'4、其他合同'!$D:$AK,20,0)</f>
        <v>0</v>
      </c>
      <c r="V86" s="293">
        <f>VLOOKUP($B86,'4、其他合同'!$D:$AK,21,0)</f>
        <v>0</v>
      </c>
      <c r="W86" s="293">
        <f>VLOOKUP($B86,'4、其他合同'!$D:$AK,22,0)</f>
        <v>0</v>
      </c>
      <c r="X86" s="290">
        <f>VLOOKUP($B86,'4、其他合同'!$D:$AK,23,0)</f>
        <v>0</v>
      </c>
      <c r="Y86" s="293">
        <f>VLOOKUP($B86,'4、其他合同'!$D:$AK,24,0)</f>
        <v>0</v>
      </c>
      <c r="Z86" s="293">
        <f>VLOOKUP($B86,'4、其他合同'!$D:$AK,25,0)</f>
        <v>0</v>
      </c>
      <c r="AA86" s="290">
        <f>VLOOKUP($B86,'4、其他合同'!$D:$AK,26,0)</f>
        <v>0</v>
      </c>
      <c r="AB86" s="293">
        <f>VLOOKUP($B86,'4、其他合同'!$D:$AK,27,0)</f>
        <v>0</v>
      </c>
      <c r="AC86" s="293">
        <f>VLOOKUP($B86,'4、其他合同'!$D:$AK,28,0)</f>
        <v>0</v>
      </c>
      <c r="AD86" s="290">
        <f>VLOOKUP($B86,'4、其他合同'!$D:$AK,29,0)</f>
        <v>0</v>
      </c>
      <c r="AE86" s="293">
        <f>VLOOKUP($B86,'4、其他合同'!$D:$AK,30,0)</f>
        <v>0</v>
      </c>
      <c r="AF86" s="293">
        <f>VLOOKUP($B86,'4、其他合同'!$D:$AK,31,0)</f>
        <v>0</v>
      </c>
      <c r="AG86" s="293">
        <f>VLOOKUP($B86,'4、其他合同'!$D:$AK,32,0)</f>
        <v>0</v>
      </c>
      <c r="AH86" s="293">
        <f>VLOOKUP($B86,'4、其他合同'!$D:$AK,33,0)</f>
        <v>0</v>
      </c>
      <c r="AI86" s="312">
        <f>VLOOKUP($B86,'4、其他合同'!$D:$AK,34,0)</f>
        <v>0</v>
      </c>
      <c r="AJ86" s="309">
        <f t="shared" si="19"/>
        <v>22050</v>
      </c>
      <c r="AK86" s="289">
        <f t="shared" si="20"/>
        <v>0</v>
      </c>
      <c r="AL86" s="310">
        <f t="shared" si="21"/>
        <v>1</v>
      </c>
      <c r="AM86" s="289">
        <f t="shared" si="22"/>
        <v>22050</v>
      </c>
      <c r="AN86" s="311" t="str">
        <f t="shared" si="23"/>
        <v>数据正确</v>
      </c>
    </row>
    <row r="87" s="228" customFormat="1" customHeight="1" spans="1:40">
      <c r="A87" s="228" t="str">
        <f t="shared" si="18"/>
        <v/>
      </c>
      <c r="B87" s="256">
        <v>82</v>
      </c>
      <c r="C87" s="266" t="str">
        <f>VLOOKUP($B87,'4、其他合同'!$D:$AK,2,0)</f>
        <v>YRKJXZ-160007</v>
      </c>
      <c r="D87" s="267" t="s">
        <v>25</v>
      </c>
      <c r="E87" s="267" t="str">
        <f>VLOOKUP($B87,'4、其他合同'!$D:$AK,4,0)</f>
        <v>-</v>
      </c>
      <c r="F87" s="268">
        <f>VLOOKUP($B87,'4、其他合同'!$D:$AK,5,0)</f>
        <v>42595</v>
      </c>
      <c r="G87" s="269">
        <f>VLOOKUP($B87,'4、其他合同'!$D:$AK,6,0)</f>
        <v>34300</v>
      </c>
      <c r="H87" s="269" t="str">
        <f>VLOOKUP($B87,'4、其他合同'!$D:$AK,7,0)</f>
        <v>办公及宿舍家具（圆桌、凳子、茶几等）</v>
      </c>
      <c r="I87" s="269" t="str">
        <f>VLOOKUP($B87,'4、其他合同'!$D:$AK,8,0)</f>
        <v>福州市仓山区恒通日用品经营部</v>
      </c>
      <c r="J87" s="290">
        <f>VLOOKUP($B87,'4、其他合同'!$D:$AK,9,0)</f>
        <v>0</v>
      </c>
      <c r="K87" s="291" t="str">
        <f>VLOOKUP($B87,'4、其他合同'!$D:$AK,10,0)</f>
        <v>6个月承兑汇票</v>
      </c>
      <c r="L87" s="292" t="str">
        <f>VLOOKUP($B87,'4、其他合同'!$D:$AK,11,0)</f>
        <v>收到发票，验收合格支付95%</v>
      </c>
      <c r="M87" s="293">
        <f>VLOOKUP($B87,'4、其他合同'!$D:$AK,12,0)</f>
        <v>32585</v>
      </c>
      <c r="N87" s="293">
        <f>VLOOKUP($B87,'4、其他合同'!$D:$AK,13,0)</f>
        <v>32585</v>
      </c>
      <c r="O87" s="290" t="str">
        <f>VLOOKUP($B87,'4、其他合同'!$D:$AK,14,0)</f>
        <v>5%质保金，一年</v>
      </c>
      <c r="P87" s="293">
        <f>VLOOKUP($B87,'4、其他合同'!$D:$AK,15,0)</f>
        <v>1715</v>
      </c>
      <c r="Q87" s="293">
        <f>VLOOKUP($B87,'4、其他合同'!$D:$AK,16,0)</f>
        <v>0</v>
      </c>
      <c r="R87" s="290">
        <f>VLOOKUP($B87,'4、其他合同'!$D:$AK,17,0)</f>
        <v>0</v>
      </c>
      <c r="S87" s="293">
        <f>VLOOKUP($B87,'4、其他合同'!$D:$AK,18,0)</f>
        <v>0</v>
      </c>
      <c r="T87" s="293">
        <f>VLOOKUP($B87,'4、其他合同'!$D:$AK,19,0)</f>
        <v>0</v>
      </c>
      <c r="U87" s="290">
        <f>VLOOKUP($B87,'4、其他合同'!$D:$AK,20,0)</f>
        <v>0</v>
      </c>
      <c r="V87" s="293">
        <f>VLOOKUP($B87,'4、其他合同'!$D:$AK,21,0)</f>
        <v>0</v>
      </c>
      <c r="W87" s="293">
        <f>VLOOKUP($B87,'4、其他合同'!$D:$AK,22,0)</f>
        <v>0</v>
      </c>
      <c r="X87" s="290">
        <f>VLOOKUP($B87,'4、其他合同'!$D:$AK,23,0)</f>
        <v>0</v>
      </c>
      <c r="Y87" s="293">
        <f>VLOOKUP($B87,'4、其他合同'!$D:$AK,24,0)</f>
        <v>0</v>
      </c>
      <c r="Z87" s="293">
        <f>VLOOKUP($B87,'4、其他合同'!$D:$AK,25,0)</f>
        <v>0</v>
      </c>
      <c r="AA87" s="290">
        <f>VLOOKUP($B87,'4、其他合同'!$D:$AK,26,0)</f>
        <v>0</v>
      </c>
      <c r="AB87" s="293">
        <f>VLOOKUP($B87,'4、其他合同'!$D:$AK,27,0)</f>
        <v>0</v>
      </c>
      <c r="AC87" s="293">
        <f>VLOOKUP($B87,'4、其他合同'!$D:$AK,28,0)</f>
        <v>0</v>
      </c>
      <c r="AD87" s="290">
        <f>VLOOKUP($B87,'4、其他合同'!$D:$AK,29,0)</f>
        <v>0</v>
      </c>
      <c r="AE87" s="293">
        <f>VLOOKUP($B87,'4、其他合同'!$D:$AK,30,0)</f>
        <v>0</v>
      </c>
      <c r="AF87" s="293">
        <f>VLOOKUP($B87,'4、其他合同'!$D:$AK,31,0)</f>
        <v>0</v>
      </c>
      <c r="AG87" s="293">
        <f>VLOOKUP($B87,'4、其他合同'!$D:$AK,32,0)</f>
        <v>0</v>
      </c>
      <c r="AH87" s="293">
        <f>VLOOKUP($B87,'4、其他合同'!$D:$AK,33,0)</f>
        <v>0</v>
      </c>
      <c r="AI87" s="312">
        <f>VLOOKUP($B87,'4、其他合同'!$D:$AK,34,0)</f>
        <v>0</v>
      </c>
      <c r="AJ87" s="309">
        <f t="shared" si="19"/>
        <v>32585</v>
      </c>
      <c r="AK87" s="289">
        <f t="shared" si="20"/>
        <v>1715</v>
      </c>
      <c r="AL87" s="310">
        <f t="shared" si="21"/>
        <v>0.95</v>
      </c>
      <c r="AM87" s="289">
        <f t="shared" si="22"/>
        <v>34300</v>
      </c>
      <c r="AN87" s="311" t="str">
        <f t="shared" si="23"/>
        <v>数据正确</v>
      </c>
    </row>
    <row r="88" s="228" customFormat="1" customHeight="1" spans="1:40">
      <c r="A88" s="228" t="str">
        <f t="shared" si="18"/>
        <v>已完毕</v>
      </c>
      <c r="B88" s="261">
        <v>83</v>
      </c>
      <c r="C88" s="266" t="str">
        <f>VLOOKUP($B88,'4、其他合同'!$D:$AK,2,0)</f>
        <v>YRKJXZ-160008</v>
      </c>
      <c r="D88" s="267" t="s">
        <v>25</v>
      </c>
      <c r="E88" s="267" t="str">
        <f>VLOOKUP($B88,'4、其他合同'!$D:$AK,4,0)</f>
        <v>-</v>
      </c>
      <c r="F88" s="268">
        <f>VLOOKUP($B88,'4、其他合同'!$D:$AK,5,0)</f>
        <v>42590</v>
      </c>
      <c r="G88" s="269">
        <f>VLOOKUP($B88,'4、其他合同'!$D:$AK,6,0)</f>
        <v>5000</v>
      </c>
      <c r="H88" s="269" t="str">
        <f>VLOOKUP($B88,'4、其他合同'!$D:$AK,7,0)</f>
        <v>联想笔记本电脑1台</v>
      </c>
      <c r="I88" s="269" t="str">
        <f>VLOOKUP($B88,'4、其他合同'!$D:$AK,8,0)</f>
        <v>福州威迅电子有限公司</v>
      </c>
      <c r="J88" s="290">
        <f>VLOOKUP($B88,'4、其他合同'!$D:$AK,9,0)</f>
        <v>0</v>
      </c>
      <c r="K88" s="291" t="str">
        <f>VLOOKUP($B88,'4、其他合同'!$D:$AK,10,0)</f>
        <v>电汇</v>
      </c>
      <c r="L88" s="292" t="str">
        <f>VLOOKUP($B88,'4、其他合同'!$D:$AK,11,0)</f>
        <v>收到发票，验收合格支付</v>
      </c>
      <c r="M88" s="293">
        <f>VLOOKUP($B88,'4、其他合同'!$D:$AK,12,0)</f>
        <v>5000</v>
      </c>
      <c r="N88" s="293">
        <f>VLOOKUP($B88,'4、其他合同'!$D:$AK,13,0)</f>
        <v>5000</v>
      </c>
      <c r="O88" s="290">
        <f>VLOOKUP($B88,'4、其他合同'!$D:$AK,14,0)</f>
        <v>0</v>
      </c>
      <c r="P88" s="293">
        <f>VLOOKUP($B88,'4、其他合同'!$D:$AK,15,0)</f>
        <v>0</v>
      </c>
      <c r="Q88" s="293">
        <f>VLOOKUP($B88,'4、其他合同'!$D:$AK,16,0)</f>
        <v>0</v>
      </c>
      <c r="R88" s="290">
        <f>VLOOKUP($B88,'4、其他合同'!$D:$AK,17,0)</f>
        <v>0</v>
      </c>
      <c r="S88" s="293">
        <f>VLOOKUP($B88,'4、其他合同'!$D:$AK,18,0)</f>
        <v>0</v>
      </c>
      <c r="T88" s="293">
        <f>VLOOKUP($B88,'4、其他合同'!$D:$AK,19,0)</f>
        <v>0</v>
      </c>
      <c r="U88" s="290">
        <f>VLOOKUP($B88,'4、其他合同'!$D:$AK,20,0)</f>
        <v>0</v>
      </c>
      <c r="V88" s="293">
        <f>VLOOKUP($B88,'4、其他合同'!$D:$AK,21,0)</f>
        <v>0</v>
      </c>
      <c r="W88" s="293">
        <f>VLOOKUP($B88,'4、其他合同'!$D:$AK,22,0)</f>
        <v>0</v>
      </c>
      <c r="X88" s="290">
        <f>VLOOKUP($B88,'4、其他合同'!$D:$AK,23,0)</f>
        <v>0</v>
      </c>
      <c r="Y88" s="293">
        <f>VLOOKUP($B88,'4、其他合同'!$D:$AK,24,0)</f>
        <v>0</v>
      </c>
      <c r="Z88" s="293">
        <f>VLOOKUP($B88,'4、其他合同'!$D:$AK,25,0)</f>
        <v>0</v>
      </c>
      <c r="AA88" s="290">
        <f>VLOOKUP($B88,'4、其他合同'!$D:$AK,26,0)</f>
        <v>0</v>
      </c>
      <c r="AB88" s="293">
        <f>VLOOKUP($B88,'4、其他合同'!$D:$AK,27,0)</f>
        <v>0</v>
      </c>
      <c r="AC88" s="293">
        <f>VLOOKUP($B88,'4、其他合同'!$D:$AK,28,0)</f>
        <v>0</v>
      </c>
      <c r="AD88" s="290">
        <f>VLOOKUP($B88,'4、其他合同'!$D:$AK,29,0)</f>
        <v>0</v>
      </c>
      <c r="AE88" s="293">
        <f>VLOOKUP($B88,'4、其他合同'!$D:$AK,30,0)</f>
        <v>0</v>
      </c>
      <c r="AF88" s="293">
        <f>VLOOKUP($B88,'4、其他合同'!$D:$AK,31,0)</f>
        <v>0</v>
      </c>
      <c r="AG88" s="293">
        <f>VLOOKUP($B88,'4、其他合同'!$D:$AK,32,0)</f>
        <v>0</v>
      </c>
      <c r="AH88" s="293">
        <f>VLOOKUP($B88,'4、其他合同'!$D:$AK,33,0)</f>
        <v>0</v>
      </c>
      <c r="AI88" s="312">
        <f>VLOOKUP($B88,'4、其他合同'!$D:$AK,34,0)</f>
        <v>0</v>
      </c>
      <c r="AJ88" s="309">
        <f t="shared" si="19"/>
        <v>5000</v>
      </c>
      <c r="AK88" s="289">
        <f t="shared" si="20"/>
        <v>0</v>
      </c>
      <c r="AL88" s="310">
        <f t="shared" si="21"/>
        <v>1</v>
      </c>
      <c r="AM88" s="289">
        <f t="shared" si="22"/>
        <v>5000</v>
      </c>
      <c r="AN88" s="311" t="str">
        <f t="shared" si="23"/>
        <v>数据正确</v>
      </c>
    </row>
    <row r="89" s="228" customFormat="1" customHeight="1" spans="1:40">
      <c r="A89" s="228" t="str">
        <f t="shared" si="18"/>
        <v>已完毕</v>
      </c>
      <c r="B89" s="261">
        <v>84</v>
      </c>
      <c r="C89" s="266" t="str">
        <f>VLOOKUP($B89,'4、其他合同'!$D:$AK,2,0)</f>
        <v>YRKJXZ-160010</v>
      </c>
      <c r="D89" s="267" t="s">
        <v>25</v>
      </c>
      <c r="E89" s="267" t="str">
        <f>VLOOKUP($B89,'4、其他合同'!$D:$AK,4,0)</f>
        <v>-</v>
      </c>
      <c r="F89" s="268">
        <f>VLOOKUP($B89,'4、其他合同'!$D:$AK,5,0)</f>
        <v>42598</v>
      </c>
      <c r="G89" s="269">
        <f>VLOOKUP($B89,'4、其他合同'!$D:$AK,6,0)</f>
        <v>25728</v>
      </c>
      <c r="H89" s="269" t="str">
        <f>VLOOKUP($B89,'4、其他合同'!$D:$AK,7,0)</f>
        <v>聚丙烯管402米*64元/米</v>
      </c>
      <c r="I89" s="269" t="str">
        <f>VLOOKUP($B89,'4、其他合同'!$D:$AK,8,0)</f>
        <v>福州万年通管道材料有限公司</v>
      </c>
      <c r="J89" s="290">
        <f>VLOOKUP($B89,'4、其他合同'!$D:$AK,9,0)</f>
        <v>0</v>
      </c>
      <c r="K89" s="291" t="str">
        <f>VLOOKUP($B89,'4、其他合同'!$D:$AK,10,0)</f>
        <v>电汇</v>
      </c>
      <c r="L89" s="292" t="str">
        <f>VLOOKUP($B89,'4、其他合同'!$D:$AK,11,0)</f>
        <v>合同生效后支付10%预付款</v>
      </c>
      <c r="M89" s="293">
        <f>VLOOKUP($B89,'4、其他合同'!$D:$AK,12,0)</f>
        <v>2572.8</v>
      </c>
      <c r="N89" s="293">
        <f>VLOOKUP($B89,'4、其他合同'!$D:$AK,13,0)</f>
        <v>2572.8</v>
      </c>
      <c r="O89" s="290" t="str">
        <f>VLOOKUP($B89,'4、其他合同'!$D:$AK,14,0)</f>
        <v>到货并收到全额发票后支付90%</v>
      </c>
      <c r="P89" s="293">
        <f>VLOOKUP($B89,'4、其他合同'!$D:$AK,15,0)</f>
        <v>23155.2</v>
      </c>
      <c r="Q89" s="293">
        <f>VLOOKUP($B89,'4、其他合同'!$D:$AK,16,0)</f>
        <v>23155.2</v>
      </c>
      <c r="R89" s="290">
        <f>VLOOKUP($B89,'4、其他合同'!$D:$AK,17,0)</f>
        <v>0</v>
      </c>
      <c r="S89" s="293">
        <f>VLOOKUP($B89,'4、其他合同'!$D:$AK,18,0)</f>
        <v>0</v>
      </c>
      <c r="T89" s="293">
        <f>VLOOKUP($B89,'4、其他合同'!$D:$AK,19,0)</f>
        <v>0</v>
      </c>
      <c r="U89" s="290">
        <f>VLOOKUP($B89,'4、其他合同'!$D:$AK,20,0)</f>
        <v>0</v>
      </c>
      <c r="V89" s="293">
        <f>VLOOKUP($B89,'4、其他合同'!$D:$AK,21,0)</f>
        <v>0</v>
      </c>
      <c r="W89" s="293">
        <f>VLOOKUP($B89,'4、其他合同'!$D:$AK,22,0)</f>
        <v>0</v>
      </c>
      <c r="X89" s="290">
        <f>VLOOKUP($B89,'4、其他合同'!$D:$AK,23,0)</f>
        <v>0</v>
      </c>
      <c r="Y89" s="293">
        <f>VLOOKUP($B89,'4、其他合同'!$D:$AK,24,0)</f>
        <v>0</v>
      </c>
      <c r="Z89" s="293">
        <f>VLOOKUP($B89,'4、其他合同'!$D:$AK,25,0)</f>
        <v>0</v>
      </c>
      <c r="AA89" s="290">
        <f>VLOOKUP($B89,'4、其他合同'!$D:$AK,26,0)</f>
        <v>0</v>
      </c>
      <c r="AB89" s="293">
        <f>VLOOKUP($B89,'4、其他合同'!$D:$AK,27,0)</f>
        <v>0</v>
      </c>
      <c r="AC89" s="293">
        <f>VLOOKUP($B89,'4、其他合同'!$D:$AK,28,0)</f>
        <v>0</v>
      </c>
      <c r="AD89" s="290">
        <f>VLOOKUP($B89,'4、其他合同'!$D:$AK,29,0)</f>
        <v>0</v>
      </c>
      <c r="AE89" s="293">
        <f>VLOOKUP($B89,'4、其他合同'!$D:$AK,30,0)</f>
        <v>0</v>
      </c>
      <c r="AF89" s="293">
        <f>VLOOKUP($B89,'4、其他合同'!$D:$AK,31,0)</f>
        <v>0</v>
      </c>
      <c r="AG89" s="293">
        <f>VLOOKUP($B89,'4、其他合同'!$D:$AK,32,0)</f>
        <v>0</v>
      </c>
      <c r="AH89" s="293">
        <f>VLOOKUP($B89,'4、其他合同'!$D:$AK,33,0)</f>
        <v>0</v>
      </c>
      <c r="AI89" s="312">
        <f>VLOOKUP($B89,'4、其他合同'!$D:$AK,34,0)</f>
        <v>0</v>
      </c>
      <c r="AJ89" s="309">
        <f t="shared" si="19"/>
        <v>25728</v>
      </c>
      <c r="AK89" s="289">
        <f t="shared" si="20"/>
        <v>0</v>
      </c>
      <c r="AL89" s="310">
        <f t="shared" si="21"/>
        <v>1</v>
      </c>
      <c r="AM89" s="289">
        <f t="shared" si="22"/>
        <v>25728</v>
      </c>
      <c r="AN89" s="311" t="str">
        <f t="shared" si="23"/>
        <v>数据正确</v>
      </c>
    </row>
    <row r="90" s="228" customFormat="1" customHeight="1" spans="1:40">
      <c r="A90" s="228" t="str">
        <f t="shared" si="18"/>
        <v>已完毕</v>
      </c>
      <c r="B90" s="256">
        <v>85</v>
      </c>
      <c r="C90" s="266" t="str">
        <f>VLOOKUP($B90,'4、其他合同'!$D:$AK,2,0)</f>
        <v>YRKJXZ-160015</v>
      </c>
      <c r="D90" s="267" t="s">
        <v>25</v>
      </c>
      <c r="E90" s="267" t="str">
        <f>VLOOKUP($B90,'4、其他合同'!$D:$AK,4,0)</f>
        <v>-</v>
      </c>
      <c r="F90" s="268">
        <f>VLOOKUP($B90,'4、其他合同'!$D:$AK,5,0)</f>
        <v>42703</v>
      </c>
      <c r="G90" s="269">
        <f>VLOOKUP($B90,'4、其他合同'!$D:$AK,6,0)</f>
        <v>8000</v>
      </c>
      <c r="H90" s="269" t="str">
        <f>VLOOKUP($B90,'4、其他合同'!$D:$AK,7,0)</f>
        <v>奠基石1套</v>
      </c>
      <c r="I90" s="269" t="str">
        <f>VLOOKUP($B90,'4、其他合同'!$D:$AK,8,0)</f>
        <v>惠安凯石石业有限公司</v>
      </c>
      <c r="J90" s="290">
        <f>VLOOKUP($B90,'4、其他合同'!$D:$AK,9,0)</f>
        <v>0</v>
      </c>
      <c r="K90" s="291" t="str">
        <f>VLOOKUP($B90,'4、其他合同'!$D:$AK,10,0)</f>
        <v>电汇</v>
      </c>
      <c r="L90" s="292" t="str">
        <f>VLOOKUP($B90,'4、其他合同'!$D:$AK,11,0)</f>
        <v>25%预付款</v>
      </c>
      <c r="M90" s="293">
        <f>VLOOKUP($B90,'4、其他合同'!$D:$AK,12,0)</f>
        <v>2000</v>
      </c>
      <c r="N90" s="293">
        <f>VLOOKUP($B90,'4、其他合同'!$D:$AK,13,0)</f>
        <v>2000</v>
      </c>
      <c r="O90" s="290" t="str">
        <f>VLOOKUP($B90,'4、其他合同'!$D:$AK,14,0)</f>
        <v>收到货，收到全额发票后付清</v>
      </c>
      <c r="P90" s="293">
        <f>VLOOKUP($B90,'4、其他合同'!$D:$AK,15,0)</f>
        <v>6000</v>
      </c>
      <c r="Q90" s="293">
        <f>VLOOKUP($B90,'4、其他合同'!$D:$AK,16,0)</f>
        <v>6000</v>
      </c>
      <c r="R90" s="290">
        <f>VLOOKUP($B90,'4、其他合同'!$D:$AK,17,0)</f>
        <v>0</v>
      </c>
      <c r="S90" s="293">
        <f>VLOOKUP($B90,'4、其他合同'!$D:$AK,18,0)</f>
        <v>0</v>
      </c>
      <c r="T90" s="293">
        <f>VLOOKUP($B90,'4、其他合同'!$D:$AK,19,0)</f>
        <v>0</v>
      </c>
      <c r="U90" s="290">
        <f>VLOOKUP($B90,'4、其他合同'!$D:$AK,20,0)</f>
        <v>0</v>
      </c>
      <c r="V90" s="293">
        <f>VLOOKUP($B90,'4、其他合同'!$D:$AK,21,0)</f>
        <v>0</v>
      </c>
      <c r="W90" s="293">
        <f>VLOOKUP($B90,'4、其他合同'!$D:$AK,22,0)</f>
        <v>0</v>
      </c>
      <c r="X90" s="290">
        <f>VLOOKUP($B90,'4、其他合同'!$D:$AK,23,0)</f>
        <v>0</v>
      </c>
      <c r="Y90" s="293">
        <f>VLOOKUP($B90,'4、其他合同'!$D:$AK,24,0)</f>
        <v>0</v>
      </c>
      <c r="Z90" s="293">
        <f>VLOOKUP($B90,'4、其他合同'!$D:$AK,25,0)</f>
        <v>0</v>
      </c>
      <c r="AA90" s="290">
        <f>VLOOKUP($B90,'4、其他合同'!$D:$AK,26,0)</f>
        <v>0</v>
      </c>
      <c r="AB90" s="293">
        <f>VLOOKUP($B90,'4、其他合同'!$D:$AK,27,0)</f>
        <v>0</v>
      </c>
      <c r="AC90" s="293">
        <f>VLOOKUP($B90,'4、其他合同'!$D:$AK,28,0)</f>
        <v>0</v>
      </c>
      <c r="AD90" s="290">
        <f>VLOOKUP($B90,'4、其他合同'!$D:$AK,29,0)</f>
        <v>0</v>
      </c>
      <c r="AE90" s="293">
        <f>VLOOKUP($B90,'4、其他合同'!$D:$AK,30,0)</f>
        <v>0</v>
      </c>
      <c r="AF90" s="293">
        <f>VLOOKUP($B90,'4、其他合同'!$D:$AK,31,0)</f>
        <v>0</v>
      </c>
      <c r="AG90" s="293">
        <f>VLOOKUP($B90,'4、其他合同'!$D:$AK,32,0)</f>
        <v>0</v>
      </c>
      <c r="AH90" s="293">
        <f>VLOOKUP($B90,'4、其他合同'!$D:$AK,33,0)</f>
        <v>0</v>
      </c>
      <c r="AI90" s="312">
        <f>VLOOKUP($B90,'4、其他合同'!$D:$AK,34,0)</f>
        <v>0</v>
      </c>
      <c r="AJ90" s="309">
        <f t="shared" si="19"/>
        <v>8000</v>
      </c>
      <c r="AK90" s="289">
        <f t="shared" si="20"/>
        <v>0</v>
      </c>
      <c r="AL90" s="310">
        <f t="shared" si="21"/>
        <v>1</v>
      </c>
      <c r="AM90" s="289">
        <f t="shared" si="22"/>
        <v>8000</v>
      </c>
      <c r="AN90" s="311" t="str">
        <f t="shared" si="23"/>
        <v>数据正确</v>
      </c>
    </row>
    <row r="91" s="228" customFormat="1" customHeight="1" spans="1:40">
      <c r="A91" s="228" t="str">
        <f t="shared" si="18"/>
        <v/>
      </c>
      <c r="B91" s="261">
        <v>86</v>
      </c>
      <c r="C91" s="266" t="str">
        <f>VLOOKUP($B91,'3、工程合同'!$D:$AL,2,0)</f>
        <v>YRKJGC-150001</v>
      </c>
      <c r="D91" s="267" t="str">
        <f>VLOOKUP($B91,'3、工程合同'!$D:$AL,3,0)</f>
        <v>工程合同</v>
      </c>
      <c r="E91" s="267" t="str">
        <f>VLOOKUP($B91,'3、工程合同'!$D:$AL,4,0)</f>
        <v>-</v>
      </c>
      <c r="F91" s="268">
        <f>VLOOKUP($B91,'3、工程合同'!$D:$AL,5,0)</f>
        <v>42318</v>
      </c>
      <c r="G91" s="269">
        <f>VLOOKUP($B91,'3、工程合同'!$D:$AL,6,0)</f>
        <v>2400000</v>
      </c>
      <c r="H91" s="269" t="str">
        <f>VLOOKUP($B91,'3、工程合同'!$D:$AL,7,0)</f>
        <v>电力工程设计（配套输变电工程方案设计）</v>
      </c>
      <c r="I91" s="269" t="str">
        <f>VLOOKUP($B91,'3、工程合同'!$D:$AL,8,0)</f>
        <v>莆田荔源电力勘察设计有限公司</v>
      </c>
      <c r="J91" s="290">
        <f>VLOOKUP($B91,'3、工程合同'!$D:$AL,9,0)</f>
        <v>0</v>
      </c>
      <c r="K91" s="291" t="str">
        <f>VLOOKUP($B91,'3、工程合同'!$D:$AL,10,0)</f>
        <v>承兑汇票</v>
      </c>
      <c r="L91" s="292" t="str">
        <f>VLOOKUP($B91,'3、工程合同'!$D:$AL,11,0)</f>
        <v>合同生效，支付20%预付款</v>
      </c>
      <c r="M91" s="293">
        <f>VLOOKUP($B91,'3、工程合同'!$D:$AL,12,0)</f>
        <v>480000</v>
      </c>
      <c r="N91" s="293">
        <f>VLOOKUP($B91,'3、工程合同'!$D:$AL,13,0)</f>
        <v>400000</v>
      </c>
      <c r="O91" s="290" t="str">
        <f>VLOOKUP($B91,'3、工程合同'!$D:$AL,14,0)</f>
        <v>基础设计完成并提交全部文件资料，开具合同50%的6%专票后支付30%</v>
      </c>
      <c r="P91" s="293">
        <f>VLOOKUP($B91,'3、工程合同'!$D:$AL,15,0)</f>
        <v>720000</v>
      </c>
      <c r="Q91" s="293">
        <f>VLOOKUP($B91,'3、工程合同'!$D:$AL,16,0)</f>
        <v>0</v>
      </c>
      <c r="R91" s="290" t="str">
        <f>VLOOKUP($B91,'3、工程合同'!$D:$AL,17,0)</f>
        <v>在全套施工图纸及接入系统等文件通知通过相关部门会审，开具50%专票后支付30%</v>
      </c>
      <c r="S91" s="293">
        <f>VLOOKUP($B91,'3、工程合同'!$D:$AL,18,0)</f>
        <v>720000</v>
      </c>
      <c r="T91" s="293">
        <f>VLOOKUP($B91,'3、工程合同'!$D:$AL,19,0)</f>
        <v>0</v>
      </c>
      <c r="U91" s="290" t="str">
        <f>VLOOKUP($B91,'3、工程合同'!$D:$AL,20,0)</f>
        <v>工程送电成功并稳定运行一个月后支付20%</v>
      </c>
      <c r="V91" s="293">
        <f>VLOOKUP($B91,'3、工程合同'!$D:$AL,21,0)</f>
        <v>480000</v>
      </c>
      <c r="W91" s="293">
        <f>VLOOKUP($B91,'3、工程合同'!$D:$AL,22,0)</f>
        <v>0</v>
      </c>
      <c r="X91" s="290">
        <f>VLOOKUP($B91,'3、工程合同'!$D:$AL,23,0)</f>
        <v>0</v>
      </c>
      <c r="Y91" s="293">
        <f>VLOOKUP($B91,'3、工程合同'!$D:$AL,24,0)</f>
        <v>0</v>
      </c>
      <c r="Z91" s="293">
        <f>VLOOKUP($B91,'3、工程合同'!$D:$AL,25,0)</f>
        <v>0</v>
      </c>
      <c r="AA91" s="290">
        <f>VLOOKUP($B91,'3、工程合同'!$D:$AL,26,0)</f>
        <v>0</v>
      </c>
      <c r="AB91" s="293">
        <f>VLOOKUP($B91,'3、工程合同'!$D:$AL,27,0)</f>
        <v>0</v>
      </c>
      <c r="AC91" s="293">
        <f>VLOOKUP($B91,'3、工程合同'!$D:$AL,28,0)</f>
        <v>0</v>
      </c>
      <c r="AD91" s="290">
        <f>VLOOKUP($B91,'3、工程合同'!$D:$AL,29,0)</f>
        <v>0</v>
      </c>
      <c r="AE91" s="293">
        <f>VLOOKUP($B91,'3、工程合同'!$D:$AL,30,0)</f>
        <v>0</v>
      </c>
      <c r="AF91" s="293">
        <f>VLOOKUP($B91,'3、工程合同'!$D:$AL,31,0)</f>
        <v>0</v>
      </c>
      <c r="AG91" s="293">
        <f>VLOOKUP($B91,'3、工程合同'!$D:$AL,32,0)</f>
        <v>0</v>
      </c>
      <c r="AH91" s="293">
        <f>VLOOKUP($B91,'3、工程合同'!$D:$AL,33,0)</f>
        <v>0</v>
      </c>
      <c r="AI91" s="312">
        <f>VLOOKUP($B91,'3、工程合同'!$D:$AL,34,0)</f>
        <v>0</v>
      </c>
      <c r="AJ91" s="309">
        <f t="shared" ref="AJ91:AJ118" si="24">N91+Q91+T91+W91+Z91+AC91+AF91+AI91</f>
        <v>400000</v>
      </c>
      <c r="AK91" s="289">
        <f t="shared" ref="AK91:AK118" si="25">G91-AJ91</f>
        <v>2000000</v>
      </c>
      <c r="AL91" s="310">
        <f t="shared" ref="AL91:AL118" si="26">AJ91/G91</f>
        <v>0.166666666666667</v>
      </c>
      <c r="AM91" s="289">
        <f t="shared" ref="AM91:AM118" si="27">M91+P91+S91+V91+Y91+AB91+AE91+AH91</f>
        <v>2400000</v>
      </c>
      <c r="AN91" s="311" t="str">
        <f t="shared" ref="AN91:AN118" si="28">IF(AM91-G91=0,"数据正确","数据错误")</f>
        <v>数据正确</v>
      </c>
    </row>
    <row r="92" s="228" customFormat="1" customHeight="1" spans="1:40">
      <c r="A92" s="228" t="str">
        <f t="shared" si="18"/>
        <v>已完毕</v>
      </c>
      <c r="B92" s="261">
        <v>87</v>
      </c>
      <c r="C92" s="266" t="str">
        <f>VLOOKUP($B92,'3、工程合同'!$D:$AL,2,0)</f>
        <v>YRKJGC-150001</v>
      </c>
      <c r="D92" s="267" t="str">
        <f>VLOOKUP($B92,'3、工程合同'!$D:$AL,3,0)</f>
        <v>工程合同</v>
      </c>
      <c r="E92" s="267" t="str">
        <f>VLOOKUP($B92,'3、工程合同'!$D:$AL,4,0)</f>
        <v>-</v>
      </c>
      <c r="F92" s="268">
        <f>VLOOKUP($B92,'3、工程合同'!$D:$AL,5,0)</f>
        <v>42073</v>
      </c>
      <c r="G92" s="269">
        <f>VLOOKUP($B92,'3、工程合同'!$D:$AL,6,0)</f>
        <v>55683141</v>
      </c>
      <c r="H92" s="269" t="str">
        <f>VLOOKUP($B92,'3、工程合同'!$D:$AL,7,0)</f>
        <v>软地基处理工程施工-软土区（155539.5米*358元/米）</v>
      </c>
      <c r="I92" s="269" t="str">
        <f>VLOOKUP($B92,'3、工程合同'!$D:$AL,8,0)</f>
        <v>福建省东辰建设工程集团有限公司</v>
      </c>
      <c r="J92" s="290" t="str">
        <f>VLOOKUP($B92,'3、工程合同'!$D:$AL,9,0)</f>
        <v>软基</v>
      </c>
      <c r="K92" s="291" t="str">
        <f>VLOOKUP($B92,'3、工程合同'!$D:$AL,10,0)</f>
        <v>承兑/转账</v>
      </c>
      <c r="L92" s="292" t="str">
        <f>VLOOKUP($B92,'3、工程合同'!$D:$AL,11,0)</f>
        <v>按每月实际进度结算并支付工程进度款的90%</v>
      </c>
      <c r="M92" s="293">
        <f>VLOOKUP($B92,'3、工程合同'!$D:$AL,12,0)</f>
        <v>50114826.9</v>
      </c>
      <c r="N92" s="293">
        <f>VLOOKUP($B92,'3、工程合同'!$D:$AL,13,0)</f>
        <v>55683141</v>
      </c>
      <c r="O92" s="290" t="str">
        <f>VLOOKUP($B92,'3、工程合同'!$D:$AL,14,0)</f>
        <v>工程竣工验收合格后支付尾款</v>
      </c>
      <c r="P92" s="293">
        <f>VLOOKUP($B92,'3、工程合同'!$D:$AL,15,0)</f>
        <v>5568314.1</v>
      </c>
      <c r="Q92" s="293">
        <f>VLOOKUP($B92,'3、工程合同'!$D:$AL,16,0)</f>
        <v>0</v>
      </c>
      <c r="R92" s="290">
        <f>VLOOKUP($B92,'3、工程合同'!$D:$AL,17,0)</f>
        <v>0</v>
      </c>
      <c r="S92" s="293">
        <f>VLOOKUP($B92,'3、工程合同'!$D:$AL,18,0)</f>
        <v>0</v>
      </c>
      <c r="T92" s="293">
        <f>VLOOKUP($B92,'3、工程合同'!$D:$AL,19,0)</f>
        <v>0</v>
      </c>
      <c r="U92" s="290">
        <f>VLOOKUP($B92,'3、工程合同'!$D:$AL,20,0)</f>
        <v>0</v>
      </c>
      <c r="V92" s="293">
        <f>VLOOKUP($B92,'3、工程合同'!$D:$AL,21,0)</f>
        <v>0</v>
      </c>
      <c r="W92" s="293">
        <f>VLOOKUP($B92,'3、工程合同'!$D:$AL,22,0)</f>
        <v>0</v>
      </c>
      <c r="X92" s="290">
        <f>VLOOKUP($B92,'3、工程合同'!$D:$AL,23,0)</f>
        <v>0</v>
      </c>
      <c r="Y92" s="293">
        <f>VLOOKUP($B92,'3、工程合同'!$D:$AL,24,0)</f>
        <v>0</v>
      </c>
      <c r="Z92" s="293">
        <f>VLOOKUP($B92,'3、工程合同'!$D:$AL,25,0)</f>
        <v>0</v>
      </c>
      <c r="AA92" s="290">
        <f>VLOOKUP($B92,'3、工程合同'!$D:$AL,26,0)</f>
        <v>0</v>
      </c>
      <c r="AB92" s="293">
        <f>VLOOKUP($B92,'3、工程合同'!$D:$AL,27,0)</f>
        <v>0</v>
      </c>
      <c r="AC92" s="293">
        <f>VLOOKUP($B92,'3、工程合同'!$D:$AL,28,0)</f>
        <v>0</v>
      </c>
      <c r="AD92" s="290">
        <f>VLOOKUP($B92,'3、工程合同'!$D:$AL,29,0)</f>
        <v>0</v>
      </c>
      <c r="AE92" s="293">
        <f>VLOOKUP($B92,'3、工程合同'!$D:$AL,30,0)</f>
        <v>0</v>
      </c>
      <c r="AF92" s="293">
        <f>VLOOKUP($B92,'3、工程合同'!$D:$AL,31,0)</f>
        <v>0</v>
      </c>
      <c r="AG92" s="293">
        <f>VLOOKUP($B92,'3、工程合同'!$D:$AL,32,0)</f>
        <v>0</v>
      </c>
      <c r="AH92" s="293">
        <f>VLOOKUP($B92,'3、工程合同'!$D:$AL,33,0)</f>
        <v>0</v>
      </c>
      <c r="AI92" s="312">
        <f>VLOOKUP($B92,'3、工程合同'!$D:$AL,34,0)</f>
        <v>0</v>
      </c>
      <c r="AJ92" s="309">
        <f t="shared" si="24"/>
        <v>55683141</v>
      </c>
      <c r="AK92" s="289">
        <f t="shared" si="25"/>
        <v>0</v>
      </c>
      <c r="AL92" s="310">
        <f t="shared" si="26"/>
        <v>1</v>
      </c>
      <c r="AM92" s="289">
        <f t="shared" si="27"/>
        <v>55683141</v>
      </c>
      <c r="AN92" s="311" t="str">
        <f t="shared" si="28"/>
        <v>数据正确</v>
      </c>
    </row>
    <row r="93" s="228" customFormat="1" customHeight="1" spans="1:40">
      <c r="A93" s="228" t="str">
        <f t="shared" si="18"/>
        <v>已完毕</v>
      </c>
      <c r="B93" s="256">
        <v>88</v>
      </c>
      <c r="C93" s="266" t="str">
        <f>VLOOKUP($B93,'3、工程合同'!$D:$AL,2,0)</f>
        <v>YRKJGC-160002</v>
      </c>
      <c r="D93" s="267" t="str">
        <f>VLOOKUP($B93,'3、工程合同'!$D:$AL,3,0)</f>
        <v>工程合同</v>
      </c>
      <c r="E93" s="267" t="str">
        <f>VLOOKUP($B93,'3、工程合同'!$D:$AL,4,0)</f>
        <v>-</v>
      </c>
      <c r="F93" s="268">
        <f>VLOOKUP($B93,'3、工程合同'!$D:$AL,5,0)</f>
        <v>42302</v>
      </c>
      <c r="G93" s="269">
        <f>VLOOKUP($B93,'3、工程合同'!$D:$AL,6,0)</f>
        <v>65880000</v>
      </c>
      <c r="H93" s="269" t="str">
        <f>VLOOKUP($B93,'3、工程合同'!$D:$AL,7,0)</f>
        <v>厂区道路路基处理工程（488元/M2*135000M2）</v>
      </c>
      <c r="I93" s="269" t="str">
        <f>VLOOKUP($B93,'3、工程合同'!$D:$AL,8,0)</f>
        <v>湖南省湘天建设工程有限公司</v>
      </c>
      <c r="J93" s="290">
        <f>VLOOKUP($B93,'3、工程合同'!$D:$AL,9,0)</f>
        <v>0</v>
      </c>
      <c r="K93" s="291" t="str">
        <f>VLOOKUP($B93,'3、工程合同'!$D:$AL,10,0)</f>
        <v>承兑/转账</v>
      </c>
      <c r="L93" s="292" t="str">
        <f>VLOOKUP($B93,'3、工程合同'!$D:$AL,11,0)</f>
        <v>按每月实际进度结算并支付工程进度款的90%</v>
      </c>
      <c r="M93" s="293">
        <f>VLOOKUP($B93,'3、工程合同'!$D:$AL,12,0)</f>
        <v>59292000</v>
      </c>
      <c r="N93" s="293">
        <f>VLOOKUP($B93,'3、工程合同'!$D:$AL,13,0)</f>
        <v>65880000</v>
      </c>
      <c r="O93" s="290" t="str">
        <f>VLOOKUP($B93,'3、工程合同'!$D:$AL,14,0)</f>
        <v>工程竣工验收合格后支付尾款</v>
      </c>
      <c r="P93" s="293">
        <f>VLOOKUP($B93,'3、工程合同'!$D:$AL,15,0)</f>
        <v>6588000</v>
      </c>
      <c r="Q93" s="293">
        <f>VLOOKUP($B93,'3、工程合同'!$D:$AL,16,0)</f>
        <v>0</v>
      </c>
      <c r="R93" s="290">
        <f>VLOOKUP($B93,'3、工程合同'!$D:$AL,17,0)</f>
        <v>0</v>
      </c>
      <c r="S93" s="293">
        <f>VLOOKUP($B93,'3、工程合同'!$D:$AL,18,0)</f>
        <v>0</v>
      </c>
      <c r="T93" s="293">
        <f>VLOOKUP($B93,'3、工程合同'!$D:$AL,19,0)</f>
        <v>0</v>
      </c>
      <c r="U93" s="290">
        <f>VLOOKUP($B93,'3、工程合同'!$D:$AL,20,0)</f>
        <v>0</v>
      </c>
      <c r="V93" s="293">
        <f>VLOOKUP($B93,'3、工程合同'!$D:$AL,21,0)</f>
        <v>0</v>
      </c>
      <c r="W93" s="293">
        <f>VLOOKUP($B93,'3、工程合同'!$D:$AL,22,0)</f>
        <v>0</v>
      </c>
      <c r="X93" s="290">
        <f>VLOOKUP($B93,'3、工程合同'!$D:$AL,23,0)</f>
        <v>0</v>
      </c>
      <c r="Y93" s="293">
        <f>VLOOKUP($B93,'3、工程合同'!$D:$AL,24,0)</f>
        <v>0</v>
      </c>
      <c r="Z93" s="293">
        <f>VLOOKUP($B93,'3、工程合同'!$D:$AL,25,0)</f>
        <v>0</v>
      </c>
      <c r="AA93" s="290">
        <f>VLOOKUP($B93,'3、工程合同'!$D:$AL,26,0)</f>
        <v>0</v>
      </c>
      <c r="AB93" s="293">
        <f>VLOOKUP($B93,'3、工程合同'!$D:$AL,27,0)</f>
        <v>0</v>
      </c>
      <c r="AC93" s="293">
        <f>VLOOKUP($B93,'3、工程合同'!$D:$AL,28,0)</f>
        <v>0</v>
      </c>
      <c r="AD93" s="290">
        <f>VLOOKUP($B93,'3、工程合同'!$D:$AL,29,0)</f>
        <v>0</v>
      </c>
      <c r="AE93" s="293">
        <f>VLOOKUP($B93,'3、工程合同'!$D:$AL,30,0)</f>
        <v>0</v>
      </c>
      <c r="AF93" s="293">
        <f>VLOOKUP($B93,'3、工程合同'!$D:$AL,31,0)</f>
        <v>0</v>
      </c>
      <c r="AG93" s="293">
        <f>VLOOKUP($B93,'3、工程合同'!$D:$AL,32,0)</f>
        <v>0</v>
      </c>
      <c r="AH93" s="293">
        <f>VLOOKUP($B93,'3、工程合同'!$D:$AL,33,0)</f>
        <v>0</v>
      </c>
      <c r="AI93" s="312">
        <f>VLOOKUP($B93,'3、工程合同'!$D:$AL,34,0)</f>
        <v>0</v>
      </c>
      <c r="AJ93" s="309">
        <f t="shared" si="24"/>
        <v>65880000</v>
      </c>
      <c r="AK93" s="289">
        <f t="shared" si="25"/>
        <v>0</v>
      </c>
      <c r="AL93" s="310">
        <f t="shared" si="26"/>
        <v>1</v>
      </c>
      <c r="AM93" s="289">
        <f t="shared" si="27"/>
        <v>65880000</v>
      </c>
      <c r="AN93" s="311" t="str">
        <f t="shared" si="28"/>
        <v>数据正确</v>
      </c>
    </row>
    <row r="94" s="228" customFormat="1" customHeight="1" spans="1:40">
      <c r="A94" s="228" t="str">
        <f t="shared" si="18"/>
        <v/>
      </c>
      <c r="B94" s="261">
        <v>89</v>
      </c>
      <c r="C94" s="266" t="str">
        <f>VLOOKUP($B94,'3、工程合同'!$D:$AL,2,0)</f>
        <v>YRKJGC-150002</v>
      </c>
      <c r="D94" s="267" t="str">
        <f>VLOOKUP($B94,'3、工程合同'!$D:$AL,3,0)</f>
        <v>工程合同</v>
      </c>
      <c r="E94" s="267" t="str">
        <f>VLOOKUP($B94,'3、工程合同'!$D:$AL,4,0)</f>
        <v>-</v>
      </c>
      <c r="F94" s="268">
        <f>VLOOKUP($B94,'3、工程合同'!$D:$AL,5,0)</f>
        <v>42397</v>
      </c>
      <c r="G94" s="269">
        <f>VLOOKUP($B94,'3、工程合同'!$D:$AL,6,0)</f>
        <v>10836000</v>
      </c>
      <c r="H94" s="269" t="str">
        <f>VLOOKUP($B94,'3、工程合同'!$D:$AL,7,0)</f>
        <v>软基处理A标段A地块回填工程</v>
      </c>
      <c r="I94" s="269" t="str">
        <f>VLOOKUP($B94,'3、工程合同'!$D:$AL,8,0)</f>
        <v>莆田市兴发工程有限公司</v>
      </c>
      <c r="J94" s="290">
        <f>VLOOKUP($B94,'3、工程合同'!$D:$AL,9,0)</f>
        <v>0</v>
      </c>
      <c r="K94" s="291" t="str">
        <f>VLOOKUP($B94,'3、工程合同'!$D:$AL,10,0)</f>
        <v>承兑/转账</v>
      </c>
      <c r="L94" s="292" t="str">
        <f>VLOOKUP($B94,'3、工程合同'!$D:$AL,11,0)</f>
        <v>按每月实际进度结算并支付工程进度款的80%。乙方10万元投标保证金转履约保证金</v>
      </c>
      <c r="M94" s="293">
        <f>VLOOKUP($B94,'3、工程合同'!$D:$AL,12,0)</f>
        <v>8668800</v>
      </c>
      <c r="N94" s="293">
        <f>VLOOKUP($B94,'3、工程合同'!$D:$AL,13,0)</f>
        <v>8638000</v>
      </c>
      <c r="O94" s="290" t="str">
        <f>VLOOKUP($B94,'3、工程合同'!$D:$AL,14,0)</f>
        <v>实际工程测量结束后，送审计复核后支付至95%</v>
      </c>
      <c r="P94" s="293">
        <f>VLOOKUP($B94,'3、工程合同'!$D:$AL,15,0)</f>
        <v>1625400</v>
      </c>
      <c r="Q94" s="293">
        <f>VLOOKUP($B94,'3、工程合同'!$D:$AL,16,0)</f>
        <v>2081600</v>
      </c>
      <c r="R94" s="290" t="str">
        <f>VLOOKUP($B94,'3、工程合同'!$D:$AL,17,0)</f>
        <v>6个月后在30天内支付剩余的5%</v>
      </c>
      <c r="S94" s="293">
        <f>VLOOKUP($B94,'3、工程合同'!$D:$AL,18,0)</f>
        <v>541800</v>
      </c>
      <c r="T94" s="293">
        <f>VLOOKUP($B94,'3、工程合同'!$D:$AL,19,0)</f>
        <v>0</v>
      </c>
      <c r="U94" s="290">
        <f>VLOOKUP($B94,'3、工程合同'!$D:$AL,20,0)</f>
        <v>0</v>
      </c>
      <c r="V94" s="293">
        <f>VLOOKUP($B94,'3、工程合同'!$D:$AL,21,0)</f>
        <v>0</v>
      </c>
      <c r="W94" s="293">
        <f>VLOOKUP($B94,'3、工程合同'!$D:$AL,22,0)</f>
        <v>0</v>
      </c>
      <c r="X94" s="290">
        <f>VLOOKUP($B94,'3、工程合同'!$D:$AL,23,0)</f>
        <v>0</v>
      </c>
      <c r="Y94" s="293">
        <f>VLOOKUP($B94,'3、工程合同'!$D:$AL,24,0)</f>
        <v>0</v>
      </c>
      <c r="Z94" s="293">
        <f>VLOOKUP($B94,'3、工程合同'!$D:$AL,25,0)</f>
        <v>0</v>
      </c>
      <c r="AA94" s="290">
        <f>VLOOKUP($B94,'3、工程合同'!$D:$AL,26,0)</f>
        <v>0</v>
      </c>
      <c r="AB94" s="293">
        <f>VLOOKUP($B94,'3、工程合同'!$D:$AL,27,0)</f>
        <v>0</v>
      </c>
      <c r="AC94" s="293">
        <f>VLOOKUP($B94,'3、工程合同'!$D:$AL,28,0)</f>
        <v>0</v>
      </c>
      <c r="AD94" s="290">
        <f>VLOOKUP($B94,'3、工程合同'!$D:$AL,29,0)</f>
        <v>0</v>
      </c>
      <c r="AE94" s="293">
        <f>VLOOKUP($B94,'3、工程合同'!$D:$AL,30,0)</f>
        <v>0</v>
      </c>
      <c r="AF94" s="293">
        <f>VLOOKUP($B94,'3、工程合同'!$D:$AL,31,0)</f>
        <v>0</v>
      </c>
      <c r="AG94" s="293">
        <f>VLOOKUP($B94,'3、工程合同'!$D:$AL,32,0)</f>
        <v>0</v>
      </c>
      <c r="AH94" s="293">
        <f>VLOOKUP($B94,'3、工程合同'!$D:$AL,33,0)</f>
        <v>0</v>
      </c>
      <c r="AI94" s="312">
        <f>VLOOKUP($B94,'3、工程合同'!$D:$AL,34,0)</f>
        <v>0</v>
      </c>
      <c r="AJ94" s="309">
        <f t="shared" si="24"/>
        <v>10719600</v>
      </c>
      <c r="AK94" s="289">
        <f t="shared" si="25"/>
        <v>116400</v>
      </c>
      <c r="AL94" s="310">
        <f t="shared" si="26"/>
        <v>0.989258028792912</v>
      </c>
      <c r="AM94" s="289">
        <f t="shared" si="27"/>
        <v>10836000</v>
      </c>
      <c r="AN94" s="311" t="str">
        <f t="shared" si="28"/>
        <v>数据正确</v>
      </c>
    </row>
    <row r="95" s="228" customFormat="1" customHeight="1" spans="1:40">
      <c r="A95" s="228" t="str">
        <f t="shared" si="18"/>
        <v/>
      </c>
      <c r="B95" s="261">
        <v>90</v>
      </c>
      <c r="C95" s="266" t="str">
        <f>VLOOKUP($B95,'3、工程合同'!$D:$AL,2,0)</f>
        <v>YRKJGC-150003</v>
      </c>
      <c r="D95" s="267" t="str">
        <f>VLOOKUP($B95,'3、工程合同'!$D:$AL,3,0)</f>
        <v>工程合同</v>
      </c>
      <c r="E95" s="267" t="str">
        <f>VLOOKUP($B95,'3、工程合同'!$D:$AL,4,0)</f>
        <v>-</v>
      </c>
      <c r="F95" s="268">
        <f>VLOOKUP($B95,'3、工程合同'!$D:$AL,5,0)</f>
        <v>42369</v>
      </c>
      <c r="G95" s="269">
        <f>VLOOKUP($B95,'3、工程合同'!$D:$AL,6,0)</f>
        <v>367979</v>
      </c>
      <c r="H95" s="269" t="str">
        <f>VLOOKUP($B95,'3、工程合同'!$D:$AL,7,0)</f>
        <v>水泥空心砖（2.05元/块），水泥标砖（0.28元/块）</v>
      </c>
      <c r="I95" s="269" t="str">
        <f>VLOOKUP($B95,'3、工程合同'!$D:$AL,8,0)</f>
        <v>莆田市秀屿区东庄荔锦水泥制砖场</v>
      </c>
      <c r="J95" s="290">
        <f>VLOOKUP($B95,'3、工程合同'!$D:$AL,9,0)</f>
        <v>0</v>
      </c>
      <c r="K95" s="291" t="str">
        <f>VLOOKUP($B95,'3、工程合同'!$D:$AL,10,0)</f>
        <v>承兑</v>
      </c>
      <c r="L95" s="292" t="str">
        <f>VLOOKUP($B95,'3、工程合同'!$D:$AL,11,0)</f>
        <v>每月5日之前支付上个月货款进行结算，提供3%的增值税发票</v>
      </c>
      <c r="M95" s="293">
        <f>VLOOKUP($B95,'3、工程合同'!$D:$AL,12,0)</f>
        <v>367979</v>
      </c>
      <c r="N95" s="293">
        <f>VLOOKUP($B95,'3、工程合同'!$D:$AL,13,0)</f>
        <v>258381.95</v>
      </c>
      <c r="O95" s="290">
        <f>VLOOKUP($B95,'3、工程合同'!$D:$AL,14,0)</f>
        <v>0</v>
      </c>
      <c r="P95" s="293">
        <f>VLOOKUP($B95,'3、工程合同'!$D:$AL,15,0)</f>
        <v>0</v>
      </c>
      <c r="Q95" s="293">
        <f>VLOOKUP($B95,'3、工程合同'!$D:$AL,16,0)</f>
        <v>0</v>
      </c>
      <c r="R95" s="290">
        <f>VLOOKUP($B95,'3、工程合同'!$D:$AL,17,0)</f>
        <v>0</v>
      </c>
      <c r="S95" s="293">
        <f>VLOOKUP($B95,'3、工程合同'!$D:$AL,18,0)</f>
        <v>0</v>
      </c>
      <c r="T95" s="293">
        <f>VLOOKUP($B95,'3、工程合同'!$D:$AL,19,0)</f>
        <v>0</v>
      </c>
      <c r="U95" s="290">
        <f>VLOOKUP($B95,'3、工程合同'!$D:$AL,20,0)</f>
        <v>0</v>
      </c>
      <c r="V95" s="293">
        <f>VLOOKUP($B95,'3、工程合同'!$D:$AL,21,0)</f>
        <v>0</v>
      </c>
      <c r="W95" s="293">
        <f>VLOOKUP($B95,'3、工程合同'!$D:$AL,22,0)</f>
        <v>0</v>
      </c>
      <c r="X95" s="290">
        <f>VLOOKUP($B95,'3、工程合同'!$D:$AL,23,0)</f>
        <v>0</v>
      </c>
      <c r="Y95" s="293">
        <f>VLOOKUP($B95,'3、工程合同'!$D:$AL,24,0)</f>
        <v>0</v>
      </c>
      <c r="Z95" s="293">
        <f>VLOOKUP($B95,'3、工程合同'!$D:$AL,25,0)</f>
        <v>0</v>
      </c>
      <c r="AA95" s="290">
        <f>VLOOKUP($B95,'3、工程合同'!$D:$AL,26,0)</f>
        <v>0</v>
      </c>
      <c r="AB95" s="293">
        <f>VLOOKUP($B95,'3、工程合同'!$D:$AL,27,0)</f>
        <v>0</v>
      </c>
      <c r="AC95" s="293">
        <f>VLOOKUP($B95,'3、工程合同'!$D:$AL,28,0)</f>
        <v>0</v>
      </c>
      <c r="AD95" s="290">
        <f>VLOOKUP($B95,'3、工程合同'!$D:$AL,29,0)</f>
        <v>0</v>
      </c>
      <c r="AE95" s="293">
        <f>VLOOKUP($B95,'3、工程合同'!$D:$AL,30,0)</f>
        <v>0</v>
      </c>
      <c r="AF95" s="293">
        <f>VLOOKUP($B95,'3、工程合同'!$D:$AL,31,0)</f>
        <v>0</v>
      </c>
      <c r="AG95" s="293">
        <f>VLOOKUP($B95,'3、工程合同'!$D:$AL,32,0)</f>
        <v>0</v>
      </c>
      <c r="AH95" s="293">
        <f>VLOOKUP($B95,'3、工程合同'!$D:$AL,33,0)</f>
        <v>0</v>
      </c>
      <c r="AI95" s="312">
        <f>VLOOKUP($B95,'3、工程合同'!$D:$AL,34,0)</f>
        <v>0</v>
      </c>
      <c r="AJ95" s="309">
        <f t="shared" si="24"/>
        <v>258381.95</v>
      </c>
      <c r="AK95" s="289">
        <f t="shared" si="25"/>
        <v>109597.05</v>
      </c>
      <c r="AL95" s="310">
        <f t="shared" si="26"/>
        <v>0.702164933325</v>
      </c>
      <c r="AM95" s="289">
        <f t="shared" si="27"/>
        <v>367979</v>
      </c>
      <c r="AN95" s="311" t="str">
        <f t="shared" si="28"/>
        <v>数据正确</v>
      </c>
    </row>
    <row r="96" s="228" customFormat="1" customHeight="1" spans="1:40">
      <c r="A96" s="228" t="str">
        <f t="shared" si="18"/>
        <v/>
      </c>
      <c r="B96" s="256">
        <v>91</v>
      </c>
      <c r="C96" s="266" t="str">
        <f>VLOOKUP($B96,'3、工程合同'!$D:$AL,2,0)</f>
        <v>YRKJGC-150003</v>
      </c>
      <c r="D96" s="267" t="str">
        <f>VLOOKUP($B96,'3、工程合同'!$D:$AL,3,0)</f>
        <v>工程合同</v>
      </c>
      <c r="E96" s="267" t="str">
        <f>VLOOKUP($B96,'3、工程合同'!$D:$AL,4,0)</f>
        <v>-</v>
      </c>
      <c r="F96" s="268">
        <f>VLOOKUP($B96,'3、工程合同'!$D:$AL,5,0)</f>
        <v>42073</v>
      </c>
      <c r="G96" s="269">
        <f>VLOOKUP($B96,'3、工程合同'!$D:$AL,6,0)</f>
        <v>54425</v>
      </c>
      <c r="H96" s="269" t="str">
        <f>VLOOKUP($B96,'3、工程合同'!$D:$AL,7,0)</f>
        <v>厂区测绘工程（地形、自然地面标高、标准坐标点等数据测量）</v>
      </c>
      <c r="I96" s="269" t="str">
        <f>VLOOKUP($B96,'3、工程合同'!$D:$AL,8,0)</f>
        <v>福建地智信息技术有限公司</v>
      </c>
      <c r="J96" s="290">
        <f>VLOOKUP($B96,'3、工程合同'!$D:$AL,9,0)</f>
        <v>0</v>
      </c>
      <c r="K96" s="291" t="str">
        <f>VLOOKUP($B96,'3、工程合同'!$D:$AL,10,0)</f>
        <v>无标明</v>
      </c>
      <c r="L96" s="292" t="str">
        <f>VLOOKUP($B96,'3、工程合同'!$D:$AL,11,0)</f>
        <v>按月按进度每月25日向甲方报当月的实际完成工程量，支付工程款的80%</v>
      </c>
      <c r="M96" s="293">
        <f>VLOOKUP($B96,'3、工程合同'!$D:$AL,12,0)</f>
        <v>43540</v>
      </c>
      <c r="N96" s="293">
        <f>VLOOKUP($B96,'3、工程合同'!$D:$AL,13,0)</f>
        <v>32000</v>
      </c>
      <c r="O96" s="290" t="str">
        <f>VLOOKUP($B96,'3、工程合同'!$D:$AL,14,0)</f>
        <v>经甲方验收通过且所有资料与甲方交接完毕后支付至90%</v>
      </c>
      <c r="P96" s="293">
        <f>VLOOKUP($B96,'3、工程合同'!$D:$AL,15,0)</f>
        <v>5442.5</v>
      </c>
      <c r="Q96" s="293">
        <f>VLOOKUP($B96,'3、工程合同'!$D:$AL,16,0)</f>
        <v>49000</v>
      </c>
      <c r="R96" s="290" t="str">
        <f>VLOOKUP($B96,'3、工程合同'!$D:$AL,17,0)</f>
        <v>乙方提交结算书和竣工图纸，经甲方审核后办理交接手续后10个工作日内，付清</v>
      </c>
      <c r="S96" s="293">
        <f>VLOOKUP($B96,'3、工程合同'!$D:$AL,18,0)</f>
        <v>5442.5</v>
      </c>
      <c r="T96" s="293">
        <f>VLOOKUP($B96,'3、工程合同'!$D:$AL,19,0)</f>
        <v>0</v>
      </c>
      <c r="U96" s="290">
        <f>VLOOKUP($B96,'3、工程合同'!$D:$AL,20,0)</f>
        <v>0</v>
      </c>
      <c r="V96" s="293">
        <f>VLOOKUP($B96,'3、工程合同'!$D:$AL,21,0)</f>
        <v>0</v>
      </c>
      <c r="W96" s="293">
        <f>VLOOKUP($B96,'3、工程合同'!$D:$AL,22,0)</f>
        <v>0</v>
      </c>
      <c r="X96" s="290">
        <f>VLOOKUP($B96,'3、工程合同'!$D:$AL,23,0)</f>
        <v>0</v>
      </c>
      <c r="Y96" s="293">
        <f>VLOOKUP($B96,'3、工程合同'!$D:$AL,24,0)</f>
        <v>0</v>
      </c>
      <c r="Z96" s="293">
        <f>VLOOKUP($B96,'3、工程合同'!$D:$AL,25,0)</f>
        <v>0</v>
      </c>
      <c r="AA96" s="290">
        <f>VLOOKUP($B96,'3、工程合同'!$D:$AL,26,0)</f>
        <v>0</v>
      </c>
      <c r="AB96" s="293">
        <f>VLOOKUP($B96,'3、工程合同'!$D:$AL,27,0)</f>
        <v>0</v>
      </c>
      <c r="AC96" s="293">
        <f>VLOOKUP($B96,'3、工程合同'!$D:$AL,28,0)</f>
        <v>0</v>
      </c>
      <c r="AD96" s="290">
        <f>VLOOKUP($B96,'3、工程合同'!$D:$AL,29,0)</f>
        <v>0</v>
      </c>
      <c r="AE96" s="293">
        <f>VLOOKUP($B96,'3、工程合同'!$D:$AL,30,0)</f>
        <v>0</v>
      </c>
      <c r="AF96" s="293">
        <f>VLOOKUP($B96,'3、工程合同'!$D:$AL,31,0)</f>
        <v>0</v>
      </c>
      <c r="AG96" s="293">
        <f>VLOOKUP($B96,'3、工程合同'!$D:$AL,32,0)</f>
        <v>0</v>
      </c>
      <c r="AH96" s="293">
        <f>VLOOKUP($B96,'3、工程合同'!$D:$AL,33,0)</f>
        <v>0</v>
      </c>
      <c r="AI96" s="312">
        <f>VLOOKUP($B96,'3、工程合同'!$D:$AL,34,0)</f>
        <v>0</v>
      </c>
      <c r="AJ96" s="309">
        <f t="shared" si="24"/>
        <v>81000</v>
      </c>
      <c r="AK96" s="289">
        <f t="shared" si="25"/>
        <v>-26575</v>
      </c>
      <c r="AL96" s="310">
        <f t="shared" si="26"/>
        <v>1.48828663298117</v>
      </c>
      <c r="AM96" s="289">
        <f t="shared" si="27"/>
        <v>54425</v>
      </c>
      <c r="AN96" s="311" t="str">
        <f t="shared" si="28"/>
        <v>数据正确</v>
      </c>
    </row>
    <row r="97" s="228" customFormat="1" customHeight="1" spans="1:40">
      <c r="A97" s="228" t="str">
        <f t="shared" si="18"/>
        <v>已完毕</v>
      </c>
      <c r="B97" s="261">
        <v>92</v>
      </c>
      <c r="C97" s="266" t="str">
        <f>VLOOKUP($B97,'3、工程合同'!$D:$AL,2,0)</f>
        <v>YRKJGC-150004</v>
      </c>
      <c r="D97" s="267" t="str">
        <f>VLOOKUP($B97,'3、工程合同'!$D:$AL,3,0)</f>
        <v>工程合同</v>
      </c>
      <c r="E97" s="267" t="str">
        <f>VLOOKUP($B97,'3、工程合同'!$D:$AL,4,0)</f>
        <v>-</v>
      </c>
      <c r="F97" s="268">
        <f>VLOOKUP($B97,'3、工程合同'!$D:$AL,5,0)</f>
        <v>42076</v>
      </c>
      <c r="G97" s="269">
        <f>VLOOKUP($B97,'3、工程合同'!$D:$AL,6,0)</f>
        <v>154000</v>
      </c>
      <c r="H97" s="269" t="str">
        <f>VLOOKUP($B97,'3、工程合同'!$D:$AL,7,0)</f>
        <v>CPL建设工程监理及补充协议（金额不定）</v>
      </c>
      <c r="I97" s="269" t="str">
        <f>VLOOKUP($B97,'3、工程合同'!$D:$AL,8,0)</f>
        <v>四川亿博工程项目管理有限公司</v>
      </c>
      <c r="J97" s="290">
        <f>VLOOKUP($B97,'3、工程合同'!$D:$AL,9,0)</f>
        <v>0</v>
      </c>
      <c r="K97" s="291" t="str">
        <f>VLOOKUP($B97,'3、工程合同'!$D:$AL,10,0)</f>
        <v>电汇</v>
      </c>
      <c r="L97" s="292" t="str">
        <f>VLOOKUP($B97,'3、工程合同'!$D:$AL,11,0)</f>
        <v>监理人在合同约定每次付款前7日向委托人申请支付申请书</v>
      </c>
      <c r="M97" s="293">
        <f>VLOOKUP($B97,'3、工程合同'!$D:$AL,12,0)</f>
        <v>154000</v>
      </c>
      <c r="N97" s="293">
        <f>VLOOKUP($B97,'3、工程合同'!$D:$AL,13,0)</f>
        <v>154000</v>
      </c>
      <c r="O97" s="290">
        <f>VLOOKUP($B97,'3、工程合同'!$D:$AL,14,0)</f>
        <v>0</v>
      </c>
      <c r="P97" s="293">
        <f>VLOOKUP($B97,'3、工程合同'!$D:$AL,15,0)</f>
        <v>0</v>
      </c>
      <c r="Q97" s="293">
        <f>VLOOKUP($B97,'3、工程合同'!$D:$AL,16,0)</f>
        <v>0</v>
      </c>
      <c r="R97" s="290">
        <f>VLOOKUP($B97,'3、工程合同'!$D:$AL,17,0)</f>
        <v>0</v>
      </c>
      <c r="S97" s="293">
        <f>VLOOKUP($B97,'3、工程合同'!$D:$AL,18,0)</f>
        <v>0</v>
      </c>
      <c r="T97" s="293">
        <f>VLOOKUP($B97,'3、工程合同'!$D:$AL,19,0)</f>
        <v>0</v>
      </c>
      <c r="U97" s="290">
        <f>VLOOKUP($B97,'3、工程合同'!$D:$AL,20,0)</f>
        <v>0</v>
      </c>
      <c r="V97" s="293">
        <f>VLOOKUP($B97,'3、工程合同'!$D:$AL,21,0)</f>
        <v>0</v>
      </c>
      <c r="W97" s="293">
        <f>VLOOKUP($B97,'3、工程合同'!$D:$AL,22,0)</f>
        <v>0</v>
      </c>
      <c r="X97" s="290">
        <f>VLOOKUP($B97,'3、工程合同'!$D:$AL,23,0)</f>
        <v>0</v>
      </c>
      <c r="Y97" s="293">
        <f>VLOOKUP($B97,'3、工程合同'!$D:$AL,24,0)</f>
        <v>0</v>
      </c>
      <c r="Z97" s="293">
        <f>VLOOKUP($B97,'3、工程合同'!$D:$AL,25,0)</f>
        <v>0</v>
      </c>
      <c r="AA97" s="290">
        <f>VLOOKUP($B97,'3、工程合同'!$D:$AL,26,0)</f>
        <v>0</v>
      </c>
      <c r="AB97" s="293">
        <f>VLOOKUP($B97,'3、工程合同'!$D:$AL,27,0)</f>
        <v>0</v>
      </c>
      <c r="AC97" s="293">
        <f>VLOOKUP($B97,'3、工程合同'!$D:$AL,28,0)</f>
        <v>0</v>
      </c>
      <c r="AD97" s="290">
        <f>VLOOKUP($B97,'3、工程合同'!$D:$AL,29,0)</f>
        <v>0</v>
      </c>
      <c r="AE97" s="293">
        <f>VLOOKUP($B97,'3、工程合同'!$D:$AL,30,0)</f>
        <v>0</v>
      </c>
      <c r="AF97" s="293">
        <f>VLOOKUP($B97,'3、工程合同'!$D:$AL,31,0)</f>
        <v>0</v>
      </c>
      <c r="AG97" s="293">
        <f>VLOOKUP($B97,'3、工程合同'!$D:$AL,32,0)</f>
        <v>0</v>
      </c>
      <c r="AH97" s="293">
        <f>VLOOKUP($B97,'3、工程合同'!$D:$AL,33,0)</f>
        <v>0</v>
      </c>
      <c r="AI97" s="312">
        <f>VLOOKUP($B97,'3、工程合同'!$D:$AL,34,0)</f>
        <v>0</v>
      </c>
      <c r="AJ97" s="309">
        <f t="shared" si="24"/>
        <v>154000</v>
      </c>
      <c r="AK97" s="289">
        <f t="shared" si="25"/>
        <v>0</v>
      </c>
      <c r="AL97" s="310">
        <f t="shared" si="26"/>
        <v>1</v>
      </c>
      <c r="AM97" s="289">
        <f t="shared" si="27"/>
        <v>154000</v>
      </c>
      <c r="AN97" s="311" t="str">
        <f t="shared" si="28"/>
        <v>数据正确</v>
      </c>
    </row>
    <row r="98" s="228" customFormat="1" customHeight="1" spans="1:40">
      <c r="A98" s="228" t="str">
        <f t="shared" si="18"/>
        <v>已完毕</v>
      </c>
      <c r="B98" s="261">
        <v>93</v>
      </c>
      <c r="C98" s="266" t="str">
        <f>VLOOKUP($B98,'3、工程合同'!$D:$AL,2,0)</f>
        <v>YRKJGC-150007</v>
      </c>
      <c r="D98" s="267" t="str">
        <f>VLOOKUP($B98,'3、工程合同'!$D:$AL,3,0)</f>
        <v>工程合同</v>
      </c>
      <c r="E98" s="267" t="str">
        <f>VLOOKUP($B98,'3、工程合同'!$D:$AL,4,0)</f>
        <v> -</v>
      </c>
      <c r="F98" s="268">
        <f>VLOOKUP($B98,'3、工程合同'!$D:$AL,5,0)</f>
        <v>42109</v>
      </c>
      <c r="G98" s="269">
        <f>VLOOKUP($B98,'3、工程合同'!$D:$AL,6,0)</f>
        <v>140676349.8</v>
      </c>
      <c r="H98" s="269" t="str">
        <f>VLOOKUP($B98,'3、工程合同'!$D:$AL,7,0)</f>
        <v>软地基处理工程施工（软土311941平米*358元/M2，硬土113287平米*256元/M2）</v>
      </c>
      <c r="I98" s="269" t="str">
        <f>VLOOKUP($B98,'3、工程合同'!$D:$AL,8,0)</f>
        <v>江苏地质基桩工程公司</v>
      </c>
      <c r="J98" s="290" t="str">
        <f>VLOOKUP($B98,'3、工程合同'!$D:$AL,9,0)</f>
        <v>软基</v>
      </c>
      <c r="K98" s="291" t="str">
        <f>VLOOKUP($B98,'3、工程合同'!$D:$AL,10,0)</f>
        <v>承兑/转账</v>
      </c>
      <c r="L98" s="292" t="str">
        <f>VLOOKUP($B98,'3、工程合同'!$D:$AL,11,0)</f>
        <v>按月结算，次月支付</v>
      </c>
      <c r="M98" s="293">
        <f>VLOOKUP($B98,'3、工程合同'!$D:$AL,12,0)</f>
        <v>140676349.8</v>
      </c>
      <c r="N98" s="293">
        <f>VLOOKUP($B98,'3、工程合同'!$D:$AL,13,0)</f>
        <v>140676349.8</v>
      </c>
      <c r="O98" s="290">
        <f>VLOOKUP($B98,'3、工程合同'!$D:$AL,14,0)</f>
        <v>0</v>
      </c>
      <c r="P98" s="293">
        <f>VLOOKUP($B98,'3、工程合同'!$D:$AL,15,0)</f>
        <v>0</v>
      </c>
      <c r="Q98" s="293">
        <f>VLOOKUP($B98,'3、工程合同'!$D:$AL,16,0)</f>
        <v>0</v>
      </c>
      <c r="R98" s="290">
        <f>VLOOKUP($B98,'3、工程合同'!$D:$AL,17,0)</f>
        <v>0</v>
      </c>
      <c r="S98" s="293">
        <f>VLOOKUP($B98,'3、工程合同'!$D:$AL,18,0)</f>
        <v>0</v>
      </c>
      <c r="T98" s="293">
        <f>VLOOKUP($B98,'3、工程合同'!$D:$AL,19,0)</f>
        <v>0</v>
      </c>
      <c r="U98" s="290">
        <f>VLOOKUP($B98,'3、工程合同'!$D:$AL,20,0)</f>
        <v>0</v>
      </c>
      <c r="V98" s="293">
        <f>VLOOKUP($B98,'3、工程合同'!$D:$AL,21,0)</f>
        <v>0</v>
      </c>
      <c r="W98" s="293">
        <f>VLOOKUP($B98,'3、工程合同'!$D:$AL,22,0)</f>
        <v>0</v>
      </c>
      <c r="X98" s="290">
        <f>VLOOKUP($B98,'3、工程合同'!$D:$AL,23,0)</f>
        <v>0</v>
      </c>
      <c r="Y98" s="293">
        <f>VLOOKUP($B98,'3、工程合同'!$D:$AL,24,0)</f>
        <v>0</v>
      </c>
      <c r="Z98" s="293">
        <f>VLOOKUP($B98,'3、工程合同'!$D:$AL,25,0)</f>
        <v>0</v>
      </c>
      <c r="AA98" s="290">
        <f>VLOOKUP($B98,'3、工程合同'!$D:$AL,26,0)</f>
        <v>0</v>
      </c>
      <c r="AB98" s="293">
        <f>VLOOKUP($B98,'3、工程合同'!$D:$AL,27,0)</f>
        <v>0</v>
      </c>
      <c r="AC98" s="293">
        <f>VLOOKUP($B98,'3、工程合同'!$D:$AL,28,0)</f>
        <v>0</v>
      </c>
      <c r="AD98" s="290">
        <f>VLOOKUP($B98,'3、工程合同'!$D:$AL,29,0)</f>
        <v>0</v>
      </c>
      <c r="AE98" s="293">
        <f>VLOOKUP($B98,'3、工程合同'!$D:$AL,30,0)</f>
        <v>0</v>
      </c>
      <c r="AF98" s="293">
        <f>VLOOKUP($B98,'3、工程合同'!$D:$AL,31,0)</f>
        <v>0</v>
      </c>
      <c r="AG98" s="293">
        <f>VLOOKUP($B98,'3、工程合同'!$D:$AL,32,0)</f>
        <v>0</v>
      </c>
      <c r="AH98" s="293">
        <f>VLOOKUP($B98,'3、工程合同'!$D:$AL,33,0)</f>
        <v>0</v>
      </c>
      <c r="AI98" s="312">
        <f>VLOOKUP($B98,'3、工程合同'!$D:$AL,34,0)</f>
        <v>0</v>
      </c>
      <c r="AJ98" s="309">
        <f t="shared" si="24"/>
        <v>140676349.8</v>
      </c>
      <c r="AK98" s="289">
        <f t="shared" si="25"/>
        <v>0</v>
      </c>
      <c r="AL98" s="310">
        <f t="shared" si="26"/>
        <v>1</v>
      </c>
      <c r="AM98" s="289">
        <f t="shared" si="27"/>
        <v>140676349.8</v>
      </c>
      <c r="AN98" s="311" t="str">
        <f t="shared" si="28"/>
        <v>数据正确</v>
      </c>
    </row>
    <row r="99" s="228" customFormat="1" customHeight="1" spans="1:40">
      <c r="A99" s="228" t="str">
        <f t="shared" si="18"/>
        <v/>
      </c>
      <c r="B99" s="256">
        <v>94</v>
      </c>
      <c r="C99" s="266" t="str">
        <f>VLOOKUP($B99,'3、工程合同'!$D:$AL,2,0)</f>
        <v>YRKJGC-150009</v>
      </c>
      <c r="D99" s="267" t="str">
        <f>VLOOKUP($B99,'3、工程合同'!$D:$AL,3,0)</f>
        <v>工程合同</v>
      </c>
      <c r="E99" s="267" t="str">
        <f>VLOOKUP($B99,'3、工程合同'!$D:$AL,4,0)</f>
        <v>-</v>
      </c>
      <c r="F99" s="268">
        <f>VLOOKUP($B99,'3、工程合同'!$D:$AL,5,0)</f>
        <v>42247</v>
      </c>
      <c r="G99" s="269">
        <f>VLOOKUP($B99,'3、工程合同'!$D:$AL,6,0)</f>
        <v>2176558.2</v>
      </c>
      <c r="H99" s="269" t="str">
        <f>VLOOKUP($B99,'3、工程合同'!$D:$AL,7,0)</f>
        <v>建设工程勘察（岩土详细勘察）</v>
      </c>
      <c r="I99" s="269" t="str">
        <f>VLOOKUP($B99,'3、工程合同'!$D:$AL,8,0)</f>
        <v>福建省建筑工程质量检测中心有限公司/福建省建研工程顾问有限公司</v>
      </c>
      <c r="J99" s="290">
        <f>VLOOKUP($B99,'3、工程合同'!$D:$AL,9,0)</f>
        <v>0</v>
      </c>
      <c r="K99" s="291" t="str">
        <f>VLOOKUP($B99,'3、工程合同'!$D:$AL,10,0)</f>
        <v>承兑汇票</v>
      </c>
      <c r="L99" s="292" t="str">
        <f>VLOOKUP($B99,'3、工程合同'!$D:$AL,11,0)</f>
        <v>-</v>
      </c>
      <c r="M99" s="293">
        <f>VLOOKUP($B99,'3、工程合同'!$D:$AL,12,0)</f>
        <v>2155006.56</v>
      </c>
      <c r="N99" s="293">
        <f>VLOOKUP($B99,'3、工程合同'!$D:$AL,13,0)</f>
        <v>1170000</v>
      </c>
      <c r="O99" s="290" t="str">
        <f>VLOOKUP($B99,'3、工程合同'!$D:$AL,14,0)</f>
        <v>-</v>
      </c>
      <c r="P99" s="293">
        <f>VLOOKUP($B99,'3、工程合同'!$D:$AL,15,0)</f>
        <v>16163.73</v>
      </c>
      <c r="Q99" s="293">
        <f>VLOOKUP($B99,'3、工程合同'!$D:$AL,16,0)</f>
        <v>0</v>
      </c>
      <c r="R99" s="290" t="str">
        <f>VLOOKUP($B99,'3、工程合同'!$D:$AL,17,0)</f>
        <v>-</v>
      </c>
      <c r="S99" s="293">
        <f>VLOOKUP($B99,'3、工程合同'!$D:$AL,18,0)</f>
        <v>5387.91</v>
      </c>
      <c r="T99" s="293">
        <f>VLOOKUP($B99,'3、工程合同'!$D:$AL,19,0)</f>
        <v>0</v>
      </c>
      <c r="U99" s="290">
        <f>VLOOKUP($B99,'3、工程合同'!$D:$AL,20,0)</f>
        <v>0</v>
      </c>
      <c r="V99" s="293">
        <f>VLOOKUP($B99,'3、工程合同'!$D:$AL,21,0)</f>
        <v>0</v>
      </c>
      <c r="W99" s="293">
        <f>VLOOKUP($B99,'3、工程合同'!$D:$AL,22,0)</f>
        <v>0</v>
      </c>
      <c r="X99" s="290">
        <f>VLOOKUP($B99,'3、工程合同'!$D:$AL,23,0)</f>
        <v>0</v>
      </c>
      <c r="Y99" s="293">
        <f>VLOOKUP($B99,'3、工程合同'!$D:$AL,24,0)</f>
        <v>0</v>
      </c>
      <c r="Z99" s="293">
        <f>VLOOKUP($B99,'3、工程合同'!$D:$AL,25,0)</f>
        <v>0</v>
      </c>
      <c r="AA99" s="290">
        <f>VLOOKUP($B99,'3、工程合同'!$D:$AL,26,0)</f>
        <v>0</v>
      </c>
      <c r="AB99" s="293">
        <f>VLOOKUP($B99,'3、工程合同'!$D:$AL,27,0)</f>
        <v>0</v>
      </c>
      <c r="AC99" s="293">
        <f>VLOOKUP($B99,'3、工程合同'!$D:$AL,28,0)</f>
        <v>0</v>
      </c>
      <c r="AD99" s="290">
        <f>VLOOKUP($B99,'3、工程合同'!$D:$AL,29,0)</f>
        <v>0</v>
      </c>
      <c r="AE99" s="293">
        <f>VLOOKUP($B99,'3、工程合同'!$D:$AL,30,0)</f>
        <v>0</v>
      </c>
      <c r="AF99" s="293">
        <f>VLOOKUP($B99,'3、工程合同'!$D:$AL,31,0)</f>
        <v>0</v>
      </c>
      <c r="AG99" s="293">
        <f>VLOOKUP($B99,'3、工程合同'!$D:$AL,32,0)</f>
        <v>0</v>
      </c>
      <c r="AH99" s="293">
        <f>VLOOKUP($B99,'3、工程合同'!$D:$AL,33,0)</f>
        <v>0</v>
      </c>
      <c r="AI99" s="312">
        <f>VLOOKUP($B99,'3、工程合同'!$D:$AL,34,0)</f>
        <v>0</v>
      </c>
      <c r="AJ99" s="309">
        <f t="shared" si="24"/>
        <v>1170000</v>
      </c>
      <c r="AK99" s="289">
        <f t="shared" si="25"/>
        <v>1006558.2</v>
      </c>
      <c r="AL99" s="310">
        <f t="shared" si="26"/>
        <v>0.537545929164678</v>
      </c>
      <c r="AM99" s="289">
        <f t="shared" si="27"/>
        <v>2176558.2</v>
      </c>
      <c r="AN99" s="311" t="str">
        <f t="shared" si="28"/>
        <v>数据正确</v>
      </c>
    </row>
    <row r="100" s="228" customFormat="1" customHeight="1" spans="1:40">
      <c r="A100" s="228" t="str">
        <f t="shared" si="18"/>
        <v/>
      </c>
      <c r="B100" s="261">
        <v>95</v>
      </c>
      <c r="C100" s="266" t="str">
        <f>VLOOKUP($B100,'3、工程合同'!$D:$AL,2,0)</f>
        <v>YRKJGC-150009</v>
      </c>
      <c r="D100" s="267" t="str">
        <f>VLOOKUP($B100,'3、工程合同'!$D:$AL,3,0)</f>
        <v>工程合同</v>
      </c>
      <c r="E100" s="267" t="str">
        <f>VLOOKUP($B100,'3、工程合同'!$D:$AL,4,0)</f>
        <v>-</v>
      </c>
      <c r="F100" s="268">
        <f>VLOOKUP($B100,'3、工程合同'!$D:$AL,5,0)</f>
        <v>42191</v>
      </c>
      <c r="G100" s="269">
        <f>VLOOKUP($B100,'3、工程合同'!$D:$AL,6,0)</f>
        <v>64025</v>
      </c>
      <c r="H100" s="269" t="str">
        <f>VLOOKUP($B100,'3、工程合同'!$D:$AL,7,0)</f>
        <v>沙盘模型1套（展厅参观）</v>
      </c>
      <c r="I100" s="269" t="str">
        <f>VLOOKUP($B100,'3、工程合同'!$D:$AL,8,0)</f>
        <v>浏阳市南方科技展览模型有限公司</v>
      </c>
      <c r="J100" s="290">
        <f>VLOOKUP($B100,'3、工程合同'!$D:$AL,9,0)</f>
        <v>0</v>
      </c>
      <c r="K100" s="291" t="str">
        <f>VLOOKUP($B100,'3、工程合同'!$D:$AL,10,0)</f>
        <v>承兑汇票</v>
      </c>
      <c r="L100" s="292" t="str">
        <f>VLOOKUP($B100,'3、工程合同'!$D:$AL,11,0)</f>
        <v>预付款10%</v>
      </c>
      <c r="M100" s="293">
        <f>VLOOKUP($B100,'3、工程合同'!$D:$AL,12,0)</f>
        <v>6402.5</v>
      </c>
      <c r="N100" s="293">
        <f>VLOOKUP($B100,'3、工程合同'!$D:$AL,13,0)</f>
        <v>0</v>
      </c>
      <c r="O100" s="290" t="str">
        <f>VLOOKUP($B100,'3、工程合同'!$D:$AL,14,0)</f>
        <v>验收合格支付85%</v>
      </c>
      <c r="P100" s="293">
        <f>VLOOKUP($B100,'3、工程合同'!$D:$AL,15,0)</f>
        <v>54421.25</v>
      </c>
      <c r="Q100" s="293">
        <f>VLOOKUP($B100,'3、工程合同'!$D:$AL,16,0)</f>
        <v>0</v>
      </c>
      <c r="R100" s="290" t="str">
        <f>VLOOKUP($B100,'3、工程合同'!$D:$AL,17,0)</f>
        <v>5%质保金</v>
      </c>
      <c r="S100" s="293">
        <f>VLOOKUP($B100,'3、工程合同'!$D:$AL,18,0)</f>
        <v>3201.25</v>
      </c>
      <c r="T100" s="293">
        <f>VLOOKUP($B100,'3、工程合同'!$D:$AL,19,0)</f>
        <v>0</v>
      </c>
      <c r="U100" s="290">
        <f>VLOOKUP($B100,'3、工程合同'!$D:$AL,20,0)</f>
        <v>0</v>
      </c>
      <c r="V100" s="293">
        <f>VLOOKUP($B100,'3、工程合同'!$D:$AL,21,0)</f>
        <v>0</v>
      </c>
      <c r="W100" s="293">
        <f>VLOOKUP($B100,'3、工程合同'!$D:$AL,22,0)</f>
        <v>0</v>
      </c>
      <c r="X100" s="290">
        <f>VLOOKUP($B100,'3、工程合同'!$D:$AL,23,0)</f>
        <v>0</v>
      </c>
      <c r="Y100" s="293">
        <f>VLOOKUP($B100,'3、工程合同'!$D:$AL,24,0)</f>
        <v>0</v>
      </c>
      <c r="Z100" s="293">
        <f>VLOOKUP($B100,'3、工程合同'!$D:$AL,25,0)</f>
        <v>0</v>
      </c>
      <c r="AA100" s="290">
        <f>VLOOKUP($B100,'3、工程合同'!$D:$AL,26,0)</f>
        <v>0</v>
      </c>
      <c r="AB100" s="293">
        <f>VLOOKUP($B100,'3、工程合同'!$D:$AL,27,0)</f>
        <v>0</v>
      </c>
      <c r="AC100" s="293">
        <f>VLOOKUP($B100,'3、工程合同'!$D:$AL,28,0)</f>
        <v>0</v>
      </c>
      <c r="AD100" s="290">
        <f>VLOOKUP($B100,'3、工程合同'!$D:$AL,29,0)</f>
        <v>0</v>
      </c>
      <c r="AE100" s="293">
        <f>VLOOKUP($B100,'3、工程合同'!$D:$AL,30,0)</f>
        <v>0</v>
      </c>
      <c r="AF100" s="293">
        <f>VLOOKUP($B100,'3、工程合同'!$D:$AL,31,0)</f>
        <v>0</v>
      </c>
      <c r="AG100" s="293">
        <f>VLOOKUP($B100,'3、工程合同'!$D:$AL,32,0)</f>
        <v>0</v>
      </c>
      <c r="AH100" s="293">
        <f>VLOOKUP($B100,'3、工程合同'!$D:$AL,33,0)</f>
        <v>0</v>
      </c>
      <c r="AI100" s="312">
        <f>VLOOKUP($B100,'3、工程合同'!$D:$AL,34,0)</f>
        <v>0</v>
      </c>
      <c r="AJ100" s="309">
        <f t="shared" si="24"/>
        <v>0</v>
      </c>
      <c r="AK100" s="289">
        <f t="shared" si="25"/>
        <v>64025</v>
      </c>
      <c r="AL100" s="310">
        <f t="shared" si="26"/>
        <v>0</v>
      </c>
      <c r="AM100" s="289">
        <f t="shared" si="27"/>
        <v>64025</v>
      </c>
      <c r="AN100" s="311" t="str">
        <f t="shared" si="28"/>
        <v>数据正确</v>
      </c>
    </row>
    <row r="101" s="228" customFormat="1" customHeight="1" spans="1:40">
      <c r="A101" s="228" t="str">
        <f t="shared" si="18"/>
        <v>已完毕</v>
      </c>
      <c r="B101" s="261">
        <v>96</v>
      </c>
      <c r="C101" s="266" t="str">
        <f>VLOOKUP($B101,'3、工程合同'!$D:$AL,2,0)</f>
        <v>YRKJGC-150012</v>
      </c>
      <c r="D101" s="267" t="str">
        <f>VLOOKUP($B101,'3、工程合同'!$D:$AL,3,0)</f>
        <v>工程合同</v>
      </c>
      <c r="E101" s="267" t="str">
        <f>VLOOKUP($B101,'3、工程合同'!$D:$AL,4,0)</f>
        <v>-</v>
      </c>
      <c r="F101" s="268">
        <f>VLOOKUP($B101,'3、工程合同'!$D:$AL,5,0)</f>
        <v>42136</v>
      </c>
      <c r="G101" s="269">
        <f>VLOOKUP($B101,'3、工程合同'!$D:$AL,6,0)</f>
        <v>64977000</v>
      </c>
      <c r="H101" s="269" t="str">
        <f>VLOOKUP($B101,'3、工程合同'!$D:$AL,7,0)</f>
        <v>软地基处理工程施工-软土区（181500平米*358元/米2）</v>
      </c>
      <c r="I101" s="269" t="str">
        <f>VLOOKUP($B101,'3、工程合同'!$D:$AL,8,0)</f>
        <v>福建勘察基础工程公司</v>
      </c>
      <c r="J101" s="290" t="str">
        <f>VLOOKUP($B101,'3、工程合同'!$D:$AL,9,0)</f>
        <v>软基</v>
      </c>
      <c r="K101" s="291" t="str">
        <f>VLOOKUP($B101,'3、工程合同'!$D:$AL,10,0)</f>
        <v>承兑/转账</v>
      </c>
      <c r="L101" s="292" t="str">
        <f>VLOOKUP($B101,'3、工程合同'!$D:$AL,11,0)</f>
        <v>按每月实际进度结算并支付工程进度款的90%</v>
      </c>
      <c r="M101" s="293">
        <f>VLOOKUP($B101,'3、工程合同'!$D:$AL,12,0)</f>
        <v>58479300</v>
      </c>
      <c r="N101" s="293">
        <f>VLOOKUP($B101,'3、工程合同'!$D:$AL,13,0)</f>
        <v>64977000</v>
      </c>
      <c r="O101" s="290" t="str">
        <f>VLOOKUP($B101,'3、工程合同'!$D:$AL,14,0)</f>
        <v>工程竣工验收合格后支付尾款</v>
      </c>
      <c r="P101" s="293">
        <f>VLOOKUP($B101,'3、工程合同'!$D:$AL,15,0)</f>
        <v>6497700</v>
      </c>
      <c r="Q101" s="293">
        <f>VLOOKUP($B101,'3、工程合同'!$D:$AL,16,0)</f>
        <v>0</v>
      </c>
      <c r="R101" s="290">
        <f>VLOOKUP($B101,'3、工程合同'!$D:$AL,17,0)</f>
        <v>0</v>
      </c>
      <c r="S101" s="293">
        <f>VLOOKUP($B101,'3、工程合同'!$D:$AL,18,0)</f>
        <v>0</v>
      </c>
      <c r="T101" s="293">
        <f>VLOOKUP($B101,'3、工程合同'!$D:$AL,19,0)</f>
        <v>0</v>
      </c>
      <c r="U101" s="290">
        <f>VLOOKUP($B101,'3、工程合同'!$D:$AL,20,0)</f>
        <v>0</v>
      </c>
      <c r="V101" s="293">
        <f>VLOOKUP($B101,'3、工程合同'!$D:$AL,21,0)</f>
        <v>0</v>
      </c>
      <c r="W101" s="293">
        <f>VLOOKUP($B101,'3、工程合同'!$D:$AL,22,0)</f>
        <v>0</v>
      </c>
      <c r="X101" s="290">
        <f>VLOOKUP($B101,'3、工程合同'!$D:$AL,23,0)</f>
        <v>0</v>
      </c>
      <c r="Y101" s="293">
        <f>VLOOKUP($B101,'3、工程合同'!$D:$AL,24,0)</f>
        <v>0</v>
      </c>
      <c r="Z101" s="293">
        <f>VLOOKUP($B101,'3、工程合同'!$D:$AL,25,0)</f>
        <v>0</v>
      </c>
      <c r="AA101" s="290">
        <f>VLOOKUP($B101,'3、工程合同'!$D:$AL,26,0)</f>
        <v>0</v>
      </c>
      <c r="AB101" s="293">
        <f>VLOOKUP($B101,'3、工程合同'!$D:$AL,27,0)</f>
        <v>0</v>
      </c>
      <c r="AC101" s="293">
        <f>VLOOKUP($B101,'3、工程合同'!$D:$AL,28,0)</f>
        <v>0</v>
      </c>
      <c r="AD101" s="290">
        <f>VLOOKUP($B101,'3、工程合同'!$D:$AL,29,0)</f>
        <v>0</v>
      </c>
      <c r="AE101" s="293">
        <f>VLOOKUP($B101,'3、工程合同'!$D:$AL,30,0)</f>
        <v>0</v>
      </c>
      <c r="AF101" s="293">
        <f>VLOOKUP($B101,'3、工程合同'!$D:$AL,31,0)</f>
        <v>0</v>
      </c>
      <c r="AG101" s="293">
        <f>VLOOKUP($B101,'3、工程合同'!$D:$AL,32,0)</f>
        <v>0</v>
      </c>
      <c r="AH101" s="293">
        <f>VLOOKUP($B101,'3、工程合同'!$D:$AL,33,0)</f>
        <v>0</v>
      </c>
      <c r="AI101" s="312">
        <f>VLOOKUP($B101,'3、工程合同'!$D:$AL,34,0)</f>
        <v>0</v>
      </c>
      <c r="AJ101" s="309">
        <f t="shared" si="24"/>
        <v>64977000</v>
      </c>
      <c r="AK101" s="289">
        <f t="shared" si="25"/>
        <v>0</v>
      </c>
      <c r="AL101" s="310">
        <f t="shared" si="26"/>
        <v>1</v>
      </c>
      <c r="AM101" s="289">
        <f t="shared" si="27"/>
        <v>64977000</v>
      </c>
      <c r="AN101" s="311" t="str">
        <f t="shared" si="28"/>
        <v>数据正确</v>
      </c>
    </row>
    <row r="102" s="228" customFormat="1" customHeight="1" spans="1:40">
      <c r="A102" s="228" t="str">
        <f t="shared" si="18"/>
        <v>已完毕</v>
      </c>
      <c r="B102" s="256">
        <v>97</v>
      </c>
      <c r="C102" s="266" t="str">
        <f>VLOOKUP($B102,'3、工程合同'!$D:$AL,2,0)</f>
        <v>YRKJGC-160003</v>
      </c>
      <c r="D102" s="267" t="str">
        <f>VLOOKUP($B102,'3、工程合同'!$D:$AL,3,0)</f>
        <v>工程合同</v>
      </c>
      <c r="E102" s="267" t="str">
        <f>VLOOKUP($B102,'3、工程合同'!$D:$AL,4,0)</f>
        <v>-</v>
      </c>
      <c r="F102" s="268">
        <f>VLOOKUP($B102,'3、工程合同'!$D:$AL,5,0)</f>
        <v>42479</v>
      </c>
      <c r="G102" s="269">
        <f>VLOOKUP($B102,'3、工程合同'!$D:$AL,6,0)</f>
        <v>10000</v>
      </c>
      <c r="H102" s="269" t="str">
        <f>VLOOKUP($B102,'3、工程合同'!$D:$AL,7,0)</f>
        <v>LNG输送技术咨询</v>
      </c>
      <c r="I102" s="269" t="str">
        <f>VLOOKUP($B102,'3、工程合同'!$D:$AL,8,0)</f>
        <v>福建省石油化学工业设计院</v>
      </c>
      <c r="J102" s="290">
        <f>VLOOKUP($B102,'3、工程合同'!$D:$AL,9,0)</f>
        <v>0</v>
      </c>
      <c r="K102" s="291">
        <f>VLOOKUP($B102,'3、工程合同'!$D:$AL,10,0)</f>
        <v>0</v>
      </c>
      <c r="L102" s="292" t="str">
        <f>VLOOKUP($B102,'3、工程合同'!$D:$AL,11,0)</f>
        <v>乙方提供初步方案报告前，全额转账，乙方收到款后一周开具专票</v>
      </c>
      <c r="M102" s="293">
        <f>VLOOKUP($B102,'3、工程合同'!$D:$AL,12,0)</f>
        <v>10000</v>
      </c>
      <c r="N102" s="293">
        <f>VLOOKUP($B102,'3、工程合同'!$D:$AL,13,0)</f>
        <v>10000</v>
      </c>
      <c r="O102" s="290">
        <f>VLOOKUP($B102,'3、工程合同'!$D:$AL,14,0)</f>
        <v>0</v>
      </c>
      <c r="P102" s="293">
        <f>VLOOKUP($B102,'3、工程合同'!$D:$AL,15,0)</f>
        <v>0</v>
      </c>
      <c r="Q102" s="293">
        <f>VLOOKUP($B102,'3、工程合同'!$D:$AL,16,0)</f>
        <v>0</v>
      </c>
      <c r="R102" s="290">
        <f>VLOOKUP($B102,'3、工程合同'!$D:$AL,17,0)</f>
        <v>0</v>
      </c>
      <c r="S102" s="293">
        <f>VLOOKUP($B102,'3、工程合同'!$D:$AL,18,0)</f>
        <v>0</v>
      </c>
      <c r="T102" s="293">
        <f>VLOOKUP($B102,'3、工程合同'!$D:$AL,19,0)</f>
        <v>0</v>
      </c>
      <c r="U102" s="290">
        <f>VLOOKUP($B102,'3、工程合同'!$D:$AL,20,0)</f>
        <v>0</v>
      </c>
      <c r="V102" s="293">
        <f>VLOOKUP($B102,'3、工程合同'!$D:$AL,21,0)</f>
        <v>0</v>
      </c>
      <c r="W102" s="293">
        <f>VLOOKUP($B102,'3、工程合同'!$D:$AL,22,0)</f>
        <v>0</v>
      </c>
      <c r="X102" s="290">
        <f>VLOOKUP($B102,'3、工程合同'!$D:$AL,23,0)</f>
        <v>0</v>
      </c>
      <c r="Y102" s="293">
        <f>VLOOKUP($B102,'3、工程合同'!$D:$AL,24,0)</f>
        <v>0</v>
      </c>
      <c r="Z102" s="293">
        <f>VLOOKUP($B102,'3、工程合同'!$D:$AL,25,0)</f>
        <v>0</v>
      </c>
      <c r="AA102" s="290">
        <f>VLOOKUP($B102,'3、工程合同'!$D:$AL,26,0)</f>
        <v>0</v>
      </c>
      <c r="AB102" s="293">
        <f>VLOOKUP($B102,'3、工程合同'!$D:$AL,27,0)</f>
        <v>0</v>
      </c>
      <c r="AC102" s="293">
        <f>VLOOKUP($B102,'3、工程合同'!$D:$AL,28,0)</f>
        <v>0</v>
      </c>
      <c r="AD102" s="290">
        <f>VLOOKUP($B102,'3、工程合同'!$D:$AL,29,0)</f>
        <v>0</v>
      </c>
      <c r="AE102" s="293">
        <f>VLOOKUP($B102,'3、工程合同'!$D:$AL,30,0)</f>
        <v>0</v>
      </c>
      <c r="AF102" s="293">
        <f>VLOOKUP($B102,'3、工程合同'!$D:$AL,31,0)</f>
        <v>0</v>
      </c>
      <c r="AG102" s="293">
        <f>VLOOKUP($B102,'3、工程合同'!$D:$AL,32,0)</f>
        <v>0</v>
      </c>
      <c r="AH102" s="293">
        <f>VLOOKUP($B102,'3、工程合同'!$D:$AL,33,0)</f>
        <v>0</v>
      </c>
      <c r="AI102" s="312">
        <f>VLOOKUP($B102,'3、工程合同'!$D:$AL,34,0)</f>
        <v>0</v>
      </c>
      <c r="AJ102" s="309">
        <f t="shared" si="24"/>
        <v>10000</v>
      </c>
      <c r="AK102" s="289">
        <f t="shared" si="25"/>
        <v>0</v>
      </c>
      <c r="AL102" s="310">
        <f t="shared" si="26"/>
        <v>1</v>
      </c>
      <c r="AM102" s="289">
        <f t="shared" si="27"/>
        <v>10000</v>
      </c>
      <c r="AN102" s="311" t="str">
        <f t="shared" si="28"/>
        <v>数据正确</v>
      </c>
    </row>
    <row r="103" s="228" customFormat="1" customHeight="1" spans="1:40">
      <c r="A103" s="228" t="str">
        <f t="shared" ref="A103:A134" si="29">IF(AL103=100%,"已完毕","")</f>
        <v>已完毕</v>
      </c>
      <c r="B103" s="261">
        <v>98</v>
      </c>
      <c r="C103" s="266" t="str">
        <f>VLOOKUP($B103,'3、工程合同'!$D:$AL,2,0)</f>
        <v>YRKJGC-160004</v>
      </c>
      <c r="D103" s="267" t="str">
        <f>VLOOKUP($B103,'3、工程合同'!$D:$AL,3,0)</f>
        <v>工程合同</v>
      </c>
      <c r="E103" s="267" t="str">
        <f>VLOOKUP($B103,'3、工程合同'!$D:$AL,4,0)</f>
        <v>-</v>
      </c>
      <c r="F103" s="268">
        <f>VLOOKUP($B103,'3、工程合同'!$D:$AL,5,0)</f>
        <v>42619</v>
      </c>
      <c r="G103" s="269">
        <f>VLOOKUP($B103,'3、工程合同'!$D:$AL,6,0)</f>
        <v>1623855</v>
      </c>
      <c r="H103" s="269" t="str">
        <f>VLOOKUP($B103,'3、工程合同'!$D:$AL,7,0)</f>
        <v>方桩（10380米*200元/米）</v>
      </c>
      <c r="I103" s="269" t="str">
        <f>VLOOKUP($B103,'3、工程合同'!$D:$AL,8,0)</f>
        <v>福建建华建材有限公司</v>
      </c>
      <c r="J103" s="290">
        <f>VLOOKUP($B103,'3、工程合同'!$D:$AL,9,0)</f>
        <v>0</v>
      </c>
      <c r="K103" s="291" t="str">
        <f>VLOOKUP($B103,'3、工程合同'!$D:$AL,10,0)</f>
        <v>承兑汇票</v>
      </c>
      <c r="L103" s="292" t="str">
        <f>VLOOKUP($B103,'3、工程合同'!$D:$AL,11,0)</f>
        <v>收到乙方17%专票后，安排货款</v>
      </c>
      <c r="M103" s="293">
        <f>VLOOKUP($B103,'3、工程合同'!$D:$AL,12,0)</f>
        <v>1623855</v>
      </c>
      <c r="N103" s="293">
        <f>VLOOKUP($B103,'3、工程合同'!$D:$AL,13,0)</f>
        <v>1623855</v>
      </c>
      <c r="O103" s="290">
        <f>VLOOKUP($B103,'3、工程合同'!$D:$AL,14,0)</f>
        <v>0</v>
      </c>
      <c r="P103" s="293">
        <f>VLOOKUP($B103,'3、工程合同'!$D:$AL,15,0)</f>
        <v>0</v>
      </c>
      <c r="Q103" s="293">
        <f>VLOOKUP($B103,'3、工程合同'!$D:$AL,16,0)</f>
        <v>0</v>
      </c>
      <c r="R103" s="290">
        <f>VLOOKUP($B103,'3、工程合同'!$D:$AL,17,0)</f>
        <v>0</v>
      </c>
      <c r="S103" s="293">
        <f>VLOOKUP($B103,'3、工程合同'!$D:$AL,18,0)</f>
        <v>0</v>
      </c>
      <c r="T103" s="293">
        <f>VLOOKUP($B103,'3、工程合同'!$D:$AL,19,0)</f>
        <v>0</v>
      </c>
      <c r="U103" s="290">
        <f>VLOOKUP($B103,'3、工程合同'!$D:$AL,20,0)</f>
        <v>0</v>
      </c>
      <c r="V103" s="293">
        <f>VLOOKUP($B103,'3、工程合同'!$D:$AL,21,0)</f>
        <v>0</v>
      </c>
      <c r="W103" s="293">
        <f>VLOOKUP($B103,'3、工程合同'!$D:$AL,22,0)</f>
        <v>0</v>
      </c>
      <c r="X103" s="290">
        <f>VLOOKUP($B103,'3、工程合同'!$D:$AL,23,0)</f>
        <v>0</v>
      </c>
      <c r="Y103" s="293">
        <f>VLOOKUP($B103,'3、工程合同'!$D:$AL,24,0)</f>
        <v>0</v>
      </c>
      <c r="Z103" s="293">
        <f>VLOOKUP($B103,'3、工程合同'!$D:$AL,25,0)</f>
        <v>0</v>
      </c>
      <c r="AA103" s="290">
        <f>VLOOKUP($B103,'3、工程合同'!$D:$AL,26,0)</f>
        <v>0</v>
      </c>
      <c r="AB103" s="293">
        <f>VLOOKUP($B103,'3、工程合同'!$D:$AL,27,0)</f>
        <v>0</v>
      </c>
      <c r="AC103" s="293">
        <f>VLOOKUP($B103,'3、工程合同'!$D:$AL,28,0)</f>
        <v>0</v>
      </c>
      <c r="AD103" s="290">
        <f>VLOOKUP($B103,'3、工程合同'!$D:$AL,29,0)</f>
        <v>0</v>
      </c>
      <c r="AE103" s="293">
        <f>VLOOKUP($B103,'3、工程合同'!$D:$AL,30,0)</f>
        <v>0</v>
      </c>
      <c r="AF103" s="293">
        <f>VLOOKUP($B103,'3、工程合同'!$D:$AL,31,0)</f>
        <v>0</v>
      </c>
      <c r="AG103" s="293">
        <f>VLOOKUP($B103,'3、工程合同'!$D:$AL,32,0)</f>
        <v>0</v>
      </c>
      <c r="AH103" s="293">
        <f>VLOOKUP($B103,'3、工程合同'!$D:$AL,33,0)</f>
        <v>0</v>
      </c>
      <c r="AI103" s="312">
        <f>VLOOKUP($B103,'3、工程合同'!$D:$AL,34,0)</f>
        <v>0</v>
      </c>
      <c r="AJ103" s="309">
        <f t="shared" si="24"/>
        <v>1623855</v>
      </c>
      <c r="AK103" s="289">
        <f t="shared" si="25"/>
        <v>0</v>
      </c>
      <c r="AL103" s="310">
        <f t="shared" si="26"/>
        <v>1</v>
      </c>
      <c r="AM103" s="289">
        <f t="shared" si="27"/>
        <v>1623855</v>
      </c>
      <c r="AN103" s="311" t="str">
        <f t="shared" si="28"/>
        <v>数据正确</v>
      </c>
    </row>
    <row r="104" s="228" customFormat="1" customHeight="1" spans="1:40">
      <c r="A104" s="228" t="str">
        <f t="shared" si="29"/>
        <v>已完毕</v>
      </c>
      <c r="B104" s="261">
        <v>99</v>
      </c>
      <c r="C104" s="266" t="str">
        <f>VLOOKUP($B104,'3、工程合同'!$D:$AL,2,0)</f>
        <v>YRKJGC-160005</v>
      </c>
      <c r="D104" s="267" t="str">
        <f>VLOOKUP($B104,'3、工程合同'!$D:$AL,3,0)</f>
        <v>工程合同</v>
      </c>
      <c r="E104" s="267" t="str">
        <f>VLOOKUP($B104,'3、工程合同'!$D:$AL,4,0)</f>
        <v>-</v>
      </c>
      <c r="F104" s="268">
        <f>VLOOKUP($B104,'3、工程合同'!$D:$AL,5,0)</f>
        <v>42626</v>
      </c>
      <c r="G104" s="269">
        <f>VLOOKUP($B104,'3、工程合同'!$D:$AL,6,0)</f>
        <v>41148</v>
      </c>
      <c r="H104" s="269" t="str">
        <f>VLOOKUP($B104,'3、工程合同'!$D:$AL,7,0)</f>
        <v>管桩（420米*127元/米）</v>
      </c>
      <c r="I104" s="269" t="str">
        <f>VLOOKUP($B104,'3、工程合同'!$D:$AL,8,0)</f>
        <v>福建峻兴管桩有限公司</v>
      </c>
      <c r="J104" s="290">
        <f>VLOOKUP($B104,'3、工程合同'!$D:$AL,9,0)</f>
        <v>0</v>
      </c>
      <c r="K104" s="291" t="str">
        <f>VLOOKUP($B104,'3、工程合同'!$D:$AL,10,0)</f>
        <v>承兑汇票</v>
      </c>
      <c r="L104" s="292" t="str">
        <f>VLOOKUP($B104,'3、工程合同'!$D:$AL,11,0)</f>
        <v>收到管桩及全额发票后支付</v>
      </c>
      <c r="M104" s="293">
        <f>VLOOKUP($B104,'3、工程合同'!$D:$AL,12,0)</f>
        <v>41148</v>
      </c>
      <c r="N104" s="293">
        <f>VLOOKUP($B104,'3、工程合同'!$D:$AL,13,0)</f>
        <v>41148</v>
      </c>
      <c r="O104" s="290">
        <f>VLOOKUP($B104,'3、工程合同'!$D:$AL,14,0)</f>
        <v>0</v>
      </c>
      <c r="P104" s="293">
        <f>VLOOKUP($B104,'3、工程合同'!$D:$AL,15,0)</f>
        <v>0</v>
      </c>
      <c r="Q104" s="293">
        <f>VLOOKUP($B104,'3、工程合同'!$D:$AL,16,0)</f>
        <v>0</v>
      </c>
      <c r="R104" s="290">
        <f>VLOOKUP($B104,'3、工程合同'!$D:$AL,17,0)</f>
        <v>0</v>
      </c>
      <c r="S104" s="293">
        <f>VLOOKUP($B104,'3、工程合同'!$D:$AL,18,0)</f>
        <v>0</v>
      </c>
      <c r="T104" s="293">
        <f>VLOOKUP($B104,'3、工程合同'!$D:$AL,19,0)</f>
        <v>0</v>
      </c>
      <c r="U104" s="290">
        <f>VLOOKUP($B104,'3、工程合同'!$D:$AL,20,0)</f>
        <v>0</v>
      </c>
      <c r="V104" s="293">
        <f>VLOOKUP($B104,'3、工程合同'!$D:$AL,21,0)</f>
        <v>0</v>
      </c>
      <c r="W104" s="293">
        <f>VLOOKUP($B104,'3、工程合同'!$D:$AL,22,0)</f>
        <v>0</v>
      </c>
      <c r="X104" s="290">
        <f>VLOOKUP($B104,'3、工程合同'!$D:$AL,23,0)</f>
        <v>0</v>
      </c>
      <c r="Y104" s="293">
        <f>VLOOKUP($B104,'3、工程合同'!$D:$AL,24,0)</f>
        <v>0</v>
      </c>
      <c r="Z104" s="293">
        <f>VLOOKUP($B104,'3、工程合同'!$D:$AL,25,0)</f>
        <v>0</v>
      </c>
      <c r="AA104" s="290">
        <f>VLOOKUP($B104,'3、工程合同'!$D:$AL,26,0)</f>
        <v>0</v>
      </c>
      <c r="AB104" s="293">
        <f>VLOOKUP($B104,'3、工程合同'!$D:$AL,27,0)</f>
        <v>0</v>
      </c>
      <c r="AC104" s="293">
        <f>VLOOKUP($B104,'3、工程合同'!$D:$AL,28,0)</f>
        <v>0</v>
      </c>
      <c r="AD104" s="290">
        <f>VLOOKUP($B104,'3、工程合同'!$D:$AL,29,0)</f>
        <v>0</v>
      </c>
      <c r="AE104" s="293">
        <f>VLOOKUP($B104,'3、工程合同'!$D:$AL,30,0)</f>
        <v>0</v>
      </c>
      <c r="AF104" s="293">
        <f>VLOOKUP($B104,'3、工程合同'!$D:$AL,31,0)</f>
        <v>0</v>
      </c>
      <c r="AG104" s="293">
        <f>VLOOKUP($B104,'3、工程合同'!$D:$AL,32,0)</f>
        <v>0</v>
      </c>
      <c r="AH104" s="293">
        <f>VLOOKUP($B104,'3、工程合同'!$D:$AL,33,0)</f>
        <v>0</v>
      </c>
      <c r="AI104" s="312">
        <f>VLOOKUP($B104,'3、工程合同'!$D:$AL,34,0)</f>
        <v>0</v>
      </c>
      <c r="AJ104" s="309">
        <f t="shared" si="24"/>
        <v>41148</v>
      </c>
      <c r="AK104" s="289">
        <f t="shared" si="25"/>
        <v>0</v>
      </c>
      <c r="AL104" s="310">
        <f t="shared" si="26"/>
        <v>1</v>
      </c>
      <c r="AM104" s="289">
        <f t="shared" si="27"/>
        <v>41148</v>
      </c>
      <c r="AN104" s="311" t="str">
        <f t="shared" si="28"/>
        <v>数据正确</v>
      </c>
    </row>
    <row r="105" s="228" customFormat="1" customHeight="1" spans="1:40">
      <c r="A105" s="228" t="str">
        <f t="shared" si="29"/>
        <v>已完毕</v>
      </c>
      <c r="B105" s="256">
        <v>100</v>
      </c>
      <c r="C105" s="266" t="str">
        <f>VLOOKUP($B105,'3、工程合同'!$D:$AL,2,0)</f>
        <v>YRKJGC-160008</v>
      </c>
      <c r="D105" s="267" t="str">
        <f>VLOOKUP($B105,'3、工程合同'!$D:$AL,3,0)</f>
        <v>工程合同</v>
      </c>
      <c r="E105" s="267" t="str">
        <f>VLOOKUP($B105,'3、工程合同'!$D:$AL,4,0)</f>
        <v>-</v>
      </c>
      <c r="F105" s="268">
        <f>VLOOKUP($B105,'3、工程合同'!$D:$AL,5,0)</f>
        <v>42680</v>
      </c>
      <c r="G105" s="269">
        <f>VLOOKUP($B105,'3、工程合同'!$D:$AL,6,0)</f>
        <v>1821600</v>
      </c>
      <c r="H105" s="269" t="str">
        <f>VLOOKUP($B105,'3、工程合同'!$D:$AL,7,0)</f>
        <v>管桩（13200米*138元/米）</v>
      </c>
      <c r="I105" s="269" t="str">
        <f>VLOOKUP($B105,'3、工程合同'!$D:$AL,8,0)</f>
        <v>福建建华建材有限公司</v>
      </c>
      <c r="J105" s="290">
        <f>VLOOKUP($B105,'3、工程合同'!$D:$AL,9,0)</f>
        <v>0</v>
      </c>
      <c r="K105" s="291" t="str">
        <f>VLOOKUP($B105,'3、工程合同'!$D:$AL,10,0)</f>
        <v>承兑汇票</v>
      </c>
      <c r="L105" s="292" t="str">
        <f>VLOOKUP($B105,'3、工程合同'!$D:$AL,11,0)</f>
        <v>货到付款，每次供货3000米，验收合格，卖方提供等额的收据给甲方后5日支付，卖方收到货款后5个工作日内提供17%的专票给甲方</v>
      </c>
      <c r="M105" s="293">
        <f>VLOOKUP($B105,'3、工程合同'!$D:$AL,12,0)</f>
        <v>1821600</v>
      </c>
      <c r="N105" s="293">
        <f>VLOOKUP($B105,'3、工程合同'!$D:$AL,13,0)</f>
        <v>1821600</v>
      </c>
      <c r="O105" s="290">
        <f>VLOOKUP($B105,'3、工程合同'!$D:$AL,14,0)</f>
        <v>0</v>
      </c>
      <c r="P105" s="293">
        <f>VLOOKUP($B105,'3、工程合同'!$D:$AL,15,0)</f>
        <v>0</v>
      </c>
      <c r="Q105" s="293">
        <f>VLOOKUP($B105,'3、工程合同'!$D:$AL,16,0)</f>
        <v>0</v>
      </c>
      <c r="R105" s="290">
        <f>VLOOKUP($B105,'3、工程合同'!$D:$AL,17,0)</f>
        <v>0</v>
      </c>
      <c r="S105" s="293">
        <f>VLOOKUP($B105,'3、工程合同'!$D:$AL,18,0)</f>
        <v>0</v>
      </c>
      <c r="T105" s="293">
        <f>VLOOKUP($B105,'3、工程合同'!$D:$AL,19,0)</f>
        <v>0</v>
      </c>
      <c r="U105" s="290">
        <f>VLOOKUP($B105,'3、工程合同'!$D:$AL,20,0)</f>
        <v>0</v>
      </c>
      <c r="V105" s="293">
        <f>VLOOKUP($B105,'3、工程合同'!$D:$AL,21,0)</f>
        <v>0</v>
      </c>
      <c r="W105" s="293">
        <f>VLOOKUP($B105,'3、工程合同'!$D:$AL,22,0)</f>
        <v>0</v>
      </c>
      <c r="X105" s="290">
        <f>VLOOKUP($B105,'3、工程合同'!$D:$AL,23,0)</f>
        <v>0</v>
      </c>
      <c r="Y105" s="293">
        <f>VLOOKUP($B105,'3、工程合同'!$D:$AL,24,0)</f>
        <v>0</v>
      </c>
      <c r="Z105" s="293">
        <f>VLOOKUP($B105,'3、工程合同'!$D:$AL,25,0)</f>
        <v>0</v>
      </c>
      <c r="AA105" s="290">
        <f>VLOOKUP($B105,'3、工程合同'!$D:$AL,26,0)</f>
        <v>0</v>
      </c>
      <c r="AB105" s="293">
        <f>VLOOKUP($B105,'3、工程合同'!$D:$AL,27,0)</f>
        <v>0</v>
      </c>
      <c r="AC105" s="293">
        <f>VLOOKUP($B105,'3、工程合同'!$D:$AL,28,0)</f>
        <v>0</v>
      </c>
      <c r="AD105" s="290">
        <f>VLOOKUP($B105,'3、工程合同'!$D:$AL,29,0)</f>
        <v>0</v>
      </c>
      <c r="AE105" s="293">
        <f>VLOOKUP($B105,'3、工程合同'!$D:$AL,30,0)</f>
        <v>0</v>
      </c>
      <c r="AF105" s="293">
        <f>VLOOKUP($B105,'3、工程合同'!$D:$AL,31,0)</f>
        <v>0</v>
      </c>
      <c r="AG105" s="293">
        <f>VLOOKUP($B105,'3、工程合同'!$D:$AL,32,0)</f>
        <v>0</v>
      </c>
      <c r="AH105" s="293">
        <f>VLOOKUP($B105,'3、工程合同'!$D:$AL,33,0)</f>
        <v>0</v>
      </c>
      <c r="AI105" s="312">
        <f>VLOOKUP($B105,'3、工程合同'!$D:$AL,34,0)</f>
        <v>0</v>
      </c>
      <c r="AJ105" s="309">
        <f t="shared" si="24"/>
        <v>1821600</v>
      </c>
      <c r="AK105" s="289">
        <f t="shared" si="25"/>
        <v>0</v>
      </c>
      <c r="AL105" s="310">
        <f t="shared" si="26"/>
        <v>1</v>
      </c>
      <c r="AM105" s="289">
        <f t="shared" si="27"/>
        <v>1821600</v>
      </c>
      <c r="AN105" s="311" t="str">
        <f t="shared" si="28"/>
        <v>数据正确</v>
      </c>
    </row>
    <row r="106" s="228" customFormat="1" customHeight="1" spans="1:40">
      <c r="A106" s="228" t="str">
        <f t="shared" si="29"/>
        <v/>
      </c>
      <c r="B106" s="261">
        <v>101</v>
      </c>
      <c r="C106" s="266" t="str">
        <f>VLOOKUP($B106,'3、工程合同'!$D:$AL,2,0)</f>
        <v>YRKJGC-160010</v>
      </c>
      <c r="D106" s="267" t="str">
        <f>VLOOKUP($B106,'3、工程合同'!$D:$AL,3,0)</f>
        <v>工程合同</v>
      </c>
      <c r="E106" s="267" t="str">
        <f>VLOOKUP($B106,'3、工程合同'!$D:$AL,4,0)</f>
        <v>-</v>
      </c>
      <c r="F106" s="268">
        <f>VLOOKUP($B106,'3、工程合同'!$D:$AL,5,0)</f>
        <v>42706</v>
      </c>
      <c r="G106" s="269">
        <f>VLOOKUP($B106,'3、工程合同'!$D:$AL,6,0)</f>
        <v>165168</v>
      </c>
      <c r="H106" s="269" t="str">
        <f>VLOOKUP($B106,'3、工程合同'!$D:$AL,7,0)</f>
        <v>联锁块（133200块*1.24元/块）</v>
      </c>
      <c r="I106" s="269" t="str">
        <f>VLOOKUP($B106,'3、工程合同'!$D:$AL,8,0)</f>
        <v>莆田市秀屿区东庄荔锦水泥制砖场</v>
      </c>
      <c r="J106" s="290">
        <f>VLOOKUP($B106,'3、工程合同'!$D:$AL,9,0)</f>
        <v>0</v>
      </c>
      <c r="K106" s="291" t="str">
        <f>VLOOKUP($B106,'3、工程合同'!$D:$AL,10,0)</f>
        <v>电汇</v>
      </c>
      <c r="L106" s="292" t="str">
        <f>VLOOKUP($B106,'3、工程合同'!$D:$AL,11,0)</f>
        <v>货到交货地点验收合格后，收到全额发票支付</v>
      </c>
      <c r="M106" s="293">
        <f>VLOOKUP($B106,'3、工程合同'!$D:$AL,12,0)</f>
        <v>165168</v>
      </c>
      <c r="N106" s="293">
        <f>VLOOKUP($B106,'3、工程合同'!$D:$AL,13,0)</f>
        <v>149369.16</v>
      </c>
      <c r="O106" s="290">
        <f>VLOOKUP($B106,'3、工程合同'!$D:$AL,14,0)</f>
        <v>0</v>
      </c>
      <c r="P106" s="293">
        <f>VLOOKUP($B106,'3、工程合同'!$D:$AL,15,0)</f>
        <v>0</v>
      </c>
      <c r="Q106" s="293">
        <f>VLOOKUP($B106,'3、工程合同'!$D:$AL,16,0)</f>
        <v>0</v>
      </c>
      <c r="R106" s="290">
        <f>VLOOKUP($B106,'3、工程合同'!$D:$AL,17,0)</f>
        <v>0</v>
      </c>
      <c r="S106" s="293">
        <f>VLOOKUP($B106,'3、工程合同'!$D:$AL,18,0)</f>
        <v>0</v>
      </c>
      <c r="T106" s="293">
        <f>VLOOKUP($B106,'3、工程合同'!$D:$AL,19,0)</f>
        <v>0</v>
      </c>
      <c r="U106" s="290">
        <f>VLOOKUP($B106,'3、工程合同'!$D:$AL,20,0)</f>
        <v>0</v>
      </c>
      <c r="V106" s="293">
        <f>VLOOKUP($B106,'3、工程合同'!$D:$AL,21,0)</f>
        <v>0</v>
      </c>
      <c r="W106" s="293">
        <f>VLOOKUP($B106,'3、工程合同'!$D:$AL,22,0)</f>
        <v>0</v>
      </c>
      <c r="X106" s="290">
        <f>VLOOKUP($B106,'3、工程合同'!$D:$AL,23,0)</f>
        <v>0</v>
      </c>
      <c r="Y106" s="293">
        <f>VLOOKUP($B106,'3、工程合同'!$D:$AL,24,0)</f>
        <v>0</v>
      </c>
      <c r="Z106" s="293">
        <f>VLOOKUP($B106,'3、工程合同'!$D:$AL,25,0)</f>
        <v>0</v>
      </c>
      <c r="AA106" s="290">
        <f>VLOOKUP($B106,'3、工程合同'!$D:$AL,26,0)</f>
        <v>0</v>
      </c>
      <c r="AB106" s="293">
        <f>VLOOKUP($B106,'3、工程合同'!$D:$AL,27,0)</f>
        <v>0</v>
      </c>
      <c r="AC106" s="293">
        <f>VLOOKUP($B106,'3、工程合同'!$D:$AL,28,0)</f>
        <v>0</v>
      </c>
      <c r="AD106" s="290">
        <f>VLOOKUP($B106,'3、工程合同'!$D:$AL,29,0)</f>
        <v>0</v>
      </c>
      <c r="AE106" s="293">
        <f>VLOOKUP($B106,'3、工程合同'!$D:$AL,30,0)</f>
        <v>0</v>
      </c>
      <c r="AF106" s="293">
        <f>VLOOKUP($B106,'3、工程合同'!$D:$AL,31,0)</f>
        <v>0</v>
      </c>
      <c r="AG106" s="293">
        <f>VLOOKUP($B106,'3、工程合同'!$D:$AL,32,0)</f>
        <v>0</v>
      </c>
      <c r="AH106" s="293">
        <f>VLOOKUP($B106,'3、工程合同'!$D:$AL,33,0)</f>
        <v>0</v>
      </c>
      <c r="AI106" s="312">
        <f>VLOOKUP($B106,'3、工程合同'!$D:$AL,34,0)</f>
        <v>0</v>
      </c>
      <c r="AJ106" s="309">
        <f t="shared" si="24"/>
        <v>149369.16</v>
      </c>
      <c r="AK106" s="289">
        <f t="shared" si="25"/>
        <v>15798.84</v>
      </c>
      <c r="AL106" s="310">
        <f t="shared" si="26"/>
        <v>0.904346846846847</v>
      </c>
      <c r="AM106" s="289">
        <f t="shared" si="27"/>
        <v>165168</v>
      </c>
      <c r="AN106" s="311" t="str">
        <f t="shared" si="28"/>
        <v>数据正确</v>
      </c>
    </row>
    <row r="107" s="228" customFormat="1" customHeight="1" spans="1:40">
      <c r="A107" s="228" t="str">
        <f t="shared" si="29"/>
        <v>已完毕</v>
      </c>
      <c r="B107" s="261">
        <v>102</v>
      </c>
      <c r="C107" s="266" t="str">
        <f>VLOOKUP($B107,'3、工程合同'!$D:$AL,2,0)</f>
        <v>YRKJGC-150002</v>
      </c>
      <c r="D107" s="267" t="str">
        <f>VLOOKUP($B107,'3、工程合同'!$D:$AL,3,0)</f>
        <v>工程合同</v>
      </c>
      <c r="E107" s="267" t="str">
        <f>VLOOKUP($B107,'3、工程合同'!$D:$AL,4,0)</f>
        <v>-</v>
      </c>
      <c r="F107" s="268">
        <f>VLOOKUP($B107,'3、工程合同'!$D:$AL,5,0)</f>
        <v>42073</v>
      </c>
      <c r="G107" s="269">
        <f>VLOOKUP($B107,'3、工程合同'!$D:$AL,6,0)</f>
        <v>50295910.32</v>
      </c>
      <c r="H107" s="269" t="str">
        <f>VLOOKUP($B107,'3、工程合同'!$D:$AL,7,0)</f>
        <v>软地基处理工程施工-硬土区（196578.4米*256元/米）</v>
      </c>
      <c r="I107" s="269" t="str">
        <f>VLOOKUP($B107,'3、工程合同'!$D:$AL,8,0)</f>
        <v>福建勘察基础工程公司</v>
      </c>
      <c r="J107" s="290" t="str">
        <f>VLOOKUP($B107,'3、工程合同'!$D:$AL,9,0)</f>
        <v>软基</v>
      </c>
      <c r="K107" s="291" t="str">
        <f>VLOOKUP($B107,'3、工程合同'!$D:$AL,10,0)</f>
        <v>承兑/转账</v>
      </c>
      <c r="L107" s="292" t="str">
        <f>VLOOKUP($B107,'3、工程合同'!$D:$AL,11,0)</f>
        <v>按每月实际进度结算并支付工程进度款的90%</v>
      </c>
      <c r="M107" s="293">
        <f>VLOOKUP($B107,'3、工程合同'!$D:$AL,12,0)</f>
        <v>45266319.288</v>
      </c>
      <c r="N107" s="293">
        <f>VLOOKUP($B107,'3、工程合同'!$D:$AL,13,0)</f>
        <v>50295910.32</v>
      </c>
      <c r="O107" s="290" t="str">
        <f>VLOOKUP($B107,'3、工程合同'!$D:$AL,14,0)</f>
        <v>工程竣工验收合格后支付尾款</v>
      </c>
      <c r="P107" s="293">
        <f>VLOOKUP($B107,'3、工程合同'!$D:$AL,15,0)</f>
        <v>5029591.032</v>
      </c>
      <c r="Q107" s="293">
        <f>VLOOKUP($B107,'3、工程合同'!$D:$AL,16,0)</f>
        <v>0</v>
      </c>
      <c r="R107" s="290">
        <f>VLOOKUP($B107,'3、工程合同'!$D:$AL,17,0)</f>
        <v>0</v>
      </c>
      <c r="S107" s="293">
        <f>VLOOKUP($B107,'3、工程合同'!$D:$AL,18,0)</f>
        <v>0</v>
      </c>
      <c r="T107" s="293">
        <f>VLOOKUP($B107,'3、工程合同'!$D:$AL,19,0)</f>
        <v>0</v>
      </c>
      <c r="U107" s="290">
        <f>VLOOKUP($B107,'3、工程合同'!$D:$AL,20,0)</f>
        <v>0</v>
      </c>
      <c r="V107" s="293">
        <f>VLOOKUP($B107,'3、工程合同'!$D:$AL,21,0)</f>
        <v>0</v>
      </c>
      <c r="W107" s="293">
        <f>VLOOKUP($B107,'3、工程合同'!$D:$AL,22,0)</f>
        <v>0</v>
      </c>
      <c r="X107" s="290">
        <f>VLOOKUP($B107,'3、工程合同'!$D:$AL,23,0)</f>
        <v>0</v>
      </c>
      <c r="Y107" s="293">
        <f>VLOOKUP($B107,'3、工程合同'!$D:$AL,24,0)</f>
        <v>0</v>
      </c>
      <c r="Z107" s="293">
        <f>VLOOKUP($B107,'3、工程合同'!$D:$AL,25,0)</f>
        <v>0</v>
      </c>
      <c r="AA107" s="290">
        <f>VLOOKUP($B107,'3、工程合同'!$D:$AL,26,0)</f>
        <v>0</v>
      </c>
      <c r="AB107" s="293">
        <f>VLOOKUP($B107,'3、工程合同'!$D:$AL,27,0)</f>
        <v>0</v>
      </c>
      <c r="AC107" s="293">
        <f>VLOOKUP($B107,'3、工程合同'!$D:$AL,28,0)</f>
        <v>0</v>
      </c>
      <c r="AD107" s="290">
        <f>VLOOKUP($B107,'3、工程合同'!$D:$AL,29,0)</f>
        <v>0</v>
      </c>
      <c r="AE107" s="293">
        <f>VLOOKUP($B107,'3、工程合同'!$D:$AL,30,0)</f>
        <v>0</v>
      </c>
      <c r="AF107" s="293">
        <f>VLOOKUP($B107,'3、工程合同'!$D:$AL,31,0)</f>
        <v>0</v>
      </c>
      <c r="AG107" s="293">
        <f>VLOOKUP($B107,'3、工程合同'!$D:$AL,32,0)</f>
        <v>0</v>
      </c>
      <c r="AH107" s="293">
        <f>VLOOKUP($B107,'3、工程合同'!$D:$AL,33,0)</f>
        <v>0</v>
      </c>
      <c r="AI107" s="312">
        <f>VLOOKUP($B107,'3、工程合同'!$D:$AL,34,0)</f>
        <v>0</v>
      </c>
      <c r="AJ107" s="309">
        <f t="shared" si="24"/>
        <v>50295910.32</v>
      </c>
      <c r="AK107" s="289">
        <f t="shared" si="25"/>
        <v>0</v>
      </c>
      <c r="AL107" s="310">
        <f t="shared" si="26"/>
        <v>1</v>
      </c>
      <c r="AM107" s="289">
        <f t="shared" si="27"/>
        <v>50295910.32</v>
      </c>
      <c r="AN107" s="311" t="str">
        <f t="shared" si="28"/>
        <v>数据正确</v>
      </c>
    </row>
    <row r="108" s="228" customFormat="1" customHeight="1" spans="1:40">
      <c r="A108" s="228" t="str">
        <f t="shared" si="29"/>
        <v>已完毕</v>
      </c>
      <c r="B108" s="256">
        <v>103</v>
      </c>
      <c r="C108" s="266" t="str">
        <f>VLOOKUP($B108,'3、工程合同'!$D:$AL,2,0)</f>
        <v>YRKJZB-150001</v>
      </c>
      <c r="D108" s="267" t="str">
        <f>VLOOKUP($B108,'3、工程合同'!$D:$AL,3,0)</f>
        <v>工程合同</v>
      </c>
      <c r="E108" s="267" t="str">
        <f>VLOOKUP($B108,'3、工程合同'!$D:$AL,4,0)</f>
        <v>-</v>
      </c>
      <c r="F108" s="268">
        <f>VLOOKUP($B108,'3、工程合同'!$D:$AL,5,0)</f>
        <v>42299</v>
      </c>
      <c r="G108" s="269">
        <f>VLOOKUP($B108,'3、工程合同'!$D:$AL,6,0)</f>
        <v>527700</v>
      </c>
      <c r="H108" s="269" t="str">
        <f>VLOOKUP($B108,'3、工程合同'!$D:$AL,7,0)</f>
        <v>管桩（4000米*125元/米）</v>
      </c>
      <c r="I108" s="269" t="str">
        <f>VLOOKUP($B108,'3、工程合同'!$D:$AL,8,0)</f>
        <v>福建翔达管桩有限公司</v>
      </c>
      <c r="J108" s="290">
        <f>VLOOKUP($B108,'3、工程合同'!$D:$AL,9,0)</f>
        <v>0</v>
      </c>
      <c r="K108" s="291" t="str">
        <f>VLOOKUP($B108,'3、工程合同'!$D:$AL,10,0)</f>
        <v>承兑汇票</v>
      </c>
      <c r="L108" s="292" t="str">
        <f>VLOOKUP($B108,'3、工程合同'!$D:$AL,11,0)</f>
        <v>货到付款，每次供货1000米，验收合格，卖方提供等额的收据给甲方后5日支付，卖方收到货款后3个工作日内提供17%的专票给甲方</v>
      </c>
      <c r="M108" s="293">
        <f>VLOOKUP($B108,'3、工程合同'!$D:$AL,12,0)</f>
        <v>527700</v>
      </c>
      <c r="N108" s="293">
        <f>VLOOKUP($B108,'3、工程合同'!$D:$AL,13,0)</f>
        <v>527700</v>
      </c>
      <c r="O108" s="290">
        <f>VLOOKUP($B108,'3、工程合同'!$D:$AL,14,0)</f>
        <v>0</v>
      </c>
      <c r="P108" s="293">
        <f>VLOOKUP($B108,'3、工程合同'!$D:$AL,15,0)</f>
        <v>0</v>
      </c>
      <c r="Q108" s="293">
        <f>VLOOKUP($B108,'3、工程合同'!$D:$AL,16,0)</f>
        <v>0</v>
      </c>
      <c r="R108" s="290">
        <f>VLOOKUP($B108,'3、工程合同'!$D:$AL,17,0)</f>
        <v>0</v>
      </c>
      <c r="S108" s="293">
        <f>VLOOKUP($B108,'3、工程合同'!$D:$AL,18,0)</f>
        <v>0</v>
      </c>
      <c r="T108" s="293">
        <f>VLOOKUP($B108,'3、工程合同'!$D:$AL,19,0)</f>
        <v>0</v>
      </c>
      <c r="U108" s="290">
        <f>VLOOKUP($B108,'3、工程合同'!$D:$AL,20,0)</f>
        <v>0</v>
      </c>
      <c r="V108" s="293">
        <f>VLOOKUP($B108,'3、工程合同'!$D:$AL,21,0)</f>
        <v>0</v>
      </c>
      <c r="W108" s="293">
        <f>VLOOKUP($B108,'3、工程合同'!$D:$AL,22,0)</f>
        <v>0</v>
      </c>
      <c r="X108" s="290">
        <f>VLOOKUP($B108,'3、工程合同'!$D:$AL,23,0)</f>
        <v>0</v>
      </c>
      <c r="Y108" s="293">
        <f>VLOOKUP($B108,'3、工程合同'!$D:$AL,24,0)</f>
        <v>0</v>
      </c>
      <c r="Z108" s="293">
        <f>VLOOKUP($B108,'3、工程合同'!$D:$AL,25,0)</f>
        <v>0</v>
      </c>
      <c r="AA108" s="290">
        <f>VLOOKUP($B108,'3、工程合同'!$D:$AL,26,0)</f>
        <v>0</v>
      </c>
      <c r="AB108" s="293">
        <f>VLOOKUP($B108,'3、工程合同'!$D:$AL,27,0)</f>
        <v>0</v>
      </c>
      <c r="AC108" s="293">
        <f>VLOOKUP($B108,'3、工程合同'!$D:$AL,28,0)</f>
        <v>0</v>
      </c>
      <c r="AD108" s="290">
        <f>VLOOKUP($B108,'3、工程合同'!$D:$AL,29,0)</f>
        <v>0</v>
      </c>
      <c r="AE108" s="293">
        <f>VLOOKUP($B108,'3、工程合同'!$D:$AL,30,0)</f>
        <v>0</v>
      </c>
      <c r="AF108" s="293">
        <f>VLOOKUP($B108,'3、工程合同'!$D:$AL,31,0)</f>
        <v>0</v>
      </c>
      <c r="AG108" s="293">
        <f>VLOOKUP($B108,'3、工程合同'!$D:$AL,32,0)</f>
        <v>0</v>
      </c>
      <c r="AH108" s="293">
        <f>VLOOKUP($B108,'3、工程合同'!$D:$AL,33,0)</f>
        <v>0</v>
      </c>
      <c r="AI108" s="312">
        <f>VLOOKUP($B108,'3、工程合同'!$D:$AL,34,0)</f>
        <v>0</v>
      </c>
      <c r="AJ108" s="309">
        <f t="shared" si="24"/>
        <v>527700</v>
      </c>
      <c r="AK108" s="289">
        <f t="shared" si="25"/>
        <v>0</v>
      </c>
      <c r="AL108" s="310">
        <f t="shared" si="26"/>
        <v>1</v>
      </c>
      <c r="AM108" s="289">
        <f t="shared" si="27"/>
        <v>527700</v>
      </c>
      <c r="AN108" s="311" t="str">
        <f t="shared" si="28"/>
        <v>数据正确</v>
      </c>
    </row>
    <row r="109" s="228" customFormat="1" customHeight="1" spans="1:40">
      <c r="A109" s="228" t="str">
        <f t="shared" si="29"/>
        <v/>
      </c>
      <c r="B109" s="261">
        <v>104</v>
      </c>
      <c r="C109" s="266" t="str">
        <f>VLOOKUP($B109,'3、工程合同'!$D:$AL,2,0)</f>
        <v>YRKJGC-150012</v>
      </c>
      <c r="D109" s="267" t="str">
        <f>VLOOKUP($B109,'3、工程合同'!$D:$AL,3,0)</f>
        <v>工程合同</v>
      </c>
      <c r="E109" s="267" t="str">
        <f>VLOOKUP($B109,'3、工程合同'!$D:$AL,4,0)</f>
        <v>-</v>
      </c>
      <c r="F109" s="268">
        <f>VLOOKUP($B109,'3、工程合同'!$D:$AL,5,0)</f>
        <v>42302</v>
      </c>
      <c r="G109" s="269">
        <f>VLOOKUP($B109,'3、工程合同'!$D:$AL,6,0)</f>
        <v>37329838</v>
      </c>
      <c r="H109" s="269" t="str">
        <f>VLOOKUP($B109,'3、工程合同'!$D:$AL,7,0)</f>
        <v>厂区道路及水沟、围墙等工程</v>
      </c>
      <c r="I109" s="269" t="str">
        <f>VLOOKUP($B109,'3、工程合同'!$D:$AL,8,0)</f>
        <v>中国化学工程第十三建设有限公司</v>
      </c>
      <c r="J109" s="290">
        <f>VLOOKUP($B109,'3、工程合同'!$D:$AL,9,0)</f>
        <v>0</v>
      </c>
      <c r="K109" s="291" t="str">
        <f>VLOOKUP($B109,'3、工程合同'!$D:$AL,10,0)</f>
        <v>6个月承兑汇票</v>
      </c>
      <c r="L109" s="292" t="str">
        <f>VLOOKUP($B109,'3、工程合同'!$D:$AL,11,0)</f>
        <v>工程：按实际工程量支付80%。履约保证金40万，工程量1/3退还；道路：路基施工验收合格支付40%，路面施工验收合格，支付40%，竣工支付15%，5%质保金</v>
      </c>
      <c r="M109" s="293">
        <f>VLOOKUP($B109,'3、工程合同'!$D:$AL,12,0)</f>
        <v>29863870.4</v>
      </c>
      <c r="N109" s="293">
        <f>VLOOKUP($B109,'3、工程合同'!$D:$AL,13,0)</f>
        <v>10951000</v>
      </c>
      <c r="O109" s="290" t="str">
        <f>VLOOKUP($B109,'3、工程合同'!$D:$AL,14,0)</f>
        <v>竣工结算支付15%</v>
      </c>
      <c r="P109" s="293">
        <f>VLOOKUP($B109,'3、工程合同'!$D:$AL,15,0)</f>
        <v>5599475.7</v>
      </c>
      <c r="Q109" s="293">
        <f>VLOOKUP($B109,'3、工程合同'!$D:$AL,16,0)</f>
        <v>0</v>
      </c>
      <c r="R109" s="290" t="str">
        <f>VLOOKUP($B109,'3、工程合同'!$D:$AL,17,0)</f>
        <v>5%质保金1年</v>
      </c>
      <c r="S109" s="293">
        <f>VLOOKUP($B109,'3、工程合同'!$D:$AL,18,0)</f>
        <v>1866491.9</v>
      </c>
      <c r="T109" s="293">
        <f>VLOOKUP($B109,'3、工程合同'!$D:$AL,19,0)</f>
        <v>0</v>
      </c>
      <c r="U109" s="290">
        <f>VLOOKUP($B109,'3、工程合同'!$D:$AL,20,0)</f>
        <v>0</v>
      </c>
      <c r="V109" s="293">
        <f>VLOOKUP($B109,'3、工程合同'!$D:$AL,21,0)</f>
        <v>0</v>
      </c>
      <c r="W109" s="293">
        <f>VLOOKUP($B109,'3、工程合同'!$D:$AL,22,0)</f>
        <v>0</v>
      </c>
      <c r="X109" s="290">
        <f>VLOOKUP($B109,'3、工程合同'!$D:$AL,23,0)</f>
        <v>0</v>
      </c>
      <c r="Y109" s="293">
        <f>VLOOKUP($B109,'3、工程合同'!$D:$AL,24,0)</f>
        <v>0</v>
      </c>
      <c r="Z109" s="293">
        <f>VLOOKUP($B109,'3、工程合同'!$D:$AL,25,0)</f>
        <v>0</v>
      </c>
      <c r="AA109" s="290">
        <f>VLOOKUP($B109,'3、工程合同'!$D:$AL,26,0)</f>
        <v>0</v>
      </c>
      <c r="AB109" s="293">
        <f>VLOOKUP($B109,'3、工程合同'!$D:$AL,27,0)</f>
        <v>0</v>
      </c>
      <c r="AC109" s="293">
        <f>VLOOKUP($B109,'3、工程合同'!$D:$AL,28,0)</f>
        <v>0</v>
      </c>
      <c r="AD109" s="290">
        <f>VLOOKUP($B109,'3、工程合同'!$D:$AL,29,0)</f>
        <v>0</v>
      </c>
      <c r="AE109" s="293">
        <f>VLOOKUP($B109,'3、工程合同'!$D:$AL,30,0)</f>
        <v>0</v>
      </c>
      <c r="AF109" s="293">
        <f>VLOOKUP($B109,'3、工程合同'!$D:$AL,31,0)</f>
        <v>0</v>
      </c>
      <c r="AG109" s="293">
        <f>VLOOKUP($B109,'3、工程合同'!$D:$AL,32,0)</f>
        <v>0</v>
      </c>
      <c r="AH109" s="293">
        <f>VLOOKUP($B109,'3、工程合同'!$D:$AL,33,0)</f>
        <v>0</v>
      </c>
      <c r="AI109" s="312">
        <f>VLOOKUP($B109,'3、工程合同'!$D:$AL,34,0)</f>
        <v>0</v>
      </c>
      <c r="AJ109" s="309">
        <f t="shared" si="24"/>
        <v>10951000</v>
      </c>
      <c r="AK109" s="289">
        <f t="shared" si="25"/>
        <v>26378838</v>
      </c>
      <c r="AL109" s="310">
        <f t="shared" si="26"/>
        <v>0.293357822769014</v>
      </c>
      <c r="AM109" s="289">
        <f t="shared" si="27"/>
        <v>37329838</v>
      </c>
      <c r="AN109" s="311" t="str">
        <f t="shared" si="28"/>
        <v>数据正确</v>
      </c>
    </row>
    <row r="110" s="228" customFormat="1" customHeight="1" spans="1:40">
      <c r="A110" s="228" t="str">
        <f t="shared" si="29"/>
        <v/>
      </c>
      <c r="B110" s="261">
        <v>105</v>
      </c>
      <c r="C110" s="266" t="str">
        <f>VLOOKUP($B110,'3、工程合同'!$D:$AL,2,0)</f>
        <v>YRKJGC-160001</v>
      </c>
      <c r="D110" s="267" t="str">
        <f>VLOOKUP($B110,'3、工程合同'!$D:$AL,3,0)</f>
        <v>工程合同</v>
      </c>
      <c r="E110" s="267" t="str">
        <f>VLOOKUP($B110,'3、工程合同'!$D:$AL,4,0)</f>
        <v>-</v>
      </c>
      <c r="F110" s="268">
        <f>VLOOKUP($B110,'3、工程合同'!$D:$AL,5,0)</f>
        <v>42445</v>
      </c>
      <c r="G110" s="269">
        <f>VLOOKUP($B110,'3、工程合同'!$D:$AL,6,0)</f>
        <v>65240</v>
      </c>
      <c r="H110" s="269" t="str">
        <f>VLOOKUP($B110,'3、工程合同'!$D:$AL,7,0)</f>
        <v>水泥管带钢筋（466根*140元/根）</v>
      </c>
      <c r="I110" s="269" t="str">
        <f>VLOOKUP($B110,'3、工程合同'!$D:$AL,8,0)</f>
        <v>莆田市永腾新型建材有限公司</v>
      </c>
      <c r="J110" s="290">
        <f>VLOOKUP($B110,'3、工程合同'!$D:$AL,9,0)</f>
        <v>0</v>
      </c>
      <c r="K110" s="291" t="str">
        <f>VLOOKUP($B110,'3、工程合同'!$D:$AL,10,0)</f>
        <v>电汇</v>
      </c>
      <c r="L110" s="292" t="str">
        <f>VLOOKUP($B110,'3、工程合同'!$D:$AL,11,0)</f>
        <v>预付款60%</v>
      </c>
      <c r="M110" s="293">
        <f>VLOOKUP($B110,'3、工程合同'!$D:$AL,12,0)</f>
        <v>39144</v>
      </c>
      <c r="N110" s="293">
        <f>VLOOKUP($B110,'3、工程合同'!$D:$AL,13,0)</f>
        <v>39144</v>
      </c>
      <c r="O110" s="290" t="str">
        <f>VLOOKUP($B110,'3、工程合同'!$D:$AL,14,0)</f>
        <v>货到一个月内付清，全额普票</v>
      </c>
      <c r="P110" s="293">
        <f>VLOOKUP($B110,'3、工程合同'!$D:$AL,15,0)</f>
        <v>26096</v>
      </c>
      <c r="Q110" s="293">
        <f>VLOOKUP($B110,'3、工程合同'!$D:$AL,16,0)</f>
        <v>8000</v>
      </c>
      <c r="R110" s="290">
        <f>VLOOKUP($B110,'3、工程合同'!$D:$AL,17,0)</f>
        <v>0</v>
      </c>
      <c r="S110" s="293">
        <f>VLOOKUP($B110,'3、工程合同'!$D:$AL,18,0)</f>
        <v>0</v>
      </c>
      <c r="T110" s="293">
        <f>VLOOKUP($B110,'3、工程合同'!$D:$AL,19,0)</f>
        <v>0</v>
      </c>
      <c r="U110" s="290">
        <f>VLOOKUP($B110,'3、工程合同'!$D:$AL,20,0)</f>
        <v>0</v>
      </c>
      <c r="V110" s="293">
        <f>VLOOKUP($B110,'3、工程合同'!$D:$AL,21,0)</f>
        <v>0</v>
      </c>
      <c r="W110" s="293">
        <f>VLOOKUP($B110,'3、工程合同'!$D:$AL,22,0)</f>
        <v>0</v>
      </c>
      <c r="X110" s="290">
        <f>VLOOKUP($B110,'3、工程合同'!$D:$AL,23,0)</f>
        <v>0</v>
      </c>
      <c r="Y110" s="293">
        <f>VLOOKUP($B110,'3、工程合同'!$D:$AL,24,0)</f>
        <v>0</v>
      </c>
      <c r="Z110" s="293">
        <f>VLOOKUP($B110,'3、工程合同'!$D:$AL,25,0)</f>
        <v>0</v>
      </c>
      <c r="AA110" s="290">
        <f>VLOOKUP($B110,'3、工程合同'!$D:$AL,26,0)</f>
        <v>0</v>
      </c>
      <c r="AB110" s="293">
        <f>VLOOKUP($B110,'3、工程合同'!$D:$AL,27,0)</f>
        <v>0</v>
      </c>
      <c r="AC110" s="293">
        <f>VLOOKUP($B110,'3、工程合同'!$D:$AL,28,0)</f>
        <v>0</v>
      </c>
      <c r="AD110" s="290">
        <f>VLOOKUP($B110,'3、工程合同'!$D:$AL,29,0)</f>
        <v>0</v>
      </c>
      <c r="AE110" s="293">
        <f>VLOOKUP($B110,'3、工程合同'!$D:$AL,30,0)</f>
        <v>0</v>
      </c>
      <c r="AF110" s="293">
        <f>VLOOKUP($B110,'3、工程合同'!$D:$AL,31,0)</f>
        <v>0</v>
      </c>
      <c r="AG110" s="293">
        <f>VLOOKUP($B110,'3、工程合同'!$D:$AL,32,0)</f>
        <v>0</v>
      </c>
      <c r="AH110" s="293">
        <f>VLOOKUP($B110,'3、工程合同'!$D:$AL,33,0)</f>
        <v>0</v>
      </c>
      <c r="AI110" s="312">
        <f>VLOOKUP($B110,'3、工程合同'!$D:$AL,34,0)</f>
        <v>0</v>
      </c>
      <c r="AJ110" s="309">
        <f t="shared" si="24"/>
        <v>47144</v>
      </c>
      <c r="AK110" s="289">
        <f t="shared" si="25"/>
        <v>18096</v>
      </c>
      <c r="AL110" s="310">
        <f t="shared" si="26"/>
        <v>0.722624156958921</v>
      </c>
      <c r="AM110" s="289">
        <f t="shared" si="27"/>
        <v>65240</v>
      </c>
      <c r="AN110" s="311" t="str">
        <f t="shared" si="28"/>
        <v>数据正确</v>
      </c>
    </row>
    <row r="111" s="228" customFormat="1" customHeight="1" spans="1:40">
      <c r="A111" s="228" t="str">
        <f t="shared" si="29"/>
        <v/>
      </c>
      <c r="B111" s="256">
        <v>106</v>
      </c>
      <c r="C111" s="266" t="str">
        <f>VLOOKUP($B111,'3、工程合同'!$D:$AL,2,0)</f>
        <v>QS-16-048</v>
      </c>
      <c r="D111" s="267" t="str">
        <f>VLOOKUP($B111,'3、工程合同'!$D:$AL,3,0)</f>
        <v>工程合同</v>
      </c>
      <c r="E111" s="267" t="str">
        <f>VLOOKUP($B111,'3、工程合同'!$D:$AL,4,0)</f>
        <v>-</v>
      </c>
      <c r="F111" s="268">
        <f>VLOOKUP($B111,'3、工程合同'!$D:$AL,5,0)</f>
        <v>42490</v>
      </c>
      <c r="G111" s="269">
        <f>VLOOKUP($B111,'3、工程合同'!$D:$AL,6,0)</f>
        <v>22127</v>
      </c>
      <c r="H111" s="269" t="str">
        <f>VLOOKUP($B111,'3、工程合同'!$D:$AL,7,0)</f>
        <v>建筑工程施工图文件审查</v>
      </c>
      <c r="I111" s="269" t="str">
        <f>VLOOKUP($B111,'3、工程合同'!$D:$AL,8,0)</f>
        <v>泉州市建设工程施工图审查中心有限公司</v>
      </c>
      <c r="J111" s="290">
        <f>VLOOKUP($B111,'3、工程合同'!$D:$AL,9,0)</f>
        <v>0</v>
      </c>
      <c r="K111" s="291" t="str">
        <f>VLOOKUP($B111,'3、工程合同'!$D:$AL,10,0)</f>
        <v>电汇</v>
      </c>
      <c r="L111" s="292" t="str">
        <f>VLOOKUP($B111,'3、工程合同'!$D:$AL,11,0)</f>
        <v>乙方完成施工图意见或报告前，全额付清</v>
      </c>
      <c r="M111" s="293">
        <f>VLOOKUP($B111,'3、工程合同'!$D:$AL,12,0)</f>
        <v>22127</v>
      </c>
      <c r="N111" s="293">
        <f>VLOOKUP($B111,'3、工程合同'!$D:$AL,13,0)</f>
        <v>0</v>
      </c>
      <c r="O111" s="290">
        <f>VLOOKUP($B111,'3、工程合同'!$D:$AL,14,0)</f>
        <v>0</v>
      </c>
      <c r="P111" s="293">
        <f>VLOOKUP($B111,'3、工程合同'!$D:$AL,15,0)</f>
        <v>0</v>
      </c>
      <c r="Q111" s="293">
        <f>VLOOKUP($B111,'3、工程合同'!$D:$AL,16,0)</f>
        <v>0</v>
      </c>
      <c r="R111" s="290">
        <f>VLOOKUP($B111,'3、工程合同'!$D:$AL,17,0)</f>
        <v>0</v>
      </c>
      <c r="S111" s="293">
        <f>VLOOKUP($B111,'3、工程合同'!$D:$AL,18,0)</f>
        <v>0</v>
      </c>
      <c r="T111" s="293">
        <f>VLOOKUP($B111,'3、工程合同'!$D:$AL,19,0)</f>
        <v>0</v>
      </c>
      <c r="U111" s="290">
        <f>VLOOKUP($B111,'3、工程合同'!$D:$AL,20,0)</f>
        <v>0</v>
      </c>
      <c r="V111" s="293">
        <f>VLOOKUP($B111,'3、工程合同'!$D:$AL,21,0)</f>
        <v>0</v>
      </c>
      <c r="W111" s="293">
        <f>VLOOKUP($B111,'3、工程合同'!$D:$AL,22,0)</f>
        <v>0</v>
      </c>
      <c r="X111" s="290">
        <f>VLOOKUP($B111,'3、工程合同'!$D:$AL,23,0)</f>
        <v>0</v>
      </c>
      <c r="Y111" s="293">
        <f>VLOOKUP($B111,'3、工程合同'!$D:$AL,24,0)</f>
        <v>0</v>
      </c>
      <c r="Z111" s="293">
        <f>VLOOKUP($B111,'3、工程合同'!$D:$AL,25,0)</f>
        <v>0</v>
      </c>
      <c r="AA111" s="290">
        <f>VLOOKUP($B111,'3、工程合同'!$D:$AL,26,0)</f>
        <v>0</v>
      </c>
      <c r="AB111" s="293">
        <f>VLOOKUP($B111,'3、工程合同'!$D:$AL,27,0)</f>
        <v>0</v>
      </c>
      <c r="AC111" s="293">
        <f>VLOOKUP($B111,'3、工程合同'!$D:$AL,28,0)</f>
        <v>0</v>
      </c>
      <c r="AD111" s="290">
        <f>VLOOKUP($B111,'3、工程合同'!$D:$AL,29,0)</f>
        <v>0</v>
      </c>
      <c r="AE111" s="293">
        <f>VLOOKUP($B111,'3、工程合同'!$D:$AL,30,0)</f>
        <v>0</v>
      </c>
      <c r="AF111" s="293">
        <f>VLOOKUP($B111,'3、工程合同'!$D:$AL,31,0)</f>
        <v>0</v>
      </c>
      <c r="AG111" s="293">
        <f>VLOOKUP($B111,'3、工程合同'!$D:$AL,32,0)</f>
        <v>0</v>
      </c>
      <c r="AH111" s="293">
        <f>VLOOKUP($B111,'3、工程合同'!$D:$AL,33,0)</f>
        <v>0</v>
      </c>
      <c r="AI111" s="312">
        <f>VLOOKUP($B111,'3、工程合同'!$D:$AL,34,0)</f>
        <v>0</v>
      </c>
      <c r="AJ111" s="309">
        <f t="shared" si="24"/>
        <v>0</v>
      </c>
      <c r="AK111" s="289">
        <f t="shared" si="25"/>
        <v>22127</v>
      </c>
      <c r="AL111" s="310">
        <f t="shared" si="26"/>
        <v>0</v>
      </c>
      <c r="AM111" s="289">
        <f t="shared" si="27"/>
        <v>22127</v>
      </c>
      <c r="AN111" s="311" t="str">
        <f t="shared" si="28"/>
        <v>数据正确</v>
      </c>
    </row>
    <row r="112" s="228" customFormat="1" customHeight="1" spans="1:40">
      <c r="A112" s="228" t="str">
        <f t="shared" si="29"/>
        <v/>
      </c>
      <c r="B112" s="261">
        <v>107</v>
      </c>
      <c r="C112" s="266" t="str">
        <f>VLOOKUP($B112,'3、工程合同'!$D:$AL,2,0)</f>
        <v>QS-16-071</v>
      </c>
      <c r="D112" s="267" t="str">
        <f>VLOOKUP($B112,'3、工程合同'!$D:$AL,3,0)</f>
        <v>工程合同</v>
      </c>
      <c r="E112" s="267" t="str">
        <f>VLOOKUP($B112,'3、工程合同'!$D:$AL,4,0)</f>
        <v>-</v>
      </c>
      <c r="F112" s="268">
        <f>VLOOKUP($B112,'3、工程合同'!$D:$AL,5,0)</f>
        <v>42551</v>
      </c>
      <c r="G112" s="269">
        <f>VLOOKUP($B112,'3、工程合同'!$D:$AL,6,0)</f>
        <v>8115</v>
      </c>
      <c r="H112" s="269" t="str">
        <f>VLOOKUP($B112,'3、工程合同'!$D:$AL,7,0)</f>
        <v>建筑工程施工图文件审查</v>
      </c>
      <c r="I112" s="269" t="str">
        <f>VLOOKUP($B112,'3、工程合同'!$D:$AL,8,0)</f>
        <v>泉州市建设工程施工图审查中心有限公司</v>
      </c>
      <c r="J112" s="290">
        <f>VLOOKUP($B112,'3、工程合同'!$D:$AL,9,0)</f>
        <v>0</v>
      </c>
      <c r="K112" s="291" t="str">
        <f>VLOOKUP($B112,'3、工程合同'!$D:$AL,10,0)</f>
        <v>电汇</v>
      </c>
      <c r="L112" s="292" t="str">
        <f>VLOOKUP($B112,'3、工程合同'!$D:$AL,11,0)</f>
        <v>乙方完成施工图意见或报告前，全额付清</v>
      </c>
      <c r="M112" s="293">
        <f>VLOOKUP($B112,'3、工程合同'!$D:$AL,12,0)</f>
        <v>8115</v>
      </c>
      <c r="N112" s="293">
        <f>VLOOKUP($B112,'3、工程合同'!$D:$AL,13,0)</f>
        <v>0</v>
      </c>
      <c r="O112" s="290">
        <f>VLOOKUP($B112,'3、工程合同'!$D:$AL,14,0)</f>
        <v>0</v>
      </c>
      <c r="P112" s="293">
        <f>VLOOKUP($B112,'3、工程合同'!$D:$AL,15,0)</f>
        <v>0</v>
      </c>
      <c r="Q112" s="293">
        <f>VLOOKUP($B112,'3、工程合同'!$D:$AL,16,0)</f>
        <v>0</v>
      </c>
      <c r="R112" s="290">
        <f>VLOOKUP($B112,'3、工程合同'!$D:$AL,17,0)</f>
        <v>0</v>
      </c>
      <c r="S112" s="293">
        <f>VLOOKUP($B112,'3、工程合同'!$D:$AL,18,0)</f>
        <v>0</v>
      </c>
      <c r="T112" s="293">
        <f>VLOOKUP($B112,'3、工程合同'!$D:$AL,19,0)</f>
        <v>0</v>
      </c>
      <c r="U112" s="290">
        <f>VLOOKUP($B112,'3、工程合同'!$D:$AL,20,0)</f>
        <v>0</v>
      </c>
      <c r="V112" s="293">
        <f>VLOOKUP($B112,'3、工程合同'!$D:$AL,21,0)</f>
        <v>0</v>
      </c>
      <c r="W112" s="293">
        <f>VLOOKUP($B112,'3、工程合同'!$D:$AL,22,0)</f>
        <v>0</v>
      </c>
      <c r="X112" s="290">
        <f>VLOOKUP($B112,'3、工程合同'!$D:$AL,23,0)</f>
        <v>0</v>
      </c>
      <c r="Y112" s="293">
        <f>VLOOKUP($B112,'3、工程合同'!$D:$AL,24,0)</f>
        <v>0</v>
      </c>
      <c r="Z112" s="293">
        <f>VLOOKUP($B112,'3、工程合同'!$D:$AL,25,0)</f>
        <v>0</v>
      </c>
      <c r="AA112" s="290">
        <f>VLOOKUP($B112,'3、工程合同'!$D:$AL,26,0)</f>
        <v>0</v>
      </c>
      <c r="AB112" s="293">
        <f>VLOOKUP($B112,'3、工程合同'!$D:$AL,27,0)</f>
        <v>0</v>
      </c>
      <c r="AC112" s="293">
        <f>VLOOKUP($B112,'3、工程合同'!$D:$AL,28,0)</f>
        <v>0</v>
      </c>
      <c r="AD112" s="290">
        <f>VLOOKUP($B112,'3、工程合同'!$D:$AL,29,0)</f>
        <v>0</v>
      </c>
      <c r="AE112" s="293">
        <f>VLOOKUP($B112,'3、工程合同'!$D:$AL,30,0)</f>
        <v>0</v>
      </c>
      <c r="AF112" s="293">
        <f>VLOOKUP($B112,'3、工程合同'!$D:$AL,31,0)</f>
        <v>0</v>
      </c>
      <c r="AG112" s="293">
        <f>VLOOKUP($B112,'3、工程合同'!$D:$AL,32,0)</f>
        <v>0</v>
      </c>
      <c r="AH112" s="293">
        <f>VLOOKUP($B112,'3、工程合同'!$D:$AL,33,0)</f>
        <v>0</v>
      </c>
      <c r="AI112" s="312">
        <f>VLOOKUP($B112,'3、工程合同'!$D:$AL,34,0)</f>
        <v>0</v>
      </c>
      <c r="AJ112" s="309">
        <f t="shared" si="24"/>
        <v>0</v>
      </c>
      <c r="AK112" s="289">
        <f t="shared" si="25"/>
        <v>8115</v>
      </c>
      <c r="AL112" s="310">
        <f t="shared" si="26"/>
        <v>0</v>
      </c>
      <c r="AM112" s="289">
        <f t="shared" si="27"/>
        <v>8115</v>
      </c>
      <c r="AN112" s="311" t="str">
        <f t="shared" si="28"/>
        <v>数据正确</v>
      </c>
    </row>
    <row r="113" s="228" customFormat="1" customHeight="1" spans="1:40">
      <c r="A113" s="228" t="str">
        <f t="shared" si="29"/>
        <v/>
      </c>
      <c r="B113" s="261">
        <v>108</v>
      </c>
      <c r="C113" s="266" t="str">
        <f>VLOOKUP($B113,'3、工程合同'!$D:$AL,2,0)</f>
        <v>QS-16-152</v>
      </c>
      <c r="D113" s="267" t="str">
        <f>VLOOKUP($B113,'3、工程合同'!$D:$AL,3,0)</f>
        <v>工程合同</v>
      </c>
      <c r="E113" s="267" t="str">
        <f>VLOOKUP($B113,'3、工程合同'!$D:$AL,4,0)</f>
        <v>-</v>
      </c>
      <c r="F113" s="268">
        <f>VLOOKUP($B113,'3、工程合同'!$D:$AL,5,0)</f>
        <v>42704</v>
      </c>
      <c r="G113" s="269">
        <f>VLOOKUP($B113,'3、工程合同'!$D:$AL,6,0)</f>
        <v>28461</v>
      </c>
      <c r="H113" s="269" t="str">
        <f>VLOOKUP($B113,'3、工程合同'!$D:$AL,7,0)</f>
        <v>建筑工程施工图文件审查</v>
      </c>
      <c r="I113" s="269" t="str">
        <f>VLOOKUP($B113,'3、工程合同'!$D:$AL,8,0)</f>
        <v>泉州市建设工程施工图审查中心有限公司</v>
      </c>
      <c r="J113" s="290">
        <f>VLOOKUP($B113,'3、工程合同'!$D:$AL,9,0)</f>
        <v>0</v>
      </c>
      <c r="K113" s="291" t="str">
        <f>VLOOKUP($B113,'3、工程合同'!$D:$AL,10,0)</f>
        <v>电汇</v>
      </c>
      <c r="L113" s="292" t="str">
        <f>VLOOKUP($B113,'3、工程合同'!$D:$AL,11,0)</f>
        <v>乙方完成施工图意见或报告前，全额付清</v>
      </c>
      <c r="M113" s="293">
        <f>VLOOKUP($B113,'3、工程合同'!$D:$AL,12,0)</f>
        <v>28461</v>
      </c>
      <c r="N113" s="293">
        <f>VLOOKUP($B113,'3、工程合同'!$D:$AL,13,0)</f>
        <v>24694</v>
      </c>
      <c r="O113" s="290">
        <f>VLOOKUP($B113,'3、工程合同'!$D:$AL,14,0)</f>
        <v>0</v>
      </c>
      <c r="P113" s="293">
        <f>VLOOKUP($B113,'3、工程合同'!$D:$AL,15,0)</f>
        <v>0</v>
      </c>
      <c r="Q113" s="293">
        <f>VLOOKUP($B113,'3、工程合同'!$D:$AL,16,0)</f>
        <v>0</v>
      </c>
      <c r="R113" s="290">
        <f>VLOOKUP($B113,'3、工程合同'!$D:$AL,17,0)</f>
        <v>0</v>
      </c>
      <c r="S113" s="293">
        <f>VLOOKUP($B113,'3、工程合同'!$D:$AL,18,0)</f>
        <v>0</v>
      </c>
      <c r="T113" s="293">
        <f>VLOOKUP($B113,'3、工程合同'!$D:$AL,19,0)</f>
        <v>0</v>
      </c>
      <c r="U113" s="290">
        <f>VLOOKUP($B113,'3、工程合同'!$D:$AL,20,0)</f>
        <v>0</v>
      </c>
      <c r="V113" s="293">
        <f>VLOOKUP($B113,'3、工程合同'!$D:$AL,21,0)</f>
        <v>0</v>
      </c>
      <c r="W113" s="293">
        <f>VLOOKUP($B113,'3、工程合同'!$D:$AL,22,0)</f>
        <v>0</v>
      </c>
      <c r="X113" s="290">
        <f>VLOOKUP($B113,'3、工程合同'!$D:$AL,23,0)</f>
        <v>0</v>
      </c>
      <c r="Y113" s="293">
        <f>VLOOKUP($B113,'3、工程合同'!$D:$AL,24,0)</f>
        <v>0</v>
      </c>
      <c r="Z113" s="293">
        <f>VLOOKUP($B113,'3、工程合同'!$D:$AL,25,0)</f>
        <v>0</v>
      </c>
      <c r="AA113" s="290">
        <f>VLOOKUP($B113,'3、工程合同'!$D:$AL,26,0)</f>
        <v>0</v>
      </c>
      <c r="AB113" s="293">
        <f>VLOOKUP($B113,'3、工程合同'!$D:$AL,27,0)</f>
        <v>0</v>
      </c>
      <c r="AC113" s="293">
        <f>VLOOKUP($B113,'3、工程合同'!$D:$AL,28,0)</f>
        <v>0</v>
      </c>
      <c r="AD113" s="290">
        <f>VLOOKUP($B113,'3、工程合同'!$D:$AL,29,0)</f>
        <v>0</v>
      </c>
      <c r="AE113" s="293">
        <f>VLOOKUP($B113,'3、工程合同'!$D:$AL,30,0)</f>
        <v>0</v>
      </c>
      <c r="AF113" s="293">
        <f>VLOOKUP($B113,'3、工程合同'!$D:$AL,31,0)</f>
        <v>0</v>
      </c>
      <c r="AG113" s="293">
        <f>VLOOKUP($B113,'3、工程合同'!$D:$AL,32,0)</f>
        <v>0</v>
      </c>
      <c r="AH113" s="293">
        <f>VLOOKUP($B113,'3、工程合同'!$D:$AL,33,0)</f>
        <v>0</v>
      </c>
      <c r="AI113" s="312">
        <f>VLOOKUP($B113,'3、工程合同'!$D:$AL,34,0)</f>
        <v>0</v>
      </c>
      <c r="AJ113" s="309">
        <f t="shared" si="24"/>
        <v>24694</v>
      </c>
      <c r="AK113" s="289">
        <f t="shared" si="25"/>
        <v>3767</v>
      </c>
      <c r="AL113" s="310">
        <f t="shared" si="26"/>
        <v>0.867643441902955</v>
      </c>
      <c r="AM113" s="289">
        <f t="shared" si="27"/>
        <v>28461</v>
      </c>
      <c r="AN113" s="311" t="str">
        <f t="shared" si="28"/>
        <v>数据正确</v>
      </c>
    </row>
    <row r="114" s="228" customFormat="1" customHeight="1" spans="1:40">
      <c r="A114" s="228" t="str">
        <f t="shared" si="29"/>
        <v/>
      </c>
      <c r="B114" s="256">
        <v>109</v>
      </c>
      <c r="C114" s="262" t="str">
        <f>VLOOKUP($B114,'2、设备合同'!$D:$AK,2,0)</f>
        <v>YRSHEQ-150004</v>
      </c>
      <c r="D114" s="263" t="str">
        <f>VLOOKUP($B114,'2、设备合同'!$D:$AK,3,0)</f>
        <v>设备合同</v>
      </c>
      <c r="E114" s="263" t="str">
        <f>VLOOKUP($B114,'2、设备合同'!$D:$AK,4,0)</f>
        <v>-</v>
      </c>
      <c r="F114" s="264">
        <f>VLOOKUP($B114,'2、设备合同'!$D:$AK,5,0)</f>
        <v>42091</v>
      </c>
      <c r="G114" s="265">
        <f>VLOOKUP($B114,'2、设备合同'!$D:$AK,6,0)</f>
        <v>144980</v>
      </c>
      <c r="H114" s="265" t="str">
        <f>VLOOKUP($B114,'2、设备合同'!$D:$AK,7,0)</f>
        <v>低压配电柜11台</v>
      </c>
      <c r="I114" s="265" t="str">
        <f>VLOOKUP($B114,'2、设备合同'!$D:$AK,8,0)</f>
        <v>福州福大自动化科技有限公司</v>
      </c>
      <c r="J114" s="286">
        <f>VLOOKUP($B114,'2、设备合同'!$D:$AK,9,0)</f>
        <v>0</v>
      </c>
      <c r="K114" s="287" t="str">
        <f>VLOOKUP($B114,'2、设备合同'!$D:$AK,10,0)</f>
        <v>承兑汇票</v>
      </c>
      <c r="L114" s="288" t="str">
        <f>VLOOKUP($B114,'2、设备合同'!$D:$AK,11,0)</f>
        <v>货到交货地点验收合格支付95%</v>
      </c>
      <c r="M114" s="289">
        <f>VLOOKUP($B114,'2、设备合同'!$D:$AK,12,0)</f>
        <v>137731</v>
      </c>
      <c r="N114" s="289">
        <f>VLOOKUP($B114,'2、设备合同'!$D:$AK,13,0)</f>
        <v>108735</v>
      </c>
      <c r="O114" s="286" t="str">
        <f>VLOOKUP($B114,'2、设备合同'!$D:$AK,14,0)</f>
        <v>5%质保金</v>
      </c>
      <c r="P114" s="289">
        <f>VLOOKUP($B114,'2、设备合同'!$D:$AK,15,0)</f>
        <v>7249</v>
      </c>
      <c r="Q114" s="289">
        <f>VLOOKUP($B114,'2、设备合同'!$D:$AK,16,0)</f>
        <v>0</v>
      </c>
      <c r="R114" s="286">
        <f>VLOOKUP($B114,'2、设备合同'!$D:$AK,17,0)</f>
        <v>0</v>
      </c>
      <c r="S114" s="289">
        <f>VLOOKUP($B114,'2、设备合同'!$D:$AK,18,0)</f>
        <v>0</v>
      </c>
      <c r="T114" s="289">
        <f>VLOOKUP($B114,'2、设备合同'!$D:$AK,19,0)</f>
        <v>0</v>
      </c>
      <c r="U114" s="286">
        <f>VLOOKUP($B114,'2、设备合同'!$D:$AK,20,0)</f>
        <v>0</v>
      </c>
      <c r="V114" s="289">
        <f>VLOOKUP($B114,'2、设备合同'!$D:$AK,21,0)</f>
        <v>0</v>
      </c>
      <c r="W114" s="289">
        <f>VLOOKUP($B114,'2、设备合同'!$D:$AK,22,0)</f>
        <v>0</v>
      </c>
      <c r="X114" s="286">
        <f>VLOOKUP($B114,'2、设备合同'!$D:$AK,23,0)</f>
        <v>0</v>
      </c>
      <c r="Y114" s="289">
        <f>VLOOKUP($B114,'2、设备合同'!$D:$AK,24,0)</f>
        <v>0</v>
      </c>
      <c r="Z114" s="289">
        <f>VLOOKUP($B114,'2、设备合同'!$D:$AK,25,0)</f>
        <v>0</v>
      </c>
      <c r="AA114" s="286">
        <f>VLOOKUP($B114,'2、设备合同'!$D:$AK,26,0)</f>
        <v>0</v>
      </c>
      <c r="AB114" s="289">
        <f>VLOOKUP($B114,'2、设备合同'!$D:$AK,27,0)</f>
        <v>0</v>
      </c>
      <c r="AC114" s="289">
        <f>VLOOKUP($B114,'2、设备合同'!$D:$AK,28,0)</f>
        <v>0</v>
      </c>
      <c r="AD114" s="286">
        <f>VLOOKUP($B114,'2、设备合同'!$D:$AK,29,0)</f>
        <v>0</v>
      </c>
      <c r="AE114" s="289">
        <f>VLOOKUP($B114,'2、设备合同'!$D:$AK,30,0)</f>
        <v>0</v>
      </c>
      <c r="AF114" s="289">
        <f>VLOOKUP($B114,'2、设备合同'!$D:$AK,31,0)</f>
        <v>0</v>
      </c>
      <c r="AG114" s="289">
        <f>VLOOKUP($B114,'2、设备合同'!$D:$AK,32,0)</f>
        <v>0</v>
      </c>
      <c r="AH114" s="289">
        <f>VLOOKUP($B114,'2、设备合同'!$D:$AK,33,0)</f>
        <v>0</v>
      </c>
      <c r="AI114" s="308">
        <f>VLOOKUP($B114,'2、设备合同'!$D:$AK,34,0)</f>
        <v>0</v>
      </c>
      <c r="AJ114" s="309">
        <f t="shared" si="24"/>
        <v>108735</v>
      </c>
      <c r="AK114" s="289">
        <f t="shared" si="25"/>
        <v>36245</v>
      </c>
      <c r="AL114" s="310">
        <f t="shared" si="26"/>
        <v>0.75</v>
      </c>
      <c r="AM114" s="289">
        <f t="shared" si="27"/>
        <v>144980</v>
      </c>
      <c r="AN114" s="311" t="str">
        <f t="shared" si="28"/>
        <v>数据正确</v>
      </c>
    </row>
    <row r="115" s="228" customFormat="1" customHeight="1" spans="1:40">
      <c r="A115" s="228" t="str">
        <f t="shared" si="29"/>
        <v/>
      </c>
      <c r="B115" s="261">
        <v>110</v>
      </c>
      <c r="C115" s="262" t="str">
        <f>VLOOKUP($B115,'2、设备合同'!$D:$AK,2,0)</f>
        <v>物-X150302430号</v>
      </c>
      <c r="D115" s="263" t="str">
        <f>VLOOKUP($B115,'2、设备合同'!$D:$AK,3,0)</f>
        <v>设备合同</v>
      </c>
      <c r="E115" s="263" t="str">
        <f>VLOOKUP($B115,'2、设备合同'!$D:$AK,4,0)</f>
        <v>-</v>
      </c>
      <c r="F115" s="264">
        <f>VLOOKUP($B115,'2、设备合同'!$D:$AK,5,0)</f>
        <v>42240</v>
      </c>
      <c r="G115" s="265">
        <f>VLOOKUP($B115,'2、设备合同'!$D:$AK,6,0)</f>
        <v>409300</v>
      </c>
      <c r="H115" s="265" t="str">
        <f>VLOOKUP($B115,'2、设备合同'!$D:$AK,7,0)</f>
        <v>油变10台、分界式断路器1台</v>
      </c>
      <c r="I115" s="265" t="str">
        <f>VLOOKUP($B115,'2、设备合同'!$D:$AK,8,0)</f>
        <v>莆田亿力电力物资有限公司</v>
      </c>
      <c r="J115" s="286">
        <f>VLOOKUP($B115,'2、设备合同'!$D:$AK,9,0)</f>
        <v>0</v>
      </c>
      <c r="K115" s="287" t="str">
        <f>VLOOKUP($B115,'2、设备合同'!$D:$AK,10,0)</f>
        <v>承兑汇票</v>
      </c>
      <c r="L115" s="288" t="str">
        <f>VLOOKUP($B115,'2、设备合同'!$D:$AK,11,0)</f>
        <v>货到交货地点验收合格支付95%</v>
      </c>
      <c r="M115" s="289">
        <f>VLOOKUP($B115,'2、设备合同'!$D:$AK,12,0)</f>
        <v>388835</v>
      </c>
      <c r="N115" s="289">
        <f>VLOOKUP($B115,'2、设备合同'!$D:$AK,13,0)</f>
        <v>388835</v>
      </c>
      <c r="O115" s="286" t="str">
        <f>VLOOKUP($B115,'2、设备合同'!$D:$AK,14,0)</f>
        <v>5%质保金1年</v>
      </c>
      <c r="P115" s="289">
        <f>VLOOKUP($B115,'2、设备合同'!$D:$AK,15,0)</f>
        <v>20465</v>
      </c>
      <c r="Q115" s="289">
        <f>VLOOKUP($B115,'2、设备合同'!$D:$AK,16,0)</f>
        <v>0</v>
      </c>
      <c r="R115" s="286">
        <f>VLOOKUP($B115,'2、设备合同'!$D:$AK,17,0)</f>
        <v>0</v>
      </c>
      <c r="S115" s="289">
        <f>VLOOKUP($B115,'2、设备合同'!$D:$AK,18,0)</f>
        <v>0</v>
      </c>
      <c r="T115" s="289">
        <f>VLOOKUP($B115,'2、设备合同'!$D:$AK,19,0)</f>
        <v>0</v>
      </c>
      <c r="U115" s="286">
        <f>VLOOKUP($B115,'2、设备合同'!$D:$AK,20,0)</f>
        <v>0</v>
      </c>
      <c r="V115" s="289">
        <f>VLOOKUP($B115,'2、设备合同'!$D:$AK,21,0)</f>
        <v>0</v>
      </c>
      <c r="W115" s="289">
        <f>VLOOKUP($B115,'2、设备合同'!$D:$AK,22,0)</f>
        <v>0</v>
      </c>
      <c r="X115" s="286">
        <f>VLOOKUP($B115,'2、设备合同'!$D:$AK,23,0)</f>
        <v>0</v>
      </c>
      <c r="Y115" s="289">
        <f>VLOOKUP($B115,'2、设备合同'!$D:$AK,24,0)</f>
        <v>0</v>
      </c>
      <c r="Z115" s="289">
        <f>VLOOKUP($B115,'2、设备合同'!$D:$AK,25,0)</f>
        <v>0</v>
      </c>
      <c r="AA115" s="286">
        <f>VLOOKUP($B115,'2、设备合同'!$D:$AK,26,0)</f>
        <v>0</v>
      </c>
      <c r="AB115" s="289">
        <f>VLOOKUP($B115,'2、设备合同'!$D:$AK,27,0)</f>
        <v>0</v>
      </c>
      <c r="AC115" s="289">
        <f>VLOOKUP($B115,'2、设备合同'!$D:$AK,28,0)</f>
        <v>0</v>
      </c>
      <c r="AD115" s="286">
        <f>VLOOKUP($B115,'2、设备合同'!$D:$AK,29,0)</f>
        <v>0</v>
      </c>
      <c r="AE115" s="289">
        <f>VLOOKUP($B115,'2、设备合同'!$D:$AK,30,0)</f>
        <v>0</v>
      </c>
      <c r="AF115" s="289">
        <f>VLOOKUP($B115,'2、设备合同'!$D:$AK,31,0)</f>
        <v>0</v>
      </c>
      <c r="AG115" s="289">
        <f>VLOOKUP($B115,'2、设备合同'!$D:$AK,32,0)</f>
        <v>0</v>
      </c>
      <c r="AH115" s="289">
        <f>VLOOKUP($B115,'2、设备合同'!$D:$AK,33,0)</f>
        <v>0</v>
      </c>
      <c r="AI115" s="308">
        <f>VLOOKUP($B115,'2、设备合同'!$D:$AK,34,0)</f>
        <v>0</v>
      </c>
      <c r="AJ115" s="309">
        <f t="shared" si="24"/>
        <v>388835</v>
      </c>
      <c r="AK115" s="289">
        <f t="shared" si="25"/>
        <v>20465</v>
      </c>
      <c r="AL115" s="310">
        <f t="shared" si="26"/>
        <v>0.95</v>
      </c>
      <c r="AM115" s="289">
        <f t="shared" si="27"/>
        <v>409300</v>
      </c>
      <c r="AN115" s="311" t="str">
        <f t="shared" si="28"/>
        <v>数据正确</v>
      </c>
    </row>
    <row r="116" s="228" customFormat="1" customHeight="1" spans="1:40">
      <c r="A116" s="228" t="str">
        <f t="shared" si="29"/>
        <v/>
      </c>
      <c r="B116" s="261">
        <v>111</v>
      </c>
      <c r="C116" s="262" t="str">
        <f>VLOOKUP($B116,'2、设备合同'!$D:$AK,2,0)</f>
        <v>备-X150302430号</v>
      </c>
      <c r="D116" s="263" t="str">
        <f>VLOOKUP($B116,'2、设备合同'!$D:$AK,3,0)</f>
        <v>设备合同</v>
      </c>
      <c r="E116" s="263" t="str">
        <f>VLOOKUP($B116,'2、设备合同'!$D:$AK,4,0)</f>
        <v>-</v>
      </c>
      <c r="F116" s="264">
        <f>VLOOKUP($B116,'2、设备合同'!$D:$AK,5,0)</f>
        <v>42240</v>
      </c>
      <c r="G116" s="265">
        <f>VLOOKUP($B116,'2、设备合同'!$D:$AK,6,0)</f>
        <v>49020</v>
      </c>
      <c r="H116" s="265" t="str">
        <f>VLOOKUP($B116,'2、设备合同'!$D:$AK,7,0)</f>
        <v>低压开关箱10面，综合计量箱2面</v>
      </c>
      <c r="I116" s="265" t="str">
        <f>VLOOKUP($B116,'2、设备合同'!$D:$AK,8,0)</f>
        <v>福建莆田荔源电气设备有限公司</v>
      </c>
      <c r="J116" s="286">
        <f>VLOOKUP($B116,'2、设备合同'!$D:$AK,9,0)</f>
        <v>0</v>
      </c>
      <c r="K116" s="287" t="str">
        <f>VLOOKUP($B116,'2、设备合同'!$D:$AK,10,0)</f>
        <v>承兑汇票</v>
      </c>
      <c r="L116" s="288" t="str">
        <f>VLOOKUP($B116,'2、设备合同'!$D:$AK,11,0)</f>
        <v>货到交货地点验收合格支付95%</v>
      </c>
      <c r="M116" s="289">
        <f>VLOOKUP($B116,'2、设备合同'!$D:$AK,12,0)</f>
        <v>46569</v>
      </c>
      <c r="N116" s="289">
        <f>VLOOKUP($B116,'2、设备合同'!$D:$AK,13,0)</f>
        <v>46569</v>
      </c>
      <c r="O116" s="286" t="str">
        <f>VLOOKUP($B116,'2、设备合同'!$D:$AK,14,0)</f>
        <v>5%质保金</v>
      </c>
      <c r="P116" s="289">
        <f>VLOOKUP($B116,'2、设备合同'!$D:$AK,15,0)</f>
        <v>2451</v>
      </c>
      <c r="Q116" s="289">
        <f>VLOOKUP($B116,'2、设备合同'!$D:$AK,16,0)</f>
        <v>0</v>
      </c>
      <c r="R116" s="286">
        <f>VLOOKUP($B116,'2、设备合同'!$D:$AK,17,0)</f>
        <v>0</v>
      </c>
      <c r="S116" s="289">
        <f>VLOOKUP($B116,'2、设备合同'!$D:$AK,18,0)</f>
        <v>0</v>
      </c>
      <c r="T116" s="289">
        <f>VLOOKUP($B116,'2、设备合同'!$D:$AK,19,0)</f>
        <v>0</v>
      </c>
      <c r="U116" s="286">
        <f>VLOOKUP($B116,'2、设备合同'!$D:$AK,20,0)</f>
        <v>0</v>
      </c>
      <c r="V116" s="289">
        <f>VLOOKUP($B116,'2、设备合同'!$D:$AK,21,0)</f>
        <v>0</v>
      </c>
      <c r="W116" s="289">
        <f>VLOOKUP($B116,'2、设备合同'!$D:$AK,22,0)</f>
        <v>0</v>
      </c>
      <c r="X116" s="286">
        <f>VLOOKUP($B116,'2、设备合同'!$D:$AK,23,0)</f>
        <v>0</v>
      </c>
      <c r="Y116" s="289">
        <f>VLOOKUP($B116,'2、设备合同'!$D:$AK,24,0)</f>
        <v>0</v>
      </c>
      <c r="Z116" s="289">
        <f>VLOOKUP($B116,'2、设备合同'!$D:$AK,25,0)</f>
        <v>0</v>
      </c>
      <c r="AA116" s="286">
        <f>VLOOKUP($B116,'2、设备合同'!$D:$AK,26,0)</f>
        <v>0</v>
      </c>
      <c r="AB116" s="289">
        <f>VLOOKUP($B116,'2、设备合同'!$D:$AK,27,0)</f>
        <v>0</v>
      </c>
      <c r="AC116" s="289">
        <f>VLOOKUP($B116,'2、设备合同'!$D:$AK,28,0)</f>
        <v>0</v>
      </c>
      <c r="AD116" s="286">
        <f>VLOOKUP($B116,'2、设备合同'!$D:$AK,29,0)</f>
        <v>0</v>
      </c>
      <c r="AE116" s="289">
        <f>VLOOKUP($B116,'2、设备合同'!$D:$AK,30,0)</f>
        <v>0</v>
      </c>
      <c r="AF116" s="289">
        <f>VLOOKUP($B116,'2、设备合同'!$D:$AK,31,0)</f>
        <v>0</v>
      </c>
      <c r="AG116" s="289">
        <f>VLOOKUP($B116,'2、设备合同'!$D:$AK,32,0)</f>
        <v>0</v>
      </c>
      <c r="AH116" s="289">
        <f>VLOOKUP($B116,'2、设备合同'!$D:$AK,33,0)</f>
        <v>0</v>
      </c>
      <c r="AI116" s="308">
        <f>VLOOKUP($B116,'2、设备合同'!$D:$AK,34,0)</f>
        <v>0</v>
      </c>
      <c r="AJ116" s="309">
        <f t="shared" si="24"/>
        <v>46569</v>
      </c>
      <c r="AK116" s="289">
        <f t="shared" si="25"/>
        <v>2451</v>
      </c>
      <c r="AL116" s="310">
        <f t="shared" si="26"/>
        <v>0.95</v>
      </c>
      <c r="AM116" s="289">
        <f t="shared" si="27"/>
        <v>49020</v>
      </c>
      <c r="AN116" s="311" t="str">
        <f t="shared" si="28"/>
        <v>数据正确</v>
      </c>
    </row>
    <row r="117" s="228" customFormat="1" customHeight="1" spans="1:40">
      <c r="A117" s="228" t="str">
        <f t="shared" si="29"/>
        <v/>
      </c>
      <c r="B117" s="256">
        <v>112</v>
      </c>
      <c r="C117" s="262" t="str">
        <f>VLOOKUP($B117,'2、设备合同'!$D:$AK,2,0)</f>
        <v>物-X150302430号-1</v>
      </c>
      <c r="D117" s="263" t="str">
        <f>VLOOKUP($B117,'2、设备合同'!$D:$AK,3,0)</f>
        <v>设备合同</v>
      </c>
      <c r="E117" s="263" t="str">
        <f>VLOOKUP($B117,'2、设备合同'!$D:$AK,4,0)</f>
        <v>-</v>
      </c>
      <c r="F117" s="264">
        <f>VLOOKUP($B117,'2、设备合同'!$D:$AK,5,0)</f>
        <v>42324</v>
      </c>
      <c r="G117" s="265">
        <f>VLOOKUP($B117,'2、设备合同'!$D:$AK,6,0)</f>
        <v>76312</v>
      </c>
      <c r="H117" s="265" t="str">
        <f>VLOOKUP($B117,'2、设备合同'!$D:$AK,7,0)</f>
        <v>油变2台</v>
      </c>
      <c r="I117" s="265" t="str">
        <f>VLOOKUP($B117,'2、设备合同'!$D:$AK,8,0)</f>
        <v>莆田亿力电力物资有限公司</v>
      </c>
      <c r="J117" s="286">
        <f>VLOOKUP($B117,'2、设备合同'!$D:$AK,9,0)</f>
        <v>0</v>
      </c>
      <c r="K117" s="287" t="str">
        <f>VLOOKUP($B117,'2、设备合同'!$D:$AK,10,0)</f>
        <v>承兑汇票</v>
      </c>
      <c r="L117" s="288" t="str">
        <f>VLOOKUP($B117,'2、设备合同'!$D:$AK,11,0)</f>
        <v>货到交货地点验收合格支付95%</v>
      </c>
      <c r="M117" s="289">
        <f>VLOOKUP($B117,'2、设备合同'!$D:$AK,12,0)</f>
        <v>72496.4</v>
      </c>
      <c r="N117" s="289">
        <f>VLOOKUP($B117,'2、设备合同'!$D:$AK,13,0)</f>
        <v>0</v>
      </c>
      <c r="O117" s="286" t="str">
        <f>VLOOKUP($B117,'2、设备合同'!$D:$AK,14,0)</f>
        <v>5%质保金1年</v>
      </c>
      <c r="P117" s="289">
        <f>VLOOKUP($B117,'2、设备合同'!$D:$AK,15,0)</f>
        <v>3815.6</v>
      </c>
      <c r="Q117" s="289">
        <f>VLOOKUP($B117,'2、设备合同'!$D:$AK,16,0)</f>
        <v>0</v>
      </c>
      <c r="R117" s="286">
        <f>VLOOKUP($B117,'2、设备合同'!$D:$AK,17,0)</f>
        <v>0</v>
      </c>
      <c r="S117" s="289">
        <f>VLOOKUP($B117,'2、设备合同'!$D:$AK,18,0)</f>
        <v>0</v>
      </c>
      <c r="T117" s="289">
        <f>VLOOKUP($B117,'2、设备合同'!$D:$AK,19,0)</f>
        <v>0</v>
      </c>
      <c r="U117" s="286">
        <f>VLOOKUP($B117,'2、设备合同'!$D:$AK,20,0)</f>
        <v>0</v>
      </c>
      <c r="V117" s="289">
        <f>VLOOKUP($B117,'2、设备合同'!$D:$AK,21,0)</f>
        <v>0</v>
      </c>
      <c r="W117" s="289">
        <f>VLOOKUP($B117,'2、设备合同'!$D:$AK,22,0)</f>
        <v>0</v>
      </c>
      <c r="X117" s="286">
        <f>VLOOKUP($B117,'2、设备合同'!$D:$AK,23,0)</f>
        <v>0</v>
      </c>
      <c r="Y117" s="289">
        <f>VLOOKUP($B117,'2、设备合同'!$D:$AK,24,0)</f>
        <v>0</v>
      </c>
      <c r="Z117" s="289">
        <f>VLOOKUP($B117,'2、设备合同'!$D:$AK,25,0)</f>
        <v>0</v>
      </c>
      <c r="AA117" s="286">
        <f>VLOOKUP($B117,'2、设备合同'!$D:$AK,26,0)</f>
        <v>0</v>
      </c>
      <c r="AB117" s="289">
        <f>VLOOKUP($B117,'2、设备合同'!$D:$AK,27,0)</f>
        <v>0</v>
      </c>
      <c r="AC117" s="289">
        <f>VLOOKUP($B117,'2、设备合同'!$D:$AK,28,0)</f>
        <v>0</v>
      </c>
      <c r="AD117" s="286">
        <f>VLOOKUP($B117,'2、设备合同'!$D:$AK,29,0)</f>
        <v>0</v>
      </c>
      <c r="AE117" s="289">
        <f>VLOOKUP($B117,'2、设备合同'!$D:$AK,30,0)</f>
        <v>0</v>
      </c>
      <c r="AF117" s="289">
        <f>VLOOKUP($B117,'2、设备合同'!$D:$AK,31,0)</f>
        <v>0</v>
      </c>
      <c r="AG117" s="289">
        <f>VLOOKUP($B117,'2、设备合同'!$D:$AK,32,0)</f>
        <v>0</v>
      </c>
      <c r="AH117" s="289">
        <f>VLOOKUP($B117,'2、设备合同'!$D:$AK,33,0)</f>
        <v>0</v>
      </c>
      <c r="AI117" s="308">
        <f>VLOOKUP($B117,'2、设备合同'!$D:$AK,34,0)</f>
        <v>0</v>
      </c>
      <c r="AJ117" s="309">
        <f t="shared" si="24"/>
        <v>0</v>
      </c>
      <c r="AK117" s="289">
        <f t="shared" si="25"/>
        <v>76312</v>
      </c>
      <c r="AL117" s="310">
        <f t="shared" si="26"/>
        <v>0</v>
      </c>
      <c r="AM117" s="289">
        <f t="shared" si="27"/>
        <v>76312</v>
      </c>
      <c r="AN117" s="311" t="str">
        <f t="shared" si="28"/>
        <v>数据正确</v>
      </c>
    </row>
    <row r="118" s="228" customFormat="1" customHeight="1" spans="1:40">
      <c r="A118" s="228" t="str">
        <f t="shared" si="29"/>
        <v/>
      </c>
      <c r="B118" s="261">
        <v>113</v>
      </c>
      <c r="C118" s="262" t="str">
        <f>VLOOKUP($B118,'2、设备合同'!$D:$AK,2,0)</f>
        <v>无</v>
      </c>
      <c r="D118" s="263" t="str">
        <f>VLOOKUP($B118,'2、设备合同'!$D:$AK,3,0)</f>
        <v>设备合同</v>
      </c>
      <c r="E118" s="263" t="str">
        <f>VLOOKUP($B118,'2、设备合同'!$D:$AK,4,0)</f>
        <v>-</v>
      </c>
      <c r="F118" s="264">
        <f>VLOOKUP($B118,'2、设备合同'!$D:$AK,5,0)</f>
        <v>42460</v>
      </c>
      <c r="G118" s="265">
        <f>VLOOKUP($B118,'2、设备合同'!$D:$AK,6,0)</f>
        <v>24780</v>
      </c>
      <c r="H118" s="265" t="str">
        <f>VLOOKUP($B118,'2、设备合同'!$D:$AK,7,0)</f>
        <v>装载机三清保养及维修工具一批</v>
      </c>
      <c r="I118" s="265" t="str">
        <f>VLOOKUP($B118,'2、设备合同'!$D:$AK,8,0)</f>
        <v>泉州市超越机电设备有限公司</v>
      </c>
      <c r="J118" s="286">
        <f>VLOOKUP($B118,'2、设备合同'!$D:$AK,9,0)</f>
        <v>0</v>
      </c>
      <c r="K118" s="287" t="str">
        <f>VLOOKUP($B118,'2、设备合同'!$D:$AK,10,0)</f>
        <v>电汇</v>
      </c>
      <c r="L118" s="288" t="str">
        <f>VLOOKUP($B118,'2、设备合同'!$D:$AK,11,0)</f>
        <v>验收合格收到全额发票支付</v>
      </c>
      <c r="M118" s="289">
        <f>VLOOKUP($B118,'2、设备合同'!$D:$AK,12,0)</f>
        <v>24780</v>
      </c>
      <c r="N118" s="289">
        <f>VLOOKUP($B118,'2、设备合同'!$D:$AK,13,0)</f>
        <v>31709</v>
      </c>
      <c r="O118" s="286">
        <f>VLOOKUP($B118,'2、设备合同'!$D:$AK,14,0)</f>
        <v>0</v>
      </c>
      <c r="P118" s="289">
        <f>VLOOKUP($B118,'2、设备合同'!$D:$AK,15,0)</f>
        <v>0</v>
      </c>
      <c r="Q118" s="289">
        <f>VLOOKUP($B118,'2、设备合同'!$D:$AK,16,0)</f>
        <v>0</v>
      </c>
      <c r="R118" s="286">
        <f>VLOOKUP($B118,'2、设备合同'!$D:$AK,17,0)</f>
        <v>0</v>
      </c>
      <c r="S118" s="289">
        <f>VLOOKUP($B118,'2、设备合同'!$D:$AK,18,0)</f>
        <v>0</v>
      </c>
      <c r="T118" s="289">
        <f>VLOOKUP($B118,'2、设备合同'!$D:$AK,19,0)</f>
        <v>0</v>
      </c>
      <c r="U118" s="286">
        <f>VLOOKUP($B118,'2、设备合同'!$D:$AK,20,0)</f>
        <v>0</v>
      </c>
      <c r="V118" s="289">
        <f>VLOOKUP($B118,'2、设备合同'!$D:$AK,21,0)</f>
        <v>0</v>
      </c>
      <c r="W118" s="289">
        <f>VLOOKUP($B118,'2、设备合同'!$D:$AK,22,0)</f>
        <v>0</v>
      </c>
      <c r="X118" s="286">
        <f>VLOOKUP($B118,'2、设备合同'!$D:$AK,23,0)</f>
        <v>0</v>
      </c>
      <c r="Y118" s="289">
        <f>VLOOKUP($B118,'2、设备合同'!$D:$AK,24,0)</f>
        <v>0</v>
      </c>
      <c r="Z118" s="289">
        <f>VLOOKUP($B118,'2、设备合同'!$D:$AK,25,0)</f>
        <v>0</v>
      </c>
      <c r="AA118" s="286">
        <f>VLOOKUP($B118,'2、设备合同'!$D:$AK,26,0)</f>
        <v>0</v>
      </c>
      <c r="AB118" s="289">
        <f>VLOOKUP($B118,'2、设备合同'!$D:$AK,27,0)</f>
        <v>0</v>
      </c>
      <c r="AC118" s="289">
        <f>VLOOKUP($B118,'2、设备合同'!$D:$AK,28,0)</f>
        <v>0</v>
      </c>
      <c r="AD118" s="286">
        <f>VLOOKUP($B118,'2、设备合同'!$D:$AK,29,0)</f>
        <v>0</v>
      </c>
      <c r="AE118" s="289">
        <f>VLOOKUP($B118,'2、设备合同'!$D:$AK,30,0)</f>
        <v>0</v>
      </c>
      <c r="AF118" s="289">
        <f>VLOOKUP($B118,'2、设备合同'!$D:$AK,31,0)</f>
        <v>0</v>
      </c>
      <c r="AG118" s="289">
        <f>VLOOKUP($B118,'2、设备合同'!$D:$AK,32,0)</f>
        <v>0</v>
      </c>
      <c r="AH118" s="289">
        <f>VLOOKUP($B118,'2、设备合同'!$D:$AK,33,0)</f>
        <v>0</v>
      </c>
      <c r="AI118" s="308">
        <f>VLOOKUP($B118,'2、设备合同'!$D:$AK,34,0)</f>
        <v>0</v>
      </c>
      <c r="AJ118" s="309">
        <f t="shared" si="24"/>
        <v>31709</v>
      </c>
      <c r="AK118" s="289">
        <f t="shared" si="25"/>
        <v>-6929</v>
      </c>
      <c r="AL118" s="310">
        <f t="shared" si="26"/>
        <v>1.27962066182405</v>
      </c>
      <c r="AM118" s="289">
        <f t="shared" si="27"/>
        <v>24780</v>
      </c>
      <c r="AN118" s="311" t="str">
        <f t="shared" si="28"/>
        <v>数据正确</v>
      </c>
    </row>
    <row r="119" s="228" customFormat="1" customHeight="1" spans="1:40">
      <c r="A119" s="228" t="str">
        <f t="shared" si="29"/>
        <v/>
      </c>
      <c r="B119" s="261">
        <v>114</v>
      </c>
      <c r="C119" s="266" t="str">
        <f>VLOOKUP($B119,'4、其他合同'!$D:$AK,2,0)</f>
        <v>无</v>
      </c>
      <c r="D119" s="267" t="s">
        <v>25</v>
      </c>
      <c r="E119" s="267" t="str">
        <f>VLOOKUP($B119,'4、其他合同'!$D:$AK,4,0)</f>
        <v>-</v>
      </c>
      <c r="F119" s="268">
        <f>VLOOKUP($B119,'4、其他合同'!$D:$AK,5,0)</f>
        <v>41956</v>
      </c>
      <c r="G119" s="269">
        <f>VLOOKUP($B119,'4、其他合同'!$D:$AK,6,0)</f>
        <v>2200000</v>
      </c>
      <c r="H119" s="269" t="str">
        <f>VLOOKUP($B119,'4、其他合同'!$D:$AK,7,0)</f>
        <v>环境影响评价</v>
      </c>
      <c r="I119" s="269" t="str">
        <f>VLOOKUP($B119,'4、其他合同'!$D:$AK,8,0)</f>
        <v>福建省环境科学研究院</v>
      </c>
      <c r="J119" s="290">
        <f>VLOOKUP($B119,'4、其他合同'!$D:$AK,9,0)</f>
        <v>0</v>
      </c>
      <c r="K119" s="291" t="str">
        <f>VLOOKUP($B119,'4、其他合同'!$D:$AK,10,0)</f>
        <v>电汇</v>
      </c>
      <c r="L119" s="292" t="str">
        <f>VLOOKUP($B119,'4、其他合同'!$D:$AK,11,0)</f>
        <v>合同签订后5个工作日支付100万</v>
      </c>
      <c r="M119" s="293">
        <f>VLOOKUP($B119,'4、其他合同'!$D:$AK,12,0)</f>
        <v>1000000</v>
      </c>
      <c r="N119" s="293">
        <f>VLOOKUP($B119,'4、其他合同'!$D:$AK,13,0)</f>
        <v>1000000</v>
      </c>
      <c r="O119" s="290" t="str">
        <f>VLOOKUP($B119,'4、其他合同'!$D:$AK,14,0)</f>
        <v>乙方提交报告书5个工作日内支付60万</v>
      </c>
      <c r="P119" s="293">
        <f>VLOOKUP($B119,'4、其他合同'!$D:$AK,15,0)</f>
        <v>600000</v>
      </c>
      <c r="Q119" s="293">
        <f>VLOOKUP($B119,'4、其他合同'!$D:$AK,16,0)</f>
        <v>600000</v>
      </c>
      <c r="R119" s="290" t="str">
        <f>VLOOKUP($B119,'4、其他合同'!$D:$AK,17,0)</f>
        <v>乙方提交报告书（报批本）后5个工作日</v>
      </c>
      <c r="S119" s="293">
        <f>VLOOKUP($B119,'4、其他合同'!$D:$AK,18,0)</f>
        <v>300000</v>
      </c>
      <c r="T119" s="293">
        <f>VLOOKUP($B119,'4、其他合同'!$D:$AK,19,0)</f>
        <v>300000</v>
      </c>
      <c r="U119" s="290" t="str">
        <f>VLOOKUP($B119,'4、其他合同'!$D:$AK,20,0)</f>
        <v>另外支付送钱</v>
      </c>
      <c r="V119" s="293">
        <f>VLOOKUP($B119,'4、其他合同'!$D:$AK,21,0)</f>
        <v>300000</v>
      </c>
      <c r="W119" s="293">
        <f>VLOOKUP($B119,'4、其他合同'!$D:$AK,22,0)</f>
        <v>0</v>
      </c>
      <c r="X119" s="290">
        <f>VLOOKUP($B119,'4、其他合同'!$D:$AK,23,0)</f>
        <v>0</v>
      </c>
      <c r="Y119" s="293">
        <f>VLOOKUP($B119,'4、其他合同'!$D:$AK,24,0)</f>
        <v>0</v>
      </c>
      <c r="Z119" s="293">
        <f>VLOOKUP($B119,'4、其他合同'!$D:$AK,25,0)</f>
        <v>0</v>
      </c>
      <c r="AA119" s="290">
        <f>VLOOKUP($B119,'4、其他合同'!$D:$AK,26,0)</f>
        <v>0</v>
      </c>
      <c r="AB119" s="293">
        <f>VLOOKUP($B119,'4、其他合同'!$D:$AK,27,0)</f>
        <v>0</v>
      </c>
      <c r="AC119" s="293">
        <f>VLOOKUP($B119,'4、其他合同'!$D:$AK,28,0)</f>
        <v>0</v>
      </c>
      <c r="AD119" s="290">
        <f>VLOOKUP($B119,'4、其他合同'!$D:$AK,29,0)</f>
        <v>0</v>
      </c>
      <c r="AE119" s="293">
        <f>VLOOKUP($B119,'4、其他合同'!$D:$AK,30,0)</f>
        <v>0</v>
      </c>
      <c r="AF119" s="293">
        <f>VLOOKUP($B119,'4、其他合同'!$D:$AK,31,0)</f>
        <v>0</v>
      </c>
      <c r="AG119" s="293">
        <f>VLOOKUP($B119,'4、其他合同'!$D:$AK,32,0)</f>
        <v>0</v>
      </c>
      <c r="AH119" s="293">
        <f>VLOOKUP($B119,'4、其他合同'!$D:$AK,33,0)</f>
        <v>0</v>
      </c>
      <c r="AI119" s="312">
        <f>VLOOKUP($B119,'4、其他合同'!$D:$AK,34,0)</f>
        <v>0</v>
      </c>
      <c r="AJ119" s="309">
        <f t="shared" ref="AJ119:AJ134" si="30">N119+Q119+T119+W119+Z119+AC119+AF119+AI119</f>
        <v>1900000</v>
      </c>
      <c r="AK119" s="289">
        <f t="shared" ref="AK119:AK134" si="31">G119-AJ119</f>
        <v>300000</v>
      </c>
      <c r="AL119" s="310">
        <f t="shared" ref="AL119:AL134" si="32">AJ119/G119</f>
        <v>0.863636363636364</v>
      </c>
      <c r="AM119" s="289">
        <f t="shared" ref="AM119:AM134" si="33">M119+P119+S119+V119+Y119+AB119+AE119+AH119</f>
        <v>2200000</v>
      </c>
      <c r="AN119" s="311" t="str">
        <f t="shared" ref="AN119:AN134" si="34">IF(AM119-G119=0,"数据正确","数据错误")</f>
        <v>数据正确</v>
      </c>
    </row>
    <row r="120" s="228" customFormat="1" customHeight="1" spans="1:40">
      <c r="A120" s="228" t="str">
        <f t="shared" si="29"/>
        <v/>
      </c>
      <c r="B120" s="256">
        <v>115</v>
      </c>
      <c r="C120" s="266" t="str">
        <f>VLOOKUP($B120,'4、其他合同'!$D:$AK,2,0)</f>
        <v>WMZX2015017</v>
      </c>
      <c r="D120" s="267" t="s">
        <v>25</v>
      </c>
      <c r="E120" s="267" t="str">
        <f>VLOOKUP($B120,'4、其他合同'!$D:$AK,4,0)</f>
        <v>-</v>
      </c>
      <c r="F120" s="268">
        <f>VLOOKUP($B120,'4、其他合同'!$D:$AK,5,0)</f>
        <v>42020</v>
      </c>
      <c r="G120" s="269">
        <f>VLOOKUP($B120,'4、其他合同'!$D:$AK,6,0)</f>
        <v>550000</v>
      </c>
      <c r="H120" s="269" t="str">
        <f>VLOOKUP($B120,'4、其他合同'!$D:$AK,7,0)</f>
        <v>安全预评估</v>
      </c>
      <c r="I120" s="269" t="str">
        <f>VLOOKUP($B120,'4、其他合同'!$D:$AK,8,0)</f>
        <v>福建省为民安全工程师咨询服务中心</v>
      </c>
      <c r="J120" s="290">
        <f>VLOOKUP($B120,'4、其他合同'!$D:$AK,9,0)</f>
        <v>0</v>
      </c>
      <c r="K120" s="291" t="str">
        <f>VLOOKUP($B120,'4、其他合同'!$D:$AK,10,0)</f>
        <v>电汇</v>
      </c>
      <c r="L120" s="292" t="str">
        <f>VLOOKUP($B120,'4、其他合同'!$D:$AK,11,0)</f>
        <v>合同签订收到乙方正式发票后15个工作日支付50%</v>
      </c>
      <c r="M120" s="293">
        <f>VLOOKUP($B120,'4、其他合同'!$D:$AK,12,0)</f>
        <v>275000</v>
      </c>
      <c r="N120" s="293">
        <f>VLOOKUP($B120,'4、其他合同'!$D:$AK,13,0)</f>
        <v>200000</v>
      </c>
      <c r="O120" s="290" t="str">
        <f>VLOOKUP($B120,'4、其他合同'!$D:$AK,14,0)</f>
        <v>报告书经专家确认后，收到全部发票后支付50%</v>
      </c>
      <c r="P120" s="293">
        <f>VLOOKUP($B120,'4、其他合同'!$D:$AK,15,0)</f>
        <v>275000</v>
      </c>
      <c r="Q120" s="293">
        <f>VLOOKUP($B120,'4、其他合同'!$D:$AK,16,0)</f>
        <v>275000</v>
      </c>
      <c r="R120" s="290">
        <f>VLOOKUP($B120,'4、其他合同'!$D:$AK,17,0)</f>
        <v>0</v>
      </c>
      <c r="S120" s="293">
        <f>VLOOKUP($B120,'4、其他合同'!$D:$AK,18,0)</f>
        <v>0</v>
      </c>
      <c r="T120" s="293">
        <f>VLOOKUP($B120,'4、其他合同'!$D:$AK,19,0)</f>
        <v>0</v>
      </c>
      <c r="U120" s="290">
        <f>VLOOKUP($B120,'4、其他合同'!$D:$AK,20,0)</f>
        <v>0</v>
      </c>
      <c r="V120" s="293">
        <f>VLOOKUP($B120,'4、其他合同'!$D:$AK,21,0)</f>
        <v>0</v>
      </c>
      <c r="W120" s="293">
        <f>VLOOKUP($B120,'4、其他合同'!$D:$AK,22,0)</f>
        <v>0</v>
      </c>
      <c r="X120" s="290">
        <f>VLOOKUP($B120,'4、其他合同'!$D:$AK,23,0)</f>
        <v>0</v>
      </c>
      <c r="Y120" s="293">
        <f>VLOOKUP($B120,'4、其他合同'!$D:$AK,24,0)</f>
        <v>0</v>
      </c>
      <c r="Z120" s="293">
        <f>VLOOKUP($B120,'4、其他合同'!$D:$AK,25,0)</f>
        <v>0</v>
      </c>
      <c r="AA120" s="290">
        <f>VLOOKUP($B120,'4、其他合同'!$D:$AK,26,0)</f>
        <v>0</v>
      </c>
      <c r="AB120" s="293">
        <f>VLOOKUP($B120,'4、其他合同'!$D:$AK,27,0)</f>
        <v>0</v>
      </c>
      <c r="AC120" s="293">
        <f>VLOOKUP($B120,'4、其他合同'!$D:$AK,28,0)</f>
        <v>0</v>
      </c>
      <c r="AD120" s="290">
        <f>VLOOKUP($B120,'4、其他合同'!$D:$AK,29,0)</f>
        <v>0</v>
      </c>
      <c r="AE120" s="293">
        <f>VLOOKUP($B120,'4、其他合同'!$D:$AK,30,0)</f>
        <v>0</v>
      </c>
      <c r="AF120" s="293">
        <f>VLOOKUP($B120,'4、其他合同'!$D:$AK,31,0)</f>
        <v>0</v>
      </c>
      <c r="AG120" s="293">
        <f>VLOOKUP($B120,'4、其他合同'!$D:$AK,32,0)</f>
        <v>0</v>
      </c>
      <c r="AH120" s="293">
        <f>VLOOKUP($B120,'4、其他合同'!$D:$AK,33,0)</f>
        <v>0</v>
      </c>
      <c r="AI120" s="312">
        <f>VLOOKUP($B120,'4、其他合同'!$D:$AK,34,0)</f>
        <v>0</v>
      </c>
      <c r="AJ120" s="309">
        <f t="shared" si="30"/>
        <v>475000</v>
      </c>
      <c r="AK120" s="289">
        <f t="shared" si="31"/>
        <v>75000</v>
      </c>
      <c r="AL120" s="310">
        <f t="shared" si="32"/>
        <v>0.863636363636364</v>
      </c>
      <c r="AM120" s="289">
        <f t="shared" si="33"/>
        <v>550000</v>
      </c>
      <c r="AN120" s="311" t="str">
        <f t="shared" si="34"/>
        <v>数据正确</v>
      </c>
    </row>
    <row r="121" s="228" customFormat="1" customHeight="1" spans="1:40">
      <c r="A121" s="228" t="str">
        <f t="shared" si="29"/>
        <v>已完毕</v>
      </c>
      <c r="B121" s="261">
        <v>116</v>
      </c>
      <c r="C121" s="266" t="str">
        <f>VLOOKUP($B121,'4、其他合同'!$D:$AK,2,0)</f>
        <v>K1507</v>
      </c>
      <c r="D121" s="267" t="s">
        <v>25</v>
      </c>
      <c r="E121" s="267" t="str">
        <f>VLOOKUP($B121,'4、其他合同'!$D:$AK,4,0)</f>
        <v>-</v>
      </c>
      <c r="F121" s="268">
        <f>VLOOKUP($B121,'4、其他合同'!$D:$AK,5,0)</f>
        <v>42039</v>
      </c>
      <c r="G121" s="269">
        <f>VLOOKUP($B121,'4、其他合同'!$D:$AK,6,0)</f>
        <v>130000</v>
      </c>
      <c r="H121" s="269" t="str">
        <f>VLOOKUP($B121,'4、其他合同'!$D:$AK,7,0)</f>
        <v>社会稳定风险分析篇章</v>
      </c>
      <c r="I121" s="269" t="str">
        <f>VLOOKUP($B121,'4、其他合同'!$D:$AK,8,0)</f>
        <v>厦门华旸建筑工程设计有限公司</v>
      </c>
      <c r="J121" s="290">
        <f>VLOOKUP($B121,'4、其他合同'!$D:$AK,9,0)</f>
        <v>0</v>
      </c>
      <c r="K121" s="291" t="str">
        <f>VLOOKUP($B121,'4、其他合同'!$D:$AK,10,0)</f>
        <v>电汇</v>
      </c>
      <c r="L121" s="292" t="str">
        <f>VLOOKUP($B121,'4、其他合同'!$D:$AK,11,0)</f>
        <v>合同签订10个工作日支付30%预付款</v>
      </c>
      <c r="M121" s="293">
        <f>VLOOKUP($B121,'4、其他合同'!$D:$AK,12,0)</f>
        <v>39000</v>
      </c>
      <c r="N121" s="293">
        <f>VLOOKUP($B121,'4、其他合同'!$D:$AK,13,0)</f>
        <v>39000</v>
      </c>
      <c r="O121" s="290" t="str">
        <f>VLOOKUP($B121,'4、其他合同'!$D:$AK,14,0)</f>
        <v>篇章报审稿提交后10个工作日支付30%</v>
      </c>
      <c r="P121" s="293">
        <f>VLOOKUP($B121,'4、其他合同'!$D:$AK,15,0)</f>
        <v>39000</v>
      </c>
      <c r="Q121" s="293">
        <f>VLOOKUP($B121,'4、其他合同'!$D:$AK,16,0)</f>
        <v>39000</v>
      </c>
      <c r="R121" s="290" t="str">
        <f>VLOOKUP($B121,'4、其他合同'!$D:$AK,17,0)</f>
        <v>评估通过后10个工作日付清</v>
      </c>
      <c r="S121" s="293">
        <f>VLOOKUP($B121,'4、其他合同'!$D:$AK,18,0)</f>
        <v>52000</v>
      </c>
      <c r="T121" s="293">
        <f>VLOOKUP($B121,'4、其他合同'!$D:$AK,19,0)</f>
        <v>52000</v>
      </c>
      <c r="U121" s="290">
        <f>VLOOKUP($B121,'4、其他合同'!$D:$AK,20,0)</f>
        <v>0</v>
      </c>
      <c r="V121" s="293">
        <f>VLOOKUP($B121,'4、其他合同'!$D:$AK,21,0)</f>
        <v>0</v>
      </c>
      <c r="W121" s="293">
        <f>VLOOKUP($B121,'4、其他合同'!$D:$AK,22,0)</f>
        <v>0</v>
      </c>
      <c r="X121" s="290">
        <f>VLOOKUP($B121,'4、其他合同'!$D:$AK,23,0)</f>
        <v>0</v>
      </c>
      <c r="Y121" s="293">
        <f>VLOOKUP($B121,'4、其他合同'!$D:$AK,24,0)</f>
        <v>0</v>
      </c>
      <c r="Z121" s="293">
        <f>VLOOKUP($B121,'4、其他合同'!$D:$AK,25,0)</f>
        <v>0</v>
      </c>
      <c r="AA121" s="290">
        <f>VLOOKUP($B121,'4、其他合同'!$D:$AK,26,0)</f>
        <v>0</v>
      </c>
      <c r="AB121" s="293">
        <f>VLOOKUP($B121,'4、其他合同'!$D:$AK,27,0)</f>
        <v>0</v>
      </c>
      <c r="AC121" s="293">
        <f>VLOOKUP($B121,'4、其他合同'!$D:$AK,28,0)</f>
        <v>0</v>
      </c>
      <c r="AD121" s="290">
        <f>VLOOKUP($B121,'4、其他合同'!$D:$AK,29,0)</f>
        <v>0</v>
      </c>
      <c r="AE121" s="293">
        <f>VLOOKUP($B121,'4、其他合同'!$D:$AK,30,0)</f>
        <v>0</v>
      </c>
      <c r="AF121" s="293">
        <f>VLOOKUP($B121,'4、其他合同'!$D:$AK,31,0)</f>
        <v>0</v>
      </c>
      <c r="AG121" s="293">
        <f>VLOOKUP($B121,'4、其他合同'!$D:$AK,32,0)</f>
        <v>0</v>
      </c>
      <c r="AH121" s="293">
        <f>VLOOKUP($B121,'4、其他合同'!$D:$AK,33,0)</f>
        <v>0</v>
      </c>
      <c r="AI121" s="312">
        <f>VLOOKUP($B121,'4、其他合同'!$D:$AK,34,0)</f>
        <v>0</v>
      </c>
      <c r="AJ121" s="309">
        <f t="shared" si="30"/>
        <v>130000</v>
      </c>
      <c r="AK121" s="289">
        <f t="shared" si="31"/>
        <v>0</v>
      </c>
      <c r="AL121" s="310">
        <f t="shared" si="32"/>
        <v>1</v>
      </c>
      <c r="AM121" s="289">
        <f t="shared" si="33"/>
        <v>130000</v>
      </c>
      <c r="AN121" s="311" t="str">
        <f t="shared" si="34"/>
        <v>数据正确</v>
      </c>
    </row>
    <row r="122" s="228" customFormat="1" customHeight="1" spans="1:40">
      <c r="A122" s="228" t="str">
        <f t="shared" si="29"/>
        <v>已完毕</v>
      </c>
      <c r="B122" s="261">
        <v>117</v>
      </c>
      <c r="C122" s="266" t="str">
        <f>VLOOKUP($B122,'4、其他合同'!$D:$AK,2,0)</f>
        <v>无</v>
      </c>
      <c r="D122" s="267" t="s">
        <v>25</v>
      </c>
      <c r="E122" s="267" t="str">
        <f>VLOOKUP($B122,'4、其他合同'!$D:$AK,4,0)</f>
        <v>-</v>
      </c>
      <c r="F122" s="268">
        <f>VLOOKUP($B122,'4、其他合同'!$D:$AK,5,0)</f>
        <v>42003</v>
      </c>
      <c r="G122" s="269">
        <f>VLOOKUP($B122,'4、其他合同'!$D:$AK,6,0)</f>
        <v>200000</v>
      </c>
      <c r="H122" s="269" t="str">
        <f>VLOOKUP($B122,'4、其他合同'!$D:$AK,7,0)</f>
        <v>地下水环境评价</v>
      </c>
      <c r="I122" s="269" t="str">
        <f>VLOOKUP($B122,'4、其他合同'!$D:$AK,8,0)</f>
        <v>核工业鹰潭工程勘察院</v>
      </c>
      <c r="J122" s="290">
        <f>VLOOKUP($B122,'4、其他合同'!$D:$AK,9,0)</f>
        <v>0</v>
      </c>
      <c r="K122" s="291" t="str">
        <f>VLOOKUP($B122,'4、其他合同'!$D:$AK,10,0)</f>
        <v>电汇</v>
      </c>
      <c r="L122" s="292" t="str">
        <f>VLOOKUP($B122,'4、其他合同'!$D:$AK,11,0)</f>
        <v>合同签订10个工作日支付30%预付款</v>
      </c>
      <c r="M122" s="293">
        <f>VLOOKUP($B122,'4、其他合同'!$D:$AK,12,0)</f>
        <v>100000</v>
      </c>
      <c r="N122" s="293">
        <f>VLOOKUP($B122,'4、其他合同'!$D:$AK,13,0)</f>
        <v>100000</v>
      </c>
      <c r="O122" s="290" t="str">
        <f>VLOOKUP($B122,'4、其他合同'!$D:$AK,14,0)</f>
        <v>提交最终专题报告后支付5万</v>
      </c>
      <c r="P122" s="293">
        <f>VLOOKUP($B122,'4、其他合同'!$D:$AK,15,0)</f>
        <v>50000</v>
      </c>
      <c r="Q122" s="293">
        <f>VLOOKUP($B122,'4、其他合同'!$D:$AK,16,0)</f>
        <v>100000</v>
      </c>
      <c r="R122" s="290" t="str">
        <f>VLOOKUP($B122,'4、其他合同'!$D:$AK,17,0)</f>
        <v>项目通过环评审批后支付5万</v>
      </c>
      <c r="S122" s="293">
        <f>VLOOKUP($B122,'4、其他合同'!$D:$AK,18,0)</f>
        <v>50000</v>
      </c>
      <c r="T122" s="293">
        <f>VLOOKUP($B122,'4、其他合同'!$D:$AK,19,0)</f>
        <v>0</v>
      </c>
      <c r="U122" s="290">
        <f>VLOOKUP($B122,'4、其他合同'!$D:$AK,20,0)</f>
        <v>0</v>
      </c>
      <c r="V122" s="293">
        <f>VLOOKUP($B122,'4、其他合同'!$D:$AK,21,0)</f>
        <v>0</v>
      </c>
      <c r="W122" s="293">
        <f>VLOOKUP($B122,'4、其他合同'!$D:$AK,22,0)</f>
        <v>0</v>
      </c>
      <c r="X122" s="290">
        <f>VLOOKUP($B122,'4、其他合同'!$D:$AK,23,0)</f>
        <v>0</v>
      </c>
      <c r="Y122" s="293">
        <f>VLOOKUP($B122,'4、其他合同'!$D:$AK,24,0)</f>
        <v>0</v>
      </c>
      <c r="Z122" s="293">
        <f>VLOOKUP($B122,'4、其他合同'!$D:$AK,25,0)</f>
        <v>0</v>
      </c>
      <c r="AA122" s="290">
        <f>VLOOKUP($B122,'4、其他合同'!$D:$AK,26,0)</f>
        <v>0</v>
      </c>
      <c r="AB122" s="293">
        <f>VLOOKUP($B122,'4、其他合同'!$D:$AK,27,0)</f>
        <v>0</v>
      </c>
      <c r="AC122" s="293">
        <f>VLOOKUP($B122,'4、其他合同'!$D:$AK,28,0)</f>
        <v>0</v>
      </c>
      <c r="AD122" s="290">
        <f>VLOOKUP($B122,'4、其他合同'!$D:$AK,29,0)</f>
        <v>0</v>
      </c>
      <c r="AE122" s="293">
        <f>VLOOKUP($B122,'4、其他合同'!$D:$AK,30,0)</f>
        <v>0</v>
      </c>
      <c r="AF122" s="293">
        <f>VLOOKUP($B122,'4、其他合同'!$D:$AK,31,0)</f>
        <v>0</v>
      </c>
      <c r="AG122" s="293">
        <f>VLOOKUP($B122,'4、其他合同'!$D:$AK,32,0)</f>
        <v>0</v>
      </c>
      <c r="AH122" s="293">
        <f>VLOOKUP($B122,'4、其他合同'!$D:$AK,33,0)</f>
        <v>0</v>
      </c>
      <c r="AI122" s="312">
        <f>VLOOKUP($B122,'4、其他合同'!$D:$AK,34,0)</f>
        <v>0</v>
      </c>
      <c r="AJ122" s="309">
        <f t="shared" si="30"/>
        <v>200000</v>
      </c>
      <c r="AK122" s="289">
        <f t="shared" si="31"/>
        <v>0</v>
      </c>
      <c r="AL122" s="310">
        <f t="shared" si="32"/>
        <v>1</v>
      </c>
      <c r="AM122" s="289">
        <f t="shared" si="33"/>
        <v>200000</v>
      </c>
      <c r="AN122" s="311" t="str">
        <f t="shared" si="34"/>
        <v>数据正确</v>
      </c>
    </row>
    <row r="123" s="228" customFormat="1" customHeight="1" spans="1:40">
      <c r="A123" s="228" t="str">
        <f t="shared" si="29"/>
        <v>已完毕</v>
      </c>
      <c r="B123" s="256">
        <v>118</v>
      </c>
      <c r="C123" s="266" t="str">
        <f>VLOOKUP($B123,'4、其他合同'!$D:$AK,2,0)</f>
        <v>莆秀国土资出字（2015）10号</v>
      </c>
      <c r="D123" s="267" t="s">
        <v>25</v>
      </c>
      <c r="E123" s="267" t="str">
        <f>VLOOKUP($B123,'4、其他合同'!$D:$AK,4,0)</f>
        <v>-</v>
      </c>
      <c r="F123" s="268">
        <f>VLOOKUP($B123,'4、其他合同'!$D:$AK,5,0)</f>
        <v>42178</v>
      </c>
      <c r="G123" s="269">
        <f>VLOOKUP($B123,'4、其他合同'!$D:$AK,6,0)</f>
        <v>62470000</v>
      </c>
      <c r="H123" s="269" t="str">
        <f>VLOOKUP($B123,'4、其他合同'!$D:$AK,7,0)</f>
        <v>土地费（433816平米*144元/平米）</v>
      </c>
      <c r="I123" s="269" t="str">
        <f>VLOOKUP($B123,'4、其他合同'!$D:$AK,8,0)</f>
        <v>莆田市国土资源局秀屿分局</v>
      </c>
      <c r="J123" s="290">
        <f>VLOOKUP($B123,'4、其他合同'!$D:$AK,9,0)</f>
        <v>0</v>
      </c>
      <c r="K123" s="291" t="str">
        <f>VLOOKUP($B123,'4、其他合同'!$D:$AK,10,0)</f>
        <v>电汇</v>
      </c>
      <c r="L123" s="292" t="str">
        <f>VLOOKUP($B123,'4、其他合同'!$D:$AK,11,0)</f>
        <v>合同签订60日之内一次性付清</v>
      </c>
      <c r="M123" s="293">
        <f>VLOOKUP($B123,'4、其他合同'!$D:$AK,12,0)</f>
        <v>62470000</v>
      </c>
      <c r="N123" s="293">
        <f>VLOOKUP($B123,'4、其他合同'!$D:$AK,13,0)</f>
        <v>62470000</v>
      </c>
      <c r="O123" s="290">
        <f>VLOOKUP($B123,'4、其他合同'!$D:$AK,14,0)</f>
        <v>0</v>
      </c>
      <c r="P123" s="293">
        <f>VLOOKUP($B123,'4、其他合同'!$D:$AK,15,0)</f>
        <v>0</v>
      </c>
      <c r="Q123" s="293">
        <f>VLOOKUP($B123,'4、其他合同'!$D:$AK,16,0)</f>
        <v>0</v>
      </c>
      <c r="R123" s="290">
        <f>VLOOKUP($B123,'4、其他合同'!$D:$AK,17,0)</f>
        <v>0</v>
      </c>
      <c r="S123" s="293">
        <f>VLOOKUP($B123,'4、其他合同'!$D:$AK,18,0)</f>
        <v>0</v>
      </c>
      <c r="T123" s="293">
        <f>VLOOKUP($B123,'4、其他合同'!$D:$AK,19,0)</f>
        <v>0</v>
      </c>
      <c r="U123" s="290">
        <f>VLOOKUP($B123,'4、其他合同'!$D:$AK,20,0)</f>
        <v>0</v>
      </c>
      <c r="V123" s="293">
        <f>VLOOKUP($B123,'4、其他合同'!$D:$AK,21,0)</f>
        <v>0</v>
      </c>
      <c r="W123" s="293">
        <f>VLOOKUP($B123,'4、其他合同'!$D:$AK,22,0)</f>
        <v>0</v>
      </c>
      <c r="X123" s="290">
        <f>VLOOKUP($B123,'4、其他合同'!$D:$AK,23,0)</f>
        <v>0</v>
      </c>
      <c r="Y123" s="293">
        <f>VLOOKUP($B123,'4、其他合同'!$D:$AK,24,0)</f>
        <v>0</v>
      </c>
      <c r="Z123" s="293">
        <f>VLOOKUP($B123,'4、其他合同'!$D:$AK,25,0)</f>
        <v>0</v>
      </c>
      <c r="AA123" s="290">
        <f>VLOOKUP($B123,'4、其他合同'!$D:$AK,26,0)</f>
        <v>0</v>
      </c>
      <c r="AB123" s="293">
        <f>VLOOKUP($B123,'4、其他合同'!$D:$AK,27,0)</f>
        <v>0</v>
      </c>
      <c r="AC123" s="293">
        <f>VLOOKUP($B123,'4、其他合同'!$D:$AK,28,0)</f>
        <v>0</v>
      </c>
      <c r="AD123" s="290">
        <f>VLOOKUP($B123,'4、其他合同'!$D:$AK,29,0)</f>
        <v>0</v>
      </c>
      <c r="AE123" s="293">
        <f>VLOOKUP($B123,'4、其他合同'!$D:$AK,30,0)</f>
        <v>0</v>
      </c>
      <c r="AF123" s="293">
        <f>VLOOKUP($B123,'4、其他合同'!$D:$AK,31,0)</f>
        <v>0</v>
      </c>
      <c r="AG123" s="293">
        <f>VLOOKUP($B123,'4、其他合同'!$D:$AK,32,0)</f>
        <v>0</v>
      </c>
      <c r="AH123" s="293">
        <f>VLOOKUP($B123,'4、其他合同'!$D:$AK,33,0)</f>
        <v>0</v>
      </c>
      <c r="AI123" s="312">
        <f>VLOOKUP($B123,'4、其他合同'!$D:$AK,34,0)</f>
        <v>0</v>
      </c>
      <c r="AJ123" s="309">
        <f t="shared" si="30"/>
        <v>62470000</v>
      </c>
      <c r="AK123" s="289">
        <f t="shared" si="31"/>
        <v>0</v>
      </c>
      <c r="AL123" s="310">
        <f t="shared" si="32"/>
        <v>1</v>
      </c>
      <c r="AM123" s="289">
        <f t="shared" si="33"/>
        <v>62470000</v>
      </c>
      <c r="AN123" s="311" t="str">
        <f t="shared" si="34"/>
        <v>数据正确</v>
      </c>
    </row>
    <row r="124" s="228" customFormat="1" customHeight="1" spans="1:40">
      <c r="A124" s="228" t="str">
        <f t="shared" si="29"/>
        <v>已完毕</v>
      </c>
      <c r="B124" s="261">
        <v>119</v>
      </c>
      <c r="C124" s="266" t="str">
        <f>VLOOKUP($B124,'4、其他合同'!$D:$AK,2,0)</f>
        <v>莆海域2015年出字04号</v>
      </c>
      <c r="D124" s="267" t="s">
        <v>25</v>
      </c>
      <c r="E124" s="267" t="str">
        <f>VLOOKUP($B124,'4、其他合同'!$D:$AK,4,0)</f>
        <v>-</v>
      </c>
      <c r="F124" s="268">
        <f>VLOOKUP($B124,'4、其他合同'!$D:$AK,5,0)</f>
        <v>42051</v>
      </c>
      <c r="G124" s="269">
        <f>VLOOKUP($B124,'4、其他合同'!$D:$AK,6,0)</f>
        <v>12199000</v>
      </c>
      <c r="H124" s="269" t="str">
        <f>VLOOKUP($B124,'4、其他合同'!$D:$AK,7,0)</f>
        <v>海域土地费（50年）</v>
      </c>
      <c r="I124" s="269" t="str">
        <f>VLOOKUP($B124,'4、其他合同'!$D:$AK,8,0)</f>
        <v>莆田市财政局</v>
      </c>
      <c r="J124" s="290">
        <f>VLOOKUP($B124,'4、其他合同'!$D:$AK,9,0)</f>
        <v>0</v>
      </c>
      <c r="K124" s="291" t="str">
        <f>VLOOKUP($B124,'4、其他合同'!$D:$AK,10,0)</f>
        <v>电汇</v>
      </c>
      <c r="L124" s="292" t="str">
        <f>VLOOKUP($B124,'4、其他合同'!$D:$AK,11,0)</f>
        <v>合同签订10日之内一次性付清。定金2636806元，取得使用权证书后退回</v>
      </c>
      <c r="M124" s="293">
        <f>VLOOKUP($B124,'4、其他合同'!$D:$AK,12,0)</f>
        <v>12199000</v>
      </c>
      <c r="N124" s="293">
        <f>VLOOKUP($B124,'4、其他合同'!$D:$AK,13,0)</f>
        <v>12199000</v>
      </c>
      <c r="O124" s="290">
        <f>VLOOKUP($B124,'4、其他合同'!$D:$AK,14,0)</f>
        <v>0</v>
      </c>
      <c r="P124" s="293">
        <f>VLOOKUP($B124,'4、其他合同'!$D:$AK,15,0)</f>
        <v>0</v>
      </c>
      <c r="Q124" s="293">
        <f>VLOOKUP($B124,'4、其他合同'!$D:$AK,16,0)</f>
        <v>0</v>
      </c>
      <c r="R124" s="290">
        <f>VLOOKUP($B124,'4、其他合同'!$D:$AK,17,0)</f>
        <v>0</v>
      </c>
      <c r="S124" s="293">
        <f>VLOOKUP($B124,'4、其他合同'!$D:$AK,18,0)</f>
        <v>0</v>
      </c>
      <c r="T124" s="293">
        <f>VLOOKUP($B124,'4、其他合同'!$D:$AK,19,0)</f>
        <v>0</v>
      </c>
      <c r="U124" s="290">
        <f>VLOOKUP($B124,'4、其他合同'!$D:$AK,20,0)</f>
        <v>0</v>
      </c>
      <c r="V124" s="293">
        <f>VLOOKUP($B124,'4、其他合同'!$D:$AK,21,0)</f>
        <v>0</v>
      </c>
      <c r="W124" s="293">
        <f>VLOOKUP($B124,'4、其他合同'!$D:$AK,22,0)</f>
        <v>0</v>
      </c>
      <c r="X124" s="290">
        <f>VLOOKUP($B124,'4、其他合同'!$D:$AK,23,0)</f>
        <v>0</v>
      </c>
      <c r="Y124" s="293">
        <f>VLOOKUP($B124,'4、其他合同'!$D:$AK,24,0)</f>
        <v>0</v>
      </c>
      <c r="Z124" s="293">
        <f>VLOOKUP($B124,'4、其他合同'!$D:$AK,25,0)</f>
        <v>0</v>
      </c>
      <c r="AA124" s="290">
        <f>VLOOKUP($B124,'4、其他合同'!$D:$AK,26,0)</f>
        <v>0</v>
      </c>
      <c r="AB124" s="293">
        <f>VLOOKUP($B124,'4、其他合同'!$D:$AK,27,0)</f>
        <v>0</v>
      </c>
      <c r="AC124" s="293">
        <f>VLOOKUP($B124,'4、其他合同'!$D:$AK,28,0)</f>
        <v>0</v>
      </c>
      <c r="AD124" s="290">
        <f>VLOOKUP($B124,'4、其他合同'!$D:$AK,29,0)</f>
        <v>0</v>
      </c>
      <c r="AE124" s="293">
        <f>VLOOKUP($B124,'4、其他合同'!$D:$AK,30,0)</f>
        <v>0</v>
      </c>
      <c r="AF124" s="293">
        <f>VLOOKUP($B124,'4、其他合同'!$D:$AK,31,0)</f>
        <v>0</v>
      </c>
      <c r="AG124" s="293">
        <f>VLOOKUP($B124,'4、其他合同'!$D:$AK,32,0)</f>
        <v>0</v>
      </c>
      <c r="AH124" s="293">
        <f>VLOOKUP($B124,'4、其他合同'!$D:$AK,33,0)</f>
        <v>0</v>
      </c>
      <c r="AI124" s="312">
        <f>VLOOKUP($B124,'4、其他合同'!$D:$AK,34,0)</f>
        <v>0</v>
      </c>
      <c r="AJ124" s="309">
        <f t="shared" si="30"/>
        <v>12199000</v>
      </c>
      <c r="AK124" s="289">
        <f t="shared" si="31"/>
        <v>0</v>
      </c>
      <c r="AL124" s="310">
        <f t="shared" si="32"/>
        <v>1</v>
      </c>
      <c r="AM124" s="289">
        <f t="shared" si="33"/>
        <v>12199000</v>
      </c>
      <c r="AN124" s="311" t="str">
        <f t="shared" si="34"/>
        <v>数据正确</v>
      </c>
    </row>
    <row r="125" s="228" customFormat="1" customHeight="1" spans="1:40">
      <c r="A125" s="228" t="str">
        <f t="shared" si="29"/>
        <v>已完毕</v>
      </c>
      <c r="B125" s="261">
        <v>120</v>
      </c>
      <c r="C125" s="266" t="str">
        <f>VLOOKUP($B125,'4、其他合同'!$D:$AK,2,0)</f>
        <v>莆海域2015年出字05号</v>
      </c>
      <c r="D125" s="267" t="s">
        <v>25</v>
      </c>
      <c r="E125" s="267" t="str">
        <f>VLOOKUP($B125,'4、其他合同'!$D:$AK,4,0)</f>
        <v>-</v>
      </c>
      <c r="F125" s="268">
        <f>VLOOKUP($B125,'4、其他合同'!$D:$AK,5,0)</f>
        <v>42051</v>
      </c>
      <c r="G125" s="269">
        <f>VLOOKUP($B125,'4、其他合同'!$D:$AK,6,0)</f>
        <v>18557800</v>
      </c>
      <c r="H125" s="269" t="str">
        <f>VLOOKUP($B125,'4、其他合同'!$D:$AK,7,0)</f>
        <v>海域土地费（50年）</v>
      </c>
      <c r="I125" s="269" t="str">
        <f>VLOOKUP($B125,'4、其他合同'!$D:$AK,8,0)</f>
        <v>莆田市财政局</v>
      </c>
      <c r="J125" s="290">
        <f>VLOOKUP($B125,'4、其他合同'!$D:$AK,9,0)</f>
        <v>0</v>
      </c>
      <c r="K125" s="291" t="str">
        <f>VLOOKUP($B125,'4、其他合同'!$D:$AK,10,0)</f>
        <v>电汇</v>
      </c>
      <c r="L125" s="292" t="str">
        <f>VLOOKUP($B125,'4、其他合同'!$D:$AK,11,0)</f>
        <v>合同签订10日之内一次性付清。定金4028653元，取得使用权证书后退回</v>
      </c>
      <c r="M125" s="293">
        <f>VLOOKUP($B125,'4、其他合同'!$D:$AK,12,0)</f>
        <v>18557800</v>
      </c>
      <c r="N125" s="293">
        <f>VLOOKUP($B125,'4、其他合同'!$D:$AK,13,0)</f>
        <v>18557800</v>
      </c>
      <c r="O125" s="290">
        <f>VLOOKUP($B125,'4、其他合同'!$D:$AK,14,0)</f>
        <v>0</v>
      </c>
      <c r="P125" s="293">
        <f>VLOOKUP($B125,'4、其他合同'!$D:$AK,15,0)</f>
        <v>0</v>
      </c>
      <c r="Q125" s="293">
        <f>VLOOKUP($B125,'4、其他合同'!$D:$AK,16,0)</f>
        <v>0</v>
      </c>
      <c r="R125" s="290">
        <f>VLOOKUP($B125,'4、其他合同'!$D:$AK,17,0)</f>
        <v>0</v>
      </c>
      <c r="S125" s="293">
        <f>VLOOKUP($B125,'4、其他合同'!$D:$AK,18,0)</f>
        <v>0</v>
      </c>
      <c r="T125" s="293">
        <f>VLOOKUP($B125,'4、其他合同'!$D:$AK,19,0)</f>
        <v>0</v>
      </c>
      <c r="U125" s="290">
        <f>VLOOKUP($B125,'4、其他合同'!$D:$AK,20,0)</f>
        <v>0</v>
      </c>
      <c r="V125" s="293">
        <f>VLOOKUP($B125,'4、其他合同'!$D:$AK,21,0)</f>
        <v>0</v>
      </c>
      <c r="W125" s="293">
        <f>VLOOKUP($B125,'4、其他合同'!$D:$AK,22,0)</f>
        <v>0</v>
      </c>
      <c r="X125" s="290">
        <f>VLOOKUP($B125,'4、其他合同'!$D:$AK,23,0)</f>
        <v>0</v>
      </c>
      <c r="Y125" s="293">
        <f>VLOOKUP($B125,'4、其他合同'!$D:$AK,24,0)</f>
        <v>0</v>
      </c>
      <c r="Z125" s="293">
        <f>VLOOKUP($B125,'4、其他合同'!$D:$AK,25,0)</f>
        <v>0</v>
      </c>
      <c r="AA125" s="290">
        <f>VLOOKUP($B125,'4、其他合同'!$D:$AK,26,0)</f>
        <v>0</v>
      </c>
      <c r="AB125" s="293">
        <f>VLOOKUP($B125,'4、其他合同'!$D:$AK,27,0)</f>
        <v>0</v>
      </c>
      <c r="AC125" s="293">
        <f>VLOOKUP($B125,'4、其他合同'!$D:$AK,28,0)</f>
        <v>0</v>
      </c>
      <c r="AD125" s="290">
        <f>VLOOKUP($B125,'4、其他合同'!$D:$AK,29,0)</f>
        <v>0</v>
      </c>
      <c r="AE125" s="293">
        <f>VLOOKUP($B125,'4、其他合同'!$D:$AK,30,0)</f>
        <v>0</v>
      </c>
      <c r="AF125" s="293">
        <f>VLOOKUP($B125,'4、其他合同'!$D:$AK,31,0)</f>
        <v>0</v>
      </c>
      <c r="AG125" s="293">
        <f>VLOOKUP($B125,'4、其他合同'!$D:$AK,32,0)</f>
        <v>0</v>
      </c>
      <c r="AH125" s="293">
        <f>VLOOKUP($B125,'4、其他合同'!$D:$AK,33,0)</f>
        <v>0</v>
      </c>
      <c r="AI125" s="312">
        <f>VLOOKUP($B125,'4、其他合同'!$D:$AK,34,0)</f>
        <v>0</v>
      </c>
      <c r="AJ125" s="309">
        <f t="shared" si="30"/>
        <v>18557800</v>
      </c>
      <c r="AK125" s="289">
        <f t="shared" si="31"/>
        <v>0</v>
      </c>
      <c r="AL125" s="310">
        <f t="shared" si="32"/>
        <v>1</v>
      </c>
      <c r="AM125" s="289">
        <f t="shared" si="33"/>
        <v>18557800</v>
      </c>
      <c r="AN125" s="311" t="str">
        <f t="shared" si="34"/>
        <v>数据正确</v>
      </c>
    </row>
    <row r="126" s="228" customFormat="1" customHeight="1" spans="1:40">
      <c r="A126" s="228" t="str">
        <f t="shared" si="29"/>
        <v>已完毕</v>
      </c>
      <c r="B126" s="256">
        <v>121</v>
      </c>
      <c r="C126" s="266" t="str">
        <f>VLOOKUP($B126,'4、其他合同'!$D:$AK,2,0)</f>
        <v>无</v>
      </c>
      <c r="D126" s="267" t="s">
        <v>25</v>
      </c>
      <c r="E126" s="267" t="str">
        <f>VLOOKUP($B126,'4、其他合同'!$D:$AK,4,0)</f>
        <v>-</v>
      </c>
      <c r="F126" s="268">
        <f>VLOOKUP($B126,'4、其他合同'!$D:$AK,5,0)</f>
        <v>42520</v>
      </c>
      <c r="G126" s="269">
        <f>VLOOKUP($B126,'4、其他合同'!$D:$AK,6,0)</f>
        <v>62439385.77</v>
      </c>
      <c r="H126" s="269" t="str">
        <f>VLOOKUP($B126,'4、其他合同'!$D:$AK,7,0)</f>
        <v>排污权交易（60万吨）</v>
      </c>
      <c r="I126" s="269" t="str">
        <f>VLOOKUP($B126,'4、其他合同'!$D:$AK,8,0)</f>
        <v>仙游县环境保护局</v>
      </c>
      <c r="J126" s="290">
        <f>VLOOKUP($B126,'4、其他合同'!$D:$AK,9,0)</f>
        <v>0</v>
      </c>
      <c r="K126" s="291" t="str">
        <f>VLOOKUP($B126,'4、其他合同'!$D:$AK,10,0)</f>
        <v>电汇</v>
      </c>
      <c r="L126" s="292" t="str">
        <f>VLOOKUP($B126,'4、其他合同'!$D:$AK,11,0)</f>
        <v>合同签订10日之内一次性付清。定金4028653元，取得使用权证书后退回</v>
      </c>
      <c r="M126" s="293">
        <f>VLOOKUP($B126,'4、其他合同'!$D:$AK,12,0)</f>
        <v>62439385.77</v>
      </c>
      <c r="N126" s="293">
        <f>VLOOKUP($B126,'4、其他合同'!$D:$AK,13,0)</f>
        <v>62439385.77</v>
      </c>
      <c r="O126" s="290">
        <f>VLOOKUP($B126,'4、其他合同'!$D:$AK,14,0)</f>
        <v>0</v>
      </c>
      <c r="P126" s="293">
        <f>VLOOKUP($B126,'4、其他合同'!$D:$AK,15,0)</f>
        <v>0</v>
      </c>
      <c r="Q126" s="293">
        <f>VLOOKUP($B126,'4、其他合同'!$D:$AK,16,0)</f>
        <v>0</v>
      </c>
      <c r="R126" s="290">
        <f>VLOOKUP($B126,'4、其他合同'!$D:$AK,17,0)</f>
        <v>0</v>
      </c>
      <c r="S126" s="293">
        <f>VLOOKUP($B126,'4、其他合同'!$D:$AK,18,0)</f>
        <v>0</v>
      </c>
      <c r="T126" s="293">
        <f>VLOOKUP($B126,'4、其他合同'!$D:$AK,19,0)</f>
        <v>0</v>
      </c>
      <c r="U126" s="290">
        <f>VLOOKUP($B126,'4、其他合同'!$D:$AK,20,0)</f>
        <v>0</v>
      </c>
      <c r="V126" s="293">
        <f>VLOOKUP($B126,'4、其他合同'!$D:$AK,21,0)</f>
        <v>0</v>
      </c>
      <c r="W126" s="293">
        <f>VLOOKUP($B126,'4、其他合同'!$D:$AK,22,0)</f>
        <v>0</v>
      </c>
      <c r="X126" s="290">
        <f>VLOOKUP($B126,'4、其他合同'!$D:$AK,23,0)</f>
        <v>0</v>
      </c>
      <c r="Y126" s="293">
        <f>VLOOKUP($B126,'4、其他合同'!$D:$AK,24,0)</f>
        <v>0</v>
      </c>
      <c r="Z126" s="293">
        <f>VLOOKUP($B126,'4、其他合同'!$D:$AK,25,0)</f>
        <v>0</v>
      </c>
      <c r="AA126" s="290">
        <f>VLOOKUP($B126,'4、其他合同'!$D:$AK,26,0)</f>
        <v>0</v>
      </c>
      <c r="AB126" s="293">
        <f>VLOOKUP($B126,'4、其他合同'!$D:$AK,27,0)</f>
        <v>0</v>
      </c>
      <c r="AC126" s="293">
        <f>VLOOKUP($B126,'4、其他合同'!$D:$AK,28,0)</f>
        <v>0</v>
      </c>
      <c r="AD126" s="290">
        <f>VLOOKUP($B126,'4、其他合同'!$D:$AK,29,0)</f>
        <v>0</v>
      </c>
      <c r="AE126" s="293">
        <f>VLOOKUP($B126,'4、其他合同'!$D:$AK,30,0)</f>
        <v>0</v>
      </c>
      <c r="AF126" s="293">
        <f>VLOOKUP($B126,'4、其他合同'!$D:$AK,31,0)</f>
        <v>0</v>
      </c>
      <c r="AG126" s="293">
        <f>VLOOKUP($B126,'4、其他合同'!$D:$AK,32,0)</f>
        <v>0</v>
      </c>
      <c r="AH126" s="293">
        <f>VLOOKUP($B126,'4、其他合同'!$D:$AK,33,0)</f>
        <v>0</v>
      </c>
      <c r="AI126" s="312">
        <f>VLOOKUP($B126,'4、其他合同'!$D:$AK,34,0)</f>
        <v>0</v>
      </c>
      <c r="AJ126" s="309">
        <f t="shared" si="30"/>
        <v>62439385.77</v>
      </c>
      <c r="AK126" s="289">
        <f t="shared" si="31"/>
        <v>0</v>
      </c>
      <c r="AL126" s="310">
        <f t="shared" si="32"/>
        <v>1</v>
      </c>
      <c r="AM126" s="289">
        <f t="shared" si="33"/>
        <v>62439385.77</v>
      </c>
      <c r="AN126" s="311" t="str">
        <f t="shared" si="34"/>
        <v>数据正确</v>
      </c>
    </row>
    <row r="127" s="228" customFormat="1" customHeight="1" spans="1:40">
      <c r="A127" s="228" t="str">
        <f t="shared" si="29"/>
        <v/>
      </c>
      <c r="B127" s="261">
        <v>122</v>
      </c>
      <c r="C127" s="266" t="str">
        <f>VLOOKUP($B127,'4、其他合同'!$D:$AK,2,0)</f>
        <v>无</v>
      </c>
      <c r="D127" s="267" t="s">
        <v>25</v>
      </c>
      <c r="E127" s="267" t="str">
        <f>VLOOKUP($B127,'4、其他合同'!$D:$AK,4,0)</f>
        <v>-</v>
      </c>
      <c r="F127" s="268">
        <f>VLOOKUP($B127,'4、其他合同'!$D:$AK,5,0)</f>
        <v>42023</v>
      </c>
      <c r="G127" s="269">
        <f>VLOOKUP($B127,'4、其他合同'!$D:$AK,6,0)</f>
        <v>78313</v>
      </c>
      <c r="H127" s="269" t="str">
        <f>VLOOKUP($B127,'4、其他合同'!$D:$AK,7,0)</f>
        <v>护卫保安服务</v>
      </c>
      <c r="I127" s="269" t="str">
        <f>VLOOKUP($B127,'4、其他合同'!$D:$AK,8,0)</f>
        <v>福建特护保安有限公司南安分公司</v>
      </c>
      <c r="J127" s="290">
        <f>VLOOKUP($B127,'4、其他合同'!$D:$AK,9,0)</f>
        <v>0</v>
      </c>
      <c r="K127" s="291" t="str">
        <f>VLOOKUP($B127,'4、其他合同'!$D:$AK,10,0)</f>
        <v>电汇</v>
      </c>
      <c r="L127" s="292" t="str">
        <f>VLOOKUP($B127,'4、其他合同'!$D:$AK,11,0)</f>
        <v>次月20日之前支付本月服务费</v>
      </c>
      <c r="M127" s="293">
        <f>VLOOKUP($B127,'4、其他合同'!$D:$AK,12,0)</f>
        <v>78313</v>
      </c>
      <c r="N127" s="293">
        <f>VLOOKUP($B127,'4、其他合同'!$D:$AK,13,0)</f>
        <v>0</v>
      </c>
      <c r="O127" s="290">
        <f>VLOOKUP($B127,'4、其他合同'!$D:$AK,14,0)</f>
        <v>0</v>
      </c>
      <c r="P127" s="293">
        <f>VLOOKUP($B127,'4、其他合同'!$D:$AK,15,0)</f>
        <v>0</v>
      </c>
      <c r="Q127" s="293">
        <f>VLOOKUP($B127,'4、其他合同'!$D:$AK,16,0)</f>
        <v>0</v>
      </c>
      <c r="R127" s="290">
        <f>VLOOKUP($B127,'4、其他合同'!$D:$AK,17,0)</f>
        <v>0</v>
      </c>
      <c r="S127" s="293">
        <f>VLOOKUP($B127,'4、其他合同'!$D:$AK,18,0)</f>
        <v>0</v>
      </c>
      <c r="T127" s="293">
        <f>VLOOKUP($B127,'4、其他合同'!$D:$AK,19,0)</f>
        <v>0</v>
      </c>
      <c r="U127" s="290">
        <f>VLOOKUP($B127,'4、其他合同'!$D:$AK,20,0)</f>
        <v>0</v>
      </c>
      <c r="V127" s="293">
        <f>VLOOKUP($B127,'4、其他合同'!$D:$AK,21,0)</f>
        <v>0</v>
      </c>
      <c r="W127" s="293">
        <f>VLOOKUP($B127,'4、其他合同'!$D:$AK,22,0)</f>
        <v>0</v>
      </c>
      <c r="X127" s="290">
        <f>VLOOKUP($B127,'4、其他合同'!$D:$AK,23,0)</f>
        <v>0</v>
      </c>
      <c r="Y127" s="293">
        <f>VLOOKUP($B127,'4、其他合同'!$D:$AK,24,0)</f>
        <v>0</v>
      </c>
      <c r="Z127" s="293">
        <f>VLOOKUP($B127,'4、其他合同'!$D:$AK,25,0)</f>
        <v>0</v>
      </c>
      <c r="AA127" s="290">
        <f>VLOOKUP($B127,'4、其他合同'!$D:$AK,26,0)</f>
        <v>0</v>
      </c>
      <c r="AB127" s="293">
        <f>VLOOKUP($B127,'4、其他合同'!$D:$AK,27,0)</f>
        <v>0</v>
      </c>
      <c r="AC127" s="293">
        <f>VLOOKUP($B127,'4、其他合同'!$D:$AK,28,0)</f>
        <v>0</v>
      </c>
      <c r="AD127" s="290">
        <f>VLOOKUP($B127,'4、其他合同'!$D:$AK,29,0)</f>
        <v>0</v>
      </c>
      <c r="AE127" s="293">
        <f>VLOOKUP($B127,'4、其他合同'!$D:$AK,30,0)</f>
        <v>0</v>
      </c>
      <c r="AF127" s="293">
        <f>VLOOKUP($B127,'4、其他合同'!$D:$AK,31,0)</f>
        <v>0</v>
      </c>
      <c r="AG127" s="293">
        <f>VLOOKUP($B127,'4、其他合同'!$D:$AK,32,0)</f>
        <v>0</v>
      </c>
      <c r="AH127" s="293">
        <f>VLOOKUP($B127,'4、其他合同'!$D:$AK,33,0)</f>
        <v>0</v>
      </c>
      <c r="AI127" s="312">
        <f>VLOOKUP($B127,'4、其他合同'!$D:$AK,34,0)</f>
        <v>0</v>
      </c>
      <c r="AJ127" s="309">
        <f t="shared" si="30"/>
        <v>0</v>
      </c>
      <c r="AK127" s="289">
        <f t="shared" si="31"/>
        <v>78313</v>
      </c>
      <c r="AL127" s="310">
        <f t="shared" si="32"/>
        <v>0</v>
      </c>
      <c r="AM127" s="289">
        <f t="shared" si="33"/>
        <v>78313</v>
      </c>
      <c r="AN127" s="311" t="str">
        <f t="shared" si="34"/>
        <v>数据正确</v>
      </c>
    </row>
    <row r="128" s="228" customFormat="1" customHeight="1" spans="1:40">
      <c r="A128" s="228" t="str">
        <f t="shared" si="29"/>
        <v/>
      </c>
      <c r="B128" s="261">
        <v>123</v>
      </c>
      <c r="C128" s="266" t="str">
        <f>VLOOKUP($B128,'4、其他合同'!$D:$AK,2,0)</f>
        <v>HZPJY(2016)-01</v>
      </c>
      <c r="D128" s="267" t="s">
        <v>25</v>
      </c>
      <c r="E128" s="267" t="str">
        <f>VLOOKUP($B128,'4、其他合同'!$D:$AK,4,0)</f>
        <v>-</v>
      </c>
      <c r="F128" s="268">
        <f>VLOOKUP($B128,'4、其他合同'!$D:$AK,5,0)</f>
        <v>42460</v>
      </c>
      <c r="G128" s="269">
        <f>VLOOKUP($B128,'4、其他合同'!$D:$AK,6,0)</f>
        <v>180000</v>
      </c>
      <c r="H128" s="269" t="str">
        <f>VLOOKUP($B128,'4、其他合同'!$D:$AK,7,0)</f>
        <v>化工职业病预评价</v>
      </c>
      <c r="I128" s="269" t="str">
        <f>VLOOKUP($B128,'4、其他合同'!$D:$AK,8,0)</f>
        <v>北京化工职业病防治院</v>
      </c>
      <c r="J128" s="290">
        <f>VLOOKUP($B128,'4、其他合同'!$D:$AK,9,0)</f>
        <v>0</v>
      </c>
      <c r="K128" s="291" t="str">
        <f>VLOOKUP($B128,'4、其他合同'!$D:$AK,10,0)</f>
        <v>电汇</v>
      </c>
      <c r="L128" s="292" t="str">
        <f>VLOOKUP($B128,'4、其他合同'!$D:$AK,11,0)</f>
        <v>合同签订5个工作日支付20%</v>
      </c>
      <c r="M128" s="293">
        <f>VLOOKUP($B128,'4、其他合同'!$D:$AK,12,0)</f>
        <v>36000</v>
      </c>
      <c r="N128" s="293">
        <f>VLOOKUP($B128,'4、其他合同'!$D:$AK,13,0)</f>
        <v>0</v>
      </c>
      <c r="O128" s="290" t="str">
        <f>VLOOKUP($B128,'4、其他合同'!$D:$AK,14,0)</f>
        <v>安监局组织召开审核会议前5日支付30%</v>
      </c>
      <c r="P128" s="293">
        <f>VLOOKUP($B128,'4、其他合同'!$D:$AK,15,0)</f>
        <v>54000</v>
      </c>
      <c r="Q128" s="293">
        <f>VLOOKUP($B128,'4、其他合同'!$D:$AK,16,0)</f>
        <v>0</v>
      </c>
      <c r="R128" s="290" t="str">
        <f>VLOOKUP($B128,'4、其他合同'!$D:$AK,17,0)</f>
        <v>通过国家行政主管部门备案批复后5个工作日，支付50%</v>
      </c>
      <c r="S128" s="293">
        <f>VLOOKUP($B128,'4、其他合同'!$D:$AK,18,0)</f>
        <v>90000</v>
      </c>
      <c r="T128" s="293">
        <f>VLOOKUP($B128,'4、其他合同'!$D:$AK,19,0)</f>
        <v>0</v>
      </c>
      <c r="U128" s="290">
        <f>VLOOKUP($B128,'4、其他合同'!$D:$AK,20,0)</f>
        <v>0</v>
      </c>
      <c r="V128" s="293">
        <f>VLOOKUP($B128,'4、其他合同'!$D:$AK,21,0)</f>
        <v>0</v>
      </c>
      <c r="W128" s="293">
        <f>VLOOKUP($B128,'4、其他合同'!$D:$AK,22,0)</f>
        <v>0</v>
      </c>
      <c r="X128" s="290">
        <f>VLOOKUP($B128,'4、其他合同'!$D:$AK,23,0)</f>
        <v>0</v>
      </c>
      <c r="Y128" s="293">
        <f>VLOOKUP($B128,'4、其他合同'!$D:$AK,24,0)</f>
        <v>0</v>
      </c>
      <c r="Z128" s="293">
        <f>VLOOKUP($B128,'4、其他合同'!$D:$AK,25,0)</f>
        <v>0</v>
      </c>
      <c r="AA128" s="290">
        <f>VLOOKUP($B128,'4、其他合同'!$D:$AK,26,0)</f>
        <v>0</v>
      </c>
      <c r="AB128" s="293">
        <f>VLOOKUP($B128,'4、其他合同'!$D:$AK,27,0)</f>
        <v>0</v>
      </c>
      <c r="AC128" s="293">
        <f>VLOOKUP($B128,'4、其他合同'!$D:$AK,28,0)</f>
        <v>0</v>
      </c>
      <c r="AD128" s="290">
        <f>VLOOKUP($B128,'4、其他合同'!$D:$AK,29,0)</f>
        <v>0</v>
      </c>
      <c r="AE128" s="293">
        <f>VLOOKUP($B128,'4、其他合同'!$D:$AK,30,0)</f>
        <v>0</v>
      </c>
      <c r="AF128" s="293">
        <f>VLOOKUP($B128,'4、其他合同'!$D:$AK,31,0)</f>
        <v>0</v>
      </c>
      <c r="AG128" s="293">
        <f>VLOOKUP($B128,'4、其他合同'!$D:$AK,32,0)</f>
        <v>0</v>
      </c>
      <c r="AH128" s="293">
        <f>VLOOKUP($B128,'4、其他合同'!$D:$AK,33,0)</f>
        <v>0</v>
      </c>
      <c r="AI128" s="312">
        <f>VLOOKUP($B128,'4、其他合同'!$D:$AK,34,0)</f>
        <v>0</v>
      </c>
      <c r="AJ128" s="309">
        <f t="shared" si="30"/>
        <v>0</v>
      </c>
      <c r="AK128" s="289">
        <f t="shared" si="31"/>
        <v>180000</v>
      </c>
      <c r="AL128" s="310">
        <f t="shared" si="32"/>
        <v>0</v>
      </c>
      <c r="AM128" s="289">
        <f t="shared" si="33"/>
        <v>180000</v>
      </c>
      <c r="AN128" s="311" t="str">
        <f t="shared" si="34"/>
        <v>数据正确</v>
      </c>
    </row>
    <row r="129" s="228" customFormat="1" customHeight="1" spans="1:40">
      <c r="A129" s="228" t="str">
        <f t="shared" si="29"/>
        <v>已完毕</v>
      </c>
      <c r="B129" s="256">
        <v>124</v>
      </c>
      <c r="C129" s="266" t="str">
        <f>VLOOKUP($B129,'4、其他合同'!$D:$AK,2,0)</f>
        <v>莆秀国土资出字（2016）2号</v>
      </c>
      <c r="D129" s="267" t="s">
        <v>25</v>
      </c>
      <c r="E129" s="267" t="str">
        <f>VLOOKUP($B129,'4、其他合同'!$D:$AK,4,0)</f>
        <v>-</v>
      </c>
      <c r="F129" s="268">
        <f>VLOOKUP($B129,'4、其他合同'!$D:$AK,5,0)</f>
        <v>42451</v>
      </c>
      <c r="G129" s="269">
        <f>VLOOKUP($B129,'4、其他合同'!$D:$AK,6,0)</f>
        <v>39206000</v>
      </c>
      <c r="H129" s="269" t="str">
        <f>VLOOKUP($B129,'4、其他合同'!$D:$AK,7,0)</f>
        <v>土地费</v>
      </c>
      <c r="I129" s="269" t="str">
        <f>VLOOKUP($B129,'4、其他合同'!$D:$AK,8,0)</f>
        <v>莆田市国土资源局秀屿分局</v>
      </c>
      <c r="J129" s="290">
        <f>VLOOKUP($B129,'4、其他合同'!$D:$AK,9,0)</f>
        <v>0</v>
      </c>
      <c r="K129" s="291" t="str">
        <f>VLOOKUP($B129,'4、其他合同'!$D:$AK,10,0)</f>
        <v>电汇</v>
      </c>
      <c r="L129" s="292" t="str">
        <f>VLOOKUP($B129,'4、其他合同'!$D:$AK,11,0)</f>
        <v>合同签订60日之内一次性付清</v>
      </c>
      <c r="M129" s="293">
        <f>VLOOKUP($B129,'4、其他合同'!$D:$AK,12,0)</f>
        <v>39206000</v>
      </c>
      <c r="N129" s="293">
        <f>VLOOKUP($B129,'4、其他合同'!$D:$AK,13,0)</f>
        <v>39206000</v>
      </c>
      <c r="O129" s="290">
        <f>VLOOKUP($B129,'4、其他合同'!$D:$AK,14,0)</f>
        <v>0</v>
      </c>
      <c r="P129" s="293">
        <f>VLOOKUP($B129,'4、其他合同'!$D:$AK,15,0)</f>
        <v>0</v>
      </c>
      <c r="Q129" s="293">
        <f>VLOOKUP($B129,'4、其他合同'!$D:$AK,16,0)</f>
        <v>0</v>
      </c>
      <c r="R129" s="290">
        <f>VLOOKUP($B129,'4、其他合同'!$D:$AK,17,0)</f>
        <v>0</v>
      </c>
      <c r="S129" s="293">
        <f>VLOOKUP($B129,'4、其他合同'!$D:$AK,18,0)</f>
        <v>0</v>
      </c>
      <c r="T129" s="293">
        <f>VLOOKUP($B129,'4、其他合同'!$D:$AK,19,0)</f>
        <v>0</v>
      </c>
      <c r="U129" s="290">
        <f>VLOOKUP($B129,'4、其他合同'!$D:$AK,20,0)</f>
        <v>0</v>
      </c>
      <c r="V129" s="293">
        <f>VLOOKUP($B129,'4、其他合同'!$D:$AK,21,0)</f>
        <v>0</v>
      </c>
      <c r="W129" s="293">
        <f>VLOOKUP($B129,'4、其他合同'!$D:$AK,22,0)</f>
        <v>0</v>
      </c>
      <c r="X129" s="290">
        <f>VLOOKUP($B129,'4、其他合同'!$D:$AK,23,0)</f>
        <v>0</v>
      </c>
      <c r="Y129" s="293">
        <f>VLOOKUP($B129,'4、其他合同'!$D:$AK,24,0)</f>
        <v>0</v>
      </c>
      <c r="Z129" s="293">
        <f>VLOOKUP($B129,'4、其他合同'!$D:$AK,25,0)</f>
        <v>0</v>
      </c>
      <c r="AA129" s="290">
        <f>VLOOKUP($B129,'4、其他合同'!$D:$AK,26,0)</f>
        <v>0</v>
      </c>
      <c r="AB129" s="293">
        <f>VLOOKUP($B129,'4、其他合同'!$D:$AK,27,0)</f>
        <v>0</v>
      </c>
      <c r="AC129" s="293">
        <f>VLOOKUP($B129,'4、其他合同'!$D:$AK,28,0)</f>
        <v>0</v>
      </c>
      <c r="AD129" s="290">
        <f>VLOOKUP($B129,'4、其他合同'!$D:$AK,29,0)</f>
        <v>0</v>
      </c>
      <c r="AE129" s="293">
        <f>VLOOKUP($B129,'4、其他合同'!$D:$AK,30,0)</f>
        <v>0</v>
      </c>
      <c r="AF129" s="293">
        <f>VLOOKUP($B129,'4、其他合同'!$D:$AK,31,0)</f>
        <v>0</v>
      </c>
      <c r="AG129" s="293">
        <f>VLOOKUP($B129,'4、其他合同'!$D:$AK,32,0)</f>
        <v>0</v>
      </c>
      <c r="AH129" s="293">
        <f>VLOOKUP($B129,'4、其他合同'!$D:$AK,33,0)</f>
        <v>0</v>
      </c>
      <c r="AI129" s="312">
        <f>VLOOKUP($B129,'4、其他合同'!$D:$AK,34,0)</f>
        <v>0</v>
      </c>
      <c r="AJ129" s="309">
        <f t="shared" si="30"/>
        <v>39206000</v>
      </c>
      <c r="AK129" s="289">
        <f t="shared" si="31"/>
        <v>0</v>
      </c>
      <c r="AL129" s="310">
        <f t="shared" si="32"/>
        <v>1</v>
      </c>
      <c r="AM129" s="289">
        <f t="shared" si="33"/>
        <v>39206000</v>
      </c>
      <c r="AN129" s="311" t="str">
        <f t="shared" si="34"/>
        <v>数据正确</v>
      </c>
    </row>
    <row r="130" s="228" customFormat="1" customHeight="1" spans="1:40">
      <c r="A130" s="228" t="str">
        <f t="shared" si="29"/>
        <v>已完毕</v>
      </c>
      <c r="B130" s="261">
        <v>125</v>
      </c>
      <c r="C130" s="266">
        <f>VLOOKUP($B130,'4、其他合同'!$D:$AK,2,0)</f>
        <v>7583054592</v>
      </c>
      <c r="D130" s="267" t="s">
        <v>25</v>
      </c>
      <c r="E130" s="267" t="str">
        <f>VLOOKUP($B130,'4、其他合同'!$D:$AK,4,0)</f>
        <v>-</v>
      </c>
      <c r="F130" s="268">
        <f>VLOOKUP($B130,'4、其他合同'!$D:$AK,5,0)</f>
        <v>42047</v>
      </c>
      <c r="G130" s="269">
        <f>VLOOKUP($B130,'4、其他合同'!$D:$AK,6,0)</f>
        <v>0.001</v>
      </c>
      <c r="H130" s="269" t="str">
        <f>VLOOKUP($B130,'4、其他合同'!$D:$AK,7,0)</f>
        <v>临时接电费，暂收12.4万，临时接电结束退还</v>
      </c>
      <c r="I130" s="269" t="str">
        <f>VLOOKUP($B130,'4、其他合同'!$D:$AK,8,0)</f>
        <v>国网福建省电力有限公司莆田供电公司</v>
      </c>
      <c r="J130" s="290">
        <f>VLOOKUP($B130,'4、其他合同'!$D:$AK,9,0)</f>
        <v>0</v>
      </c>
      <c r="K130" s="291" t="str">
        <f>VLOOKUP($B130,'4、其他合同'!$D:$AK,10,0)</f>
        <v>电汇</v>
      </c>
      <c r="L130" s="292" t="str">
        <f>VLOOKUP($B130,'4、其他合同'!$D:$AK,11,0)</f>
        <v>合同签订一次性支付</v>
      </c>
      <c r="M130" s="293">
        <f>VLOOKUP($B130,'4、其他合同'!$D:$AK,12,0)</f>
        <v>0.001</v>
      </c>
      <c r="N130" s="293">
        <f>VLOOKUP($B130,'4、其他合同'!$D:$AK,13,0)</f>
        <v>0.001</v>
      </c>
      <c r="O130" s="290">
        <f>VLOOKUP($B130,'4、其他合同'!$D:$AK,14,0)</f>
        <v>0</v>
      </c>
      <c r="P130" s="293">
        <f>VLOOKUP($B130,'4、其他合同'!$D:$AK,15,0)</f>
        <v>0</v>
      </c>
      <c r="Q130" s="293">
        <f>VLOOKUP($B130,'4、其他合同'!$D:$AK,16,0)</f>
        <v>0</v>
      </c>
      <c r="R130" s="290">
        <f>VLOOKUP($B130,'4、其他合同'!$D:$AK,17,0)</f>
        <v>0</v>
      </c>
      <c r="S130" s="293">
        <f>VLOOKUP($B130,'4、其他合同'!$D:$AK,18,0)</f>
        <v>0</v>
      </c>
      <c r="T130" s="293">
        <f>VLOOKUP($B130,'4、其他合同'!$D:$AK,19,0)</f>
        <v>0</v>
      </c>
      <c r="U130" s="290">
        <f>VLOOKUP($B130,'4、其他合同'!$D:$AK,20,0)</f>
        <v>0</v>
      </c>
      <c r="V130" s="293">
        <f>VLOOKUP($B130,'4、其他合同'!$D:$AK,21,0)</f>
        <v>0</v>
      </c>
      <c r="W130" s="293">
        <f>VLOOKUP($B130,'4、其他合同'!$D:$AK,22,0)</f>
        <v>0</v>
      </c>
      <c r="X130" s="290">
        <f>VLOOKUP($B130,'4、其他合同'!$D:$AK,23,0)</f>
        <v>0</v>
      </c>
      <c r="Y130" s="293">
        <f>VLOOKUP($B130,'4、其他合同'!$D:$AK,24,0)</f>
        <v>0</v>
      </c>
      <c r="Z130" s="293">
        <f>VLOOKUP($B130,'4、其他合同'!$D:$AK,25,0)</f>
        <v>0</v>
      </c>
      <c r="AA130" s="290">
        <f>VLOOKUP($B130,'4、其他合同'!$D:$AK,26,0)</f>
        <v>0</v>
      </c>
      <c r="AB130" s="293">
        <f>VLOOKUP($B130,'4、其他合同'!$D:$AK,27,0)</f>
        <v>0</v>
      </c>
      <c r="AC130" s="293">
        <f>VLOOKUP($B130,'4、其他合同'!$D:$AK,28,0)</f>
        <v>0</v>
      </c>
      <c r="AD130" s="290">
        <f>VLOOKUP($B130,'4、其他合同'!$D:$AK,29,0)</f>
        <v>0</v>
      </c>
      <c r="AE130" s="293">
        <f>VLOOKUP($B130,'4、其他合同'!$D:$AK,30,0)</f>
        <v>0</v>
      </c>
      <c r="AF130" s="293">
        <f>VLOOKUP($B130,'4、其他合同'!$D:$AK,31,0)</f>
        <v>0</v>
      </c>
      <c r="AG130" s="293">
        <f>VLOOKUP($B130,'4、其他合同'!$D:$AK,32,0)</f>
        <v>0</v>
      </c>
      <c r="AH130" s="293">
        <f>VLOOKUP($B130,'4、其他合同'!$D:$AK,33,0)</f>
        <v>0</v>
      </c>
      <c r="AI130" s="312">
        <f>VLOOKUP($B130,'4、其他合同'!$D:$AK,34,0)</f>
        <v>0</v>
      </c>
      <c r="AJ130" s="309">
        <f t="shared" si="30"/>
        <v>0.001</v>
      </c>
      <c r="AK130" s="289">
        <f t="shared" si="31"/>
        <v>0</v>
      </c>
      <c r="AL130" s="310">
        <f t="shared" si="32"/>
        <v>1</v>
      </c>
      <c r="AM130" s="289">
        <f t="shared" si="33"/>
        <v>0.001</v>
      </c>
      <c r="AN130" s="311" t="str">
        <f t="shared" si="34"/>
        <v>数据正确</v>
      </c>
    </row>
    <row r="131" s="228" customFormat="1" customHeight="1" spans="1:40">
      <c r="A131" s="228" t="str">
        <f t="shared" si="29"/>
        <v>已完毕</v>
      </c>
      <c r="B131" s="261">
        <v>126</v>
      </c>
      <c r="C131" s="266" t="str">
        <f>VLOOKUP($B131,'4、其他合同'!$D:$AK,2,0)</f>
        <v>YR-TGA-01-03</v>
      </c>
      <c r="D131" s="267" t="s">
        <v>25</v>
      </c>
      <c r="E131" s="267" t="str">
        <f>VLOOKUP($B131,'4、其他合同'!$D:$AK,4,0)</f>
        <v>-</v>
      </c>
      <c r="F131" s="268">
        <f>VLOOKUP($B131,'4、其他合同'!$D:$AK,5,0)</f>
        <v>42594</v>
      </c>
      <c r="G131" s="269">
        <f>VLOOKUP($B131,'4、其他合同'!$D:$AK,6,0)</f>
        <v>999</v>
      </c>
      <c r="H131" s="269" t="str">
        <f>VLOOKUP($B131,'4、其他合同'!$D:$AK,7,0)</f>
        <v>597人才网服务（16.8.1-18.8.1）</v>
      </c>
      <c r="I131" s="269" t="str">
        <f>VLOOKUP($B131,'4、其他合同'!$D:$AK,8,0)</f>
        <v>莆田伍玖柒网络科技有限公司</v>
      </c>
      <c r="J131" s="290">
        <f>VLOOKUP($B131,'4、其他合同'!$D:$AK,9,0)</f>
        <v>0</v>
      </c>
      <c r="K131" s="291" t="str">
        <f>VLOOKUP($B131,'4、其他合同'!$D:$AK,10,0)</f>
        <v>电汇</v>
      </c>
      <c r="L131" s="292" t="str">
        <f>VLOOKUP($B131,'4、其他合同'!$D:$AK,11,0)</f>
        <v>全额</v>
      </c>
      <c r="M131" s="293">
        <f>VLOOKUP($B131,'4、其他合同'!$D:$AK,12,0)</f>
        <v>999</v>
      </c>
      <c r="N131" s="293">
        <f>VLOOKUP($B131,'4、其他合同'!$D:$AK,13,0)</f>
        <v>999</v>
      </c>
      <c r="O131" s="290">
        <f>VLOOKUP($B131,'4、其他合同'!$D:$AK,14,0)</f>
        <v>0</v>
      </c>
      <c r="P131" s="293">
        <f>VLOOKUP($B131,'4、其他合同'!$D:$AK,15,0)</f>
        <v>0</v>
      </c>
      <c r="Q131" s="293">
        <f>VLOOKUP($B131,'4、其他合同'!$D:$AK,16,0)</f>
        <v>0</v>
      </c>
      <c r="R131" s="290">
        <f>VLOOKUP($B131,'4、其他合同'!$D:$AK,17,0)</f>
        <v>0</v>
      </c>
      <c r="S131" s="293">
        <f>VLOOKUP($B131,'4、其他合同'!$D:$AK,18,0)</f>
        <v>0</v>
      </c>
      <c r="T131" s="293">
        <f>VLOOKUP($B131,'4、其他合同'!$D:$AK,19,0)</f>
        <v>0</v>
      </c>
      <c r="U131" s="290">
        <f>VLOOKUP($B131,'4、其他合同'!$D:$AK,20,0)</f>
        <v>0</v>
      </c>
      <c r="V131" s="293">
        <f>VLOOKUP($B131,'4、其他合同'!$D:$AK,21,0)</f>
        <v>0</v>
      </c>
      <c r="W131" s="293">
        <f>VLOOKUP($B131,'4、其他合同'!$D:$AK,22,0)</f>
        <v>0</v>
      </c>
      <c r="X131" s="290">
        <f>VLOOKUP($B131,'4、其他合同'!$D:$AK,23,0)</f>
        <v>0</v>
      </c>
      <c r="Y131" s="293">
        <f>VLOOKUP($B131,'4、其他合同'!$D:$AK,24,0)</f>
        <v>0</v>
      </c>
      <c r="Z131" s="293">
        <f>VLOOKUP($B131,'4、其他合同'!$D:$AK,25,0)</f>
        <v>0</v>
      </c>
      <c r="AA131" s="290">
        <f>VLOOKUP($B131,'4、其他合同'!$D:$AK,26,0)</f>
        <v>0</v>
      </c>
      <c r="AB131" s="293">
        <f>VLOOKUP($B131,'4、其他合同'!$D:$AK,27,0)</f>
        <v>0</v>
      </c>
      <c r="AC131" s="293">
        <f>VLOOKUP($B131,'4、其他合同'!$D:$AK,28,0)</f>
        <v>0</v>
      </c>
      <c r="AD131" s="290">
        <f>VLOOKUP($B131,'4、其他合同'!$D:$AK,29,0)</f>
        <v>0</v>
      </c>
      <c r="AE131" s="293">
        <f>VLOOKUP($B131,'4、其他合同'!$D:$AK,30,0)</f>
        <v>0</v>
      </c>
      <c r="AF131" s="293">
        <f>VLOOKUP($B131,'4、其他合同'!$D:$AK,31,0)</f>
        <v>0</v>
      </c>
      <c r="AG131" s="293">
        <f>VLOOKUP($B131,'4、其他合同'!$D:$AK,32,0)</f>
        <v>0</v>
      </c>
      <c r="AH131" s="293">
        <f>VLOOKUP($B131,'4、其他合同'!$D:$AK,33,0)</f>
        <v>0</v>
      </c>
      <c r="AI131" s="312">
        <f>VLOOKUP($B131,'4、其他合同'!$D:$AK,34,0)</f>
        <v>0</v>
      </c>
      <c r="AJ131" s="309">
        <f t="shared" si="30"/>
        <v>999</v>
      </c>
      <c r="AK131" s="289">
        <f t="shared" si="31"/>
        <v>0</v>
      </c>
      <c r="AL131" s="310">
        <f t="shared" si="32"/>
        <v>1</v>
      </c>
      <c r="AM131" s="289">
        <f t="shared" si="33"/>
        <v>999</v>
      </c>
      <c r="AN131" s="311" t="str">
        <f t="shared" si="34"/>
        <v>数据正确</v>
      </c>
    </row>
    <row r="132" s="228" customFormat="1" customHeight="1" spans="1:40">
      <c r="A132" s="228" t="str">
        <f t="shared" si="29"/>
        <v/>
      </c>
      <c r="B132" s="256">
        <v>127</v>
      </c>
      <c r="C132" s="266" t="str">
        <f>VLOOKUP($B132,'3、工程合同'!$D:$AL,2,0)</f>
        <v>YRKJ-2016GC-SGHT001</v>
      </c>
      <c r="D132" s="267" t="str">
        <f>VLOOKUP($B132,'3、工程合同'!$D:$AL,3,0)</f>
        <v>工程合同</v>
      </c>
      <c r="E132" s="267" t="str">
        <f>VLOOKUP($B132,'3、工程合同'!$D:$AL,4,0)</f>
        <v>-</v>
      </c>
      <c r="F132" s="268">
        <f>VLOOKUP($B132,'3、工程合同'!$D:$AL,5,0)</f>
        <v>42505</v>
      </c>
      <c r="G132" s="269">
        <f>VLOOKUP($B132,'3、工程合同'!$D:$AL,6,0)</f>
        <v>7996800</v>
      </c>
      <c r="H132" s="269" t="str">
        <f>VLOOKUP($B132,'3、工程合同'!$D:$AL,7,0)</f>
        <v>三修车间、物装一车间、物装二车间工程施工</v>
      </c>
      <c r="I132" s="269" t="str">
        <f>VLOOKUP($B132,'3、工程合同'!$D:$AL,8,0)</f>
        <v>中化二建集团有限公司</v>
      </c>
      <c r="J132" s="290">
        <f>VLOOKUP($B132,'3、工程合同'!$D:$AL,9,0)</f>
        <v>0</v>
      </c>
      <c r="K132" s="291" t="str">
        <f>VLOOKUP($B132,'3、工程合同'!$D:$AL,10,0)</f>
        <v>6个月承兑汇票</v>
      </c>
      <c r="L132" s="292" t="str">
        <f>VLOOKUP($B132,'3、工程合同'!$D:$AL,11,0)</f>
        <v>结构施工到+-0.000完成，支付20%</v>
      </c>
      <c r="M132" s="293">
        <f>VLOOKUP($B132,'3、工程合同'!$D:$AL,12,0)</f>
        <v>1599360</v>
      </c>
      <c r="N132" s="293">
        <f>VLOOKUP($B132,'3、工程合同'!$D:$AL,13,0)</f>
        <v>1599000</v>
      </c>
      <c r="O132" s="290" t="str">
        <f>VLOOKUP($B132,'3、工程合同'!$D:$AL,14,0)</f>
        <v>结构施工到屋面，支付20%</v>
      </c>
      <c r="P132" s="293">
        <f>VLOOKUP($B132,'3、工程合同'!$D:$AL,15,0)</f>
        <v>1599360</v>
      </c>
      <c r="Q132" s="293">
        <f>VLOOKUP($B132,'3、工程合同'!$D:$AL,16,0)</f>
        <v>1590000</v>
      </c>
      <c r="R132" s="290" t="str">
        <f>VLOOKUP($B132,'3、工程合同'!$D:$AL,17,0)</f>
        <v>主体完成，支付20%</v>
      </c>
      <c r="S132" s="293">
        <f>VLOOKUP($B132,'3、工程合同'!$D:$AL,18,0)</f>
        <v>1599360</v>
      </c>
      <c r="T132" s="293">
        <f>VLOOKUP($B132,'3、工程合同'!$D:$AL,19,0)</f>
        <v>1590000</v>
      </c>
      <c r="U132" s="290" t="str">
        <f>VLOOKUP($B132,'3、工程合同'!$D:$AL,20,0)</f>
        <v>验收合格，支付20%</v>
      </c>
      <c r="V132" s="293">
        <f>VLOOKUP($B132,'3、工程合同'!$D:$AL,21,0)</f>
        <v>1599360</v>
      </c>
      <c r="W132" s="293">
        <f>VLOOKUP($B132,'3、工程合同'!$D:$AL,22,0)</f>
        <v>1590000</v>
      </c>
      <c r="X132" s="290" t="str">
        <f>VLOOKUP($B132,'3、工程合同'!$D:$AL,23,0)</f>
        <v>竣工验收合格，支付15%</v>
      </c>
      <c r="Y132" s="293">
        <f>VLOOKUP($B132,'3、工程合同'!$D:$AL,24,0)</f>
        <v>1199520</v>
      </c>
      <c r="Z132" s="293">
        <f>VLOOKUP($B132,'3、工程合同'!$D:$AL,25,0)</f>
        <v>0</v>
      </c>
      <c r="AA132" s="290" t="str">
        <f>VLOOKUP($B132,'3、工程合同'!$D:$AL,26,0)</f>
        <v>质保期5%，1年</v>
      </c>
      <c r="AB132" s="293">
        <f>VLOOKUP($B132,'3、工程合同'!$D:$AL,27,0)</f>
        <v>399840</v>
      </c>
      <c r="AC132" s="293">
        <f>VLOOKUP($B132,'3、工程合同'!$D:$AL,28,0)</f>
        <v>0</v>
      </c>
      <c r="AD132" s="290">
        <f>VLOOKUP($B132,'3、工程合同'!$D:$AL,29,0)</f>
        <v>0</v>
      </c>
      <c r="AE132" s="293">
        <f>VLOOKUP($B132,'3、工程合同'!$D:$AL,30,0)</f>
        <v>0</v>
      </c>
      <c r="AF132" s="293">
        <f>VLOOKUP($B132,'3、工程合同'!$D:$AL,31,0)</f>
        <v>0</v>
      </c>
      <c r="AG132" s="293">
        <f>VLOOKUP($B132,'3、工程合同'!$D:$AL,32,0)</f>
        <v>0</v>
      </c>
      <c r="AH132" s="293">
        <f>VLOOKUP($B132,'3、工程合同'!$D:$AL,33,0)</f>
        <v>0</v>
      </c>
      <c r="AI132" s="312">
        <f>VLOOKUP($B132,'3、工程合同'!$D:$AL,34,0)</f>
        <v>0</v>
      </c>
      <c r="AJ132" s="309">
        <f t="shared" si="30"/>
        <v>6369000</v>
      </c>
      <c r="AK132" s="289">
        <f t="shared" si="31"/>
        <v>1627800</v>
      </c>
      <c r="AL132" s="310">
        <f t="shared" si="32"/>
        <v>0.796443577430972</v>
      </c>
      <c r="AM132" s="289">
        <f t="shared" si="33"/>
        <v>7996800</v>
      </c>
      <c r="AN132" s="311" t="str">
        <f t="shared" si="34"/>
        <v>数据正确</v>
      </c>
    </row>
    <row r="133" customHeight="1" spans="1:40">
      <c r="A133" s="228" t="str">
        <f t="shared" si="29"/>
        <v/>
      </c>
      <c r="B133" s="261">
        <v>128</v>
      </c>
      <c r="C133" s="266" t="str">
        <f>VLOOKUP($B133,'3、工程合同'!$D:$AL,2,0)</f>
        <v>YRKJ-2016GC-JLHT0001</v>
      </c>
      <c r="D133" s="267" t="str">
        <f>VLOOKUP($B133,'3、工程合同'!$D:$AL,3,0)</f>
        <v>工程合同</v>
      </c>
      <c r="E133" s="267" t="str">
        <f>VLOOKUP($B133,'3、工程合同'!$D:$AL,4,0)</f>
        <v>-</v>
      </c>
      <c r="F133" s="268">
        <f>VLOOKUP($B133,'3、工程合同'!$D:$AL,5,0)</f>
        <v>42500</v>
      </c>
      <c r="G133" s="269">
        <f>VLOOKUP($B133,'3、工程合同'!$D:$AL,6,0)</f>
        <v>950000</v>
      </c>
      <c r="H133" s="269" t="str">
        <f>VLOOKUP($B133,'3、工程合同'!$D:$AL,7,0)</f>
        <v>建设工程监理</v>
      </c>
      <c r="I133" s="269" t="str">
        <f>VLOOKUP($B133,'3、工程合同'!$D:$AL,8,0)</f>
        <v>四川亿博工程项目管理有限公司</v>
      </c>
      <c r="J133" s="290">
        <f>VLOOKUP($B133,'3、工程合同'!$D:$AL,9,0)</f>
        <v>0</v>
      </c>
      <c r="K133" s="291" t="str">
        <f>VLOOKUP($B133,'3、工程合同'!$D:$AL,10,0)</f>
        <v>电汇</v>
      </c>
      <c r="L133" s="292" t="str">
        <f>VLOOKUP($B133,'3、工程合同'!$D:$AL,11,0)</f>
        <v>每月支付上月监理服务费，含发票</v>
      </c>
      <c r="M133" s="293">
        <f>VLOOKUP($B133,'3、工程合同'!$D:$AL,12,0)</f>
        <v>950000</v>
      </c>
      <c r="N133" s="293">
        <f>VLOOKUP($B133,'3、工程合同'!$D:$AL,13,0)</f>
        <v>446551</v>
      </c>
      <c r="O133" s="290">
        <f>VLOOKUP($B133,'3、工程合同'!$D:$AL,14,0)</f>
        <v>0</v>
      </c>
      <c r="P133" s="293">
        <f>VLOOKUP($B133,'3、工程合同'!$D:$AL,15,0)</f>
        <v>0</v>
      </c>
      <c r="Q133" s="293">
        <f>VLOOKUP($B133,'3、工程合同'!$D:$AL,16,0)</f>
        <v>0</v>
      </c>
      <c r="R133" s="290">
        <f>VLOOKUP($B133,'3、工程合同'!$D:$AL,17,0)</f>
        <v>0</v>
      </c>
      <c r="S133" s="293">
        <f>VLOOKUP($B133,'3、工程合同'!$D:$AL,18,0)</f>
        <v>0</v>
      </c>
      <c r="T133" s="293">
        <f>VLOOKUP($B133,'3、工程合同'!$D:$AL,19,0)</f>
        <v>0</v>
      </c>
      <c r="U133" s="290">
        <f>VLOOKUP($B133,'3、工程合同'!$D:$AL,20,0)</f>
        <v>0</v>
      </c>
      <c r="V133" s="293">
        <f>VLOOKUP($B133,'3、工程合同'!$D:$AL,21,0)</f>
        <v>0</v>
      </c>
      <c r="W133" s="293">
        <f>VLOOKUP($B133,'3、工程合同'!$D:$AL,22,0)</f>
        <v>0</v>
      </c>
      <c r="X133" s="290">
        <f>VLOOKUP($B133,'3、工程合同'!$D:$AL,23,0)</f>
        <v>0</v>
      </c>
      <c r="Y133" s="293">
        <f>VLOOKUP($B133,'3、工程合同'!$D:$AL,24,0)</f>
        <v>0</v>
      </c>
      <c r="Z133" s="293">
        <f>VLOOKUP($B133,'3、工程合同'!$D:$AL,25,0)</f>
        <v>0</v>
      </c>
      <c r="AA133" s="290">
        <f>VLOOKUP($B133,'3、工程合同'!$D:$AL,26,0)</f>
        <v>0</v>
      </c>
      <c r="AB133" s="293">
        <f>VLOOKUP($B133,'3、工程合同'!$D:$AL,27,0)</f>
        <v>0</v>
      </c>
      <c r="AC133" s="293">
        <f>VLOOKUP($B133,'3、工程合同'!$D:$AL,28,0)</f>
        <v>0</v>
      </c>
      <c r="AD133" s="290">
        <f>VLOOKUP($B133,'3、工程合同'!$D:$AL,29,0)</f>
        <v>0</v>
      </c>
      <c r="AE133" s="293">
        <f>VLOOKUP($B133,'3、工程合同'!$D:$AL,30,0)</f>
        <v>0</v>
      </c>
      <c r="AF133" s="293">
        <f>VLOOKUP($B133,'3、工程合同'!$D:$AL,31,0)</f>
        <v>0</v>
      </c>
      <c r="AG133" s="293">
        <f>VLOOKUP($B133,'3、工程合同'!$D:$AL,32,0)</f>
        <v>0</v>
      </c>
      <c r="AH133" s="293">
        <f>VLOOKUP($B133,'3、工程合同'!$D:$AL,33,0)</f>
        <v>0</v>
      </c>
      <c r="AI133" s="312">
        <f>VLOOKUP($B133,'3、工程合同'!$D:$AL,34,0)</f>
        <v>0</v>
      </c>
      <c r="AJ133" s="309">
        <f t="shared" si="30"/>
        <v>446551</v>
      </c>
      <c r="AK133" s="289">
        <f t="shared" si="31"/>
        <v>503449</v>
      </c>
      <c r="AL133" s="310">
        <f t="shared" si="32"/>
        <v>0.470053684210526</v>
      </c>
      <c r="AM133" s="289">
        <f t="shared" si="33"/>
        <v>950000</v>
      </c>
      <c r="AN133" s="311" t="str">
        <f t="shared" si="34"/>
        <v>数据正确</v>
      </c>
    </row>
    <row r="134" s="228" customFormat="1" customHeight="1" spans="1:40">
      <c r="A134" s="228" t="str">
        <f t="shared" si="29"/>
        <v>已完毕</v>
      </c>
      <c r="B134" s="261">
        <v>129</v>
      </c>
      <c r="C134" s="266" t="str">
        <f>VLOOKUP($B134,'4、其他合同'!$D:$AK,2,0)</f>
        <v>无</v>
      </c>
      <c r="D134" s="267" t="s">
        <v>25</v>
      </c>
      <c r="E134" s="267" t="str">
        <f>VLOOKUP($B134,'4、其他合同'!$D:$AK,4,0)</f>
        <v>-</v>
      </c>
      <c r="F134" s="268">
        <f>VLOOKUP($B134,'4、其他合同'!$D:$AK,5,0)</f>
        <v>42220</v>
      </c>
      <c r="G134" s="269">
        <f>VLOOKUP($B134,'4、其他合同'!$D:$AK,6,0)</f>
        <v>100000</v>
      </c>
      <c r="H134" s="269" t="str">
        <f>VLOOKUP($B134,'4、其他合同'!$D:$AK,7,0)</f>
        <v>海域前期费用结算单</v>
      </c>
      <c r="I134" s="269" t="str">
        <f>VLOOKUP($B134,'4、其他合同'!$D:$AK,8,0)</f>
        <v>莆田市海洋与渔业环境监测站</v>
      </c>
      <c r="J134" s="290">
        <f>VLOOKUP($B134,'4、其他合同'!$D:$AK,9,0)</f>
        <v>0</v>
      </c>
      <c r="K134" s="291" t="str">
        <f>VLOOKUP($B134,'4、其他合同'!$D:$AK,10,0)</f>
        <v>电汇</v>
      </c>
      <c r="L134" s="292" t="str">
        <f>VLOOKUP($B134,'4、其他合同'!$D:$AK,11,0)</f>
        <v>合同签订10个工作日一次性支付</v>
      </c>
      <c r="M134" s="293">
        <f>VLOOKUP($B134,'4、其他合同'!$D:$AK,12,0)</f>
        <v>100000</v>
      </c>
      <c r="N134" s="293">
        <f>VLOOKUP($B134,'4、其他合同'!$D:$AK,13,0)</f>
        <v>100000</v>
      </c>
      <c r="O134" s="290">
        <f>VLOOKUP($B134,'4、其他合同'!$D:$AK,14,0)</f>
        <v>0</v>
      </c>
      <c r="P134" s="293">
        <f>VLOOKUP($B134,'4、其他合同'!$D:$AK,15,0)</f>
        <v>0</v>
      </c>
      <c r="Q134" s="293">
        <f>VLOOKUP($B134,'4、其他合同'!$D:$AK,16,0)</f>
        <v>0</v>
      </c>
      <c r="R134" s="290">
        <f>VLOOKUP($B134,'4、其他合同'!$D:$AK,17,0)</f>
        <v>0</v>
      </c>
      <c r="S134" s="293">
        <f>VLOOKUP($B134,'4、其他合同'!$D:$AK,18,0)</f>
        <v>0</v>
      </c>
      <c r="T134" s="293">
        <f>VLOOKUP($B134,'4、其他合同'!$D:$AK,19,0)</f>
        <v>0</v>
      </c>
      <c r="U134" s="290">
        <f>VLOOKUP($B134,'4、其他合同'!$D:$AK,20,0)</f>
        <v>0</v>
      </c>
      <c r="V134" s="293">
        <f>VLOOKUP($B134,'4、其他合同'!$D:$AK,21,0)</f>
        <v>0</v>
      </c>
      <c r="W134" s="293">
        <f>VLOOKUP($B134,'4、其他合同'!$D:$AK,22,0)</f>
        <v>0</v>
      </c>
      <c r="X134" s="290">
        <f>VLOOKUP($B134,'4、其他合同'!$D:$AK,23,0)</f>
        <v>0</v>
      </c>
      <c r="Y134" s="293">
        <f>VLOOKUP($B134,'4、其他合同'!$D:$AK,24,0)</f>
        <v>0</v>
      </c>
      <c r="Z134" s="293">
        <f>VLOOKUP($B134,'4、其他合同'!$D:$AK,25,0)</f>
        <v>0</v>
      </c>
      <c r="AA134" s="290">
        <f>VLOOKUP($B134,'4、其他合同'!$D:$AK,26,0)</f>
        <v>0</v>
      </c>
      <c r="AB134" s="293">
        <f>VLOOKUP($B134,'4、其他合同'!$D:$AK,27,0)</f>
        <v>0</v>
      </c>
      <c r="AC134" s="293">
        <f>VLOOKUP($B134,'4、其他合同'!$D:$AK,28,0)</f>
        <v>0</v>
      </c>
      <c r="AD134" s="290">
        <f>VLOOKUP($B134,'4、其他合同'!$D:$AK,29,0)</f>
        <v>0</v>
      </c>
      <c r="AE134" s="293">
        <f>VLOOKUP($B134,'4、其他合同'!$D:$AK,30,0)</f>
        <v>0</v>
      </c>
      <c r="AF134" s="293">
        <f>VLOOKUP($B134,'4、其他合同'!$D:$AK,31,0)</f>
        <v>0</v>
      </c>
      <c r="AG134" s="293">
        <f>VLOOKUP($B134,'4、其他合同'!$D:$AK,32,0)</f>
        <v>0</v>
      </c>
      <c r="AH134" s="293">
        <f>VLOOKUP($B134,'4、其他合同'!$D:$AK,33,0)</f>
        <v>0</v>
      </c>
      <c r="AI134" s="312">
        <f>VLOOKUP($B134,'4、其他合同'!$D:$AK,34,0)</f>
        <v>0</v>
      </c>
      <c r="AJ134" s="309">
        <f t="shared" si="30"/>
        <v>100000</v>
      </c>
      <c r="AK134" s="289">
        <f t="shared" si="31"/>
        <v>0</v>
      </c>
      <c r="AL134" s="310">
        <f t="shared" si="32"/>
        <v>1</v>
      </c>
      <c r="AM134" s="289">
        <f t="shared" si="33"/>
        <v>100000</v>
      </c>
      <c r="AN134" s="311" t="str">
        <f t="shared" si="34"/>
        <v>数据正确</v>
      </c>
    </row>
    <row r="135" s="228" customFormat="1" customHeight="1" spans="1:40">
      <c r="A135" s="228" t="str">
        <f t="shared" ref="A135:A166" si="35">IF(AL135=100%,"已完毕","")</f>
        <v>已完毕</v>
      </c>
      <c r="B135" s="256">
        <v>130</v>
      </c>
      <c r="C135" s="266" t="str">
        <f>VLOOKUP($B135,'3、工程合同'!$D:$AL,2,0)</f>
        <v>YRKJGC-160008-1</v>
      </c>
      <c r="D135" s="267" t="str">
        <f>VLOOKUP($B135,'3、工程合同'!$D:$AL,3,0)</f>
        <v>工程合同</v>
      </c>
      <c r="E135" s="267" t="str">
        <f>VLOOKUP($B135,'3、工程合同'!$D:$AL,4,0)</f>
        <v>-</v>
      </c>
      <c r="F135" s="268">
        <f>VLOOKUP($B135,'3、工程合同'!$D:$AL,5,0)</f>
        <v>42675</v>
      </c>
      <c r="G135" s="269">
        <f>VLOOKUP($B135,'3、工程合同'!$D:$AL,6,0)</f>
        <v>948600</v>
      </c>
      <c r="H135" s="269" t="str">
        <f>VLOOKUP($B135,'3、工程合同'!$D:$AL,7,0)</f>
        <v>管桩（5580米*170元/米） 无合同</v>
      </c>
      <c r="I135" s="269" t="str">
        <f>VLOOKUP($B135,'3、工程合同'!$D:$AL,8,0)</f>
        <v>福建建华建材有限公司</v>
      </c>
      <c r="J135" s="290">
        <f>VLOOKUP($B135,'3、工程合同'!$D:$AL,9,0)</f>
        <v>0</v>
      </c>
      <c r="K135" s="291" t="str">
        <f>VLOOKUP($B135,'3、工程合同'!$D:$AL,10,0)</f>
        <v>承兑汇票</v>
      </c>
      <c r="L135" s="292" t="str">
        <f>VLOOKUP($B135,'3、工程合同'!$D:$AL,11,0)</f>
        <v>货到付款，每次供货3000米，验收合格，卖方提供等额的收据给甲方后5日支付，卖方收到货款后5个工作日内提供17%的专票给甲方</v>
      </c>
      <c r="M135" s="293">
        <f>VLOOKUP($B135,'3、工程合同'!$D:$AL,12,0)</f>
        <v>948600</v>
      </c>
      <c r="N135" s="293">
        <f>VLOOKUP($B135,'3、工程合同'!$D:$AL,13,0)</f>
        <v>948600</v>
      </c>
      <c r="O135" s="290">
        <f>VLOOKUP($B135,'3、工程合同'!$D:$AL,14,0)</f>
        <v>0</v>
      </c>
      <c r="P135" s="293">
        <f>VLOOKUP($B135,'3、工程合同'!$D:$AL,15,0)</f>
        <v>0</v>
      </c>
      <c r="Q135" s="293">
        <f>VLOOKUP($B135,'3、工程合同'!$D:$AL,16,0)</f>
        <v>0</v>
      </c>
      <c r="R135" s="290">
        <f>VLOOKUP($B135,'3、工程合同'!$D:$AL,17,0)</f>
        <v>0</v>
      </c>
      <c r="S135" s="293">
        <f>VLOOKUP($B135,'3、工程合同'!$D:$AL,18,0)</f>
        <v>0</v>
      </c>
      <c r="T135" s="293">
        <f>VLOOKUP($B135,'3、工程合同'!$D:$AL,19,0)</f>
        <v>0</v>
      </c>
      <c r="U135" s="290">
        <f>VLOOKUP($B135,'3、工程合同'!$D:$AL,20,0)</f>
        <v>0</v>
      </c>
      <c r="V135" s="293">
        <f>VLOOKUP($B135,'3、工程合同'!$D:$AL,21,0)</f>
        <v>0</v>
      </c>
      <c r="W135" s="293">
        <f>VLOOKUP($B135,'3、工程合同'!$D:$AL,22,0)</f>
        <v>0</v>
      </c>
      <c r="X135" s="290">
        <f>VLOOKUP($B135,'3、工程合同'!$D:$AL,23,0)</f>
        <v>0</v>
      </c>
      <c r="Y135" s="293">
        <f>VLOOKUP($B135,'3、工程合同'!$D:$AL,24,0)</f>
        <v>0</v>
      </c>
      <c r="Z135" s="293">
        <f>VLOOKUP($B135,'3、工程合同'!$D:$AL,25,0)</f>
        <v>0</v>
      </c>
      <c r="AA135" s="290">
        <f>VLOOKUP($B135,'3、工程合同'!$D:$AL,26,0)</f>
        <v>0</v>
      </c>
      <c r="AB135" s="293">
        <f>VLOOKUP($B135,'3、工程合同'!$D:$AL,27,0)</f>
        <v>0</v>
      </c>
      <c r="AC135" s="293">
        <f>VLOOKUP($B135,'3、工程合同'!$D:$AL,28,0)</f>
        <v>0</v>
      </c>
      <c r="AD135" s="290">
        <f>VLOOKUP($B135,'3、工程合同'!$D:$AL,29,0)</f>
        <v>0</v>
      </c>
      <c r="AE135" s="293">
        <f>VLOOKUP($B135,'3、工程合同'!$D:$AL,30,0)</f>
        <v>0</v>
      </c>
      <c r="AF135" s="293">
        <f>VLOOKUP($B135,'3、工程合同'!$D:$AL,31,0)</f>
        <v>0</v>
      </c>
      <c r="AG135" s="293">
        <f>VLOOKUP($B135,'3、工程合同'!$D:$AL,32,0)</f>
        <v>0</v>
      </c>
      <c r="AH135" s="293">
        <f>VLOOKUP($B135,'3、工程合同'!$D:$AL,33,0)</f>
        <v>0</v>
      </c>
      <c r="AI135" s="312">
        <f>VLOOKUP($B135,'3、工程合同'!$D:$AL,34,0)</f>
        <v>0</v>
      </c>
      <c r="AJ135" s="309">
        <f t="shared" ref="AJ133:AJ145" si="36">N135+Q135+T135+W135+Z135+AC135+AF135+AI135</f>
        <v>948600</v>
      </c>
      <c r="AK135" s="289">
        <f t="shared" ref="AK133:AK145" si="37">G135-AJ135</f>
        <v>0</v>
      </c>
      <c r="AL135" s="310">
        <f t="shared" ref="AL133:AL145" si="38">AJ135/G135</f>
        <v>1</v>
      </c>
      <c r="AM135" s="289">
        <f t="shared" ref="AM133:AM145" si="39">M135+P135+S135+V135+Y135+AB135+AE135+AH135</f>
        <v>948600</v>
      </c>
      <c r="AN135" s="311" t="str">
        <f t="shared" ref="AN133:AN145" si="40">IF(AM135-G135=0,"数据正确","数据错误")</f>
        <v>数据正确</v>
      </c>
    </row>
    <row r="136" s="228" customFormat="1" customHeight="1" spans="1:40">
      <c r="A136" s="228" t="str">
        <f t="shared" si="35"/>
        <v>已完毕</v>
      </c>
      <c r="B136" s="261">
        <v>131</v>
      </c>
      <c r="C136" s="266" t="str">
        <f>VLOOKUP($B136,'3、工程合同'!$D:$AL,2,0)</f>
        <v>YRKJGC-170012-1</v>
      </c>
      <c r="D136" s="267" t="str">
        <f>VLOOKUP($B136,'3、工程合同'!$D:$AL,3,0)</f>
        <v>工程合同</v>
      </c>
      <c r="E136" s="267" t="str">
        <f>VLOOKUP($B136,'3、工程合同'!$D:$AL,4,0)</f>
        <v>-</v>
      </c>
      <c r="F136" s="268">
        <f>VLOOKUP($B136,'3、工程合同'!$D:$AL,5,0)</f>
        <v>42839</v>
      </c>
      <c r="G136" s="269">
        <f>VLOOKUP($B136,'3、工程合同'!$D:$AL,6,0)</f>
        <v>1931083</v>
      </c>
      <c r="H136" s="269" t="str">
        <f>VLOOKUP($B136,'3、工程合同'!$D:$AL,7,0)</f>
        <v>管桩（5870米*217元/米） 纸质、电子版未移交</v>
      </c>
      <c r="I136" s="269" t="str">
        <f>VLOOKUP($B136,'3、工程合同'!$D:$AL,8,0)</f>
        <v>福建建华建材有限公司</v>
      </c>
      <c r="J136" s="290">
        <f>VLOOKUP($B136,'3、工程合同'!$D:$AL,9,0)</f>
        <v>0</v>
      </c>
      <c r="K136" s="291" t="str">
        <f>VLOOKUP($B136,'3、工程合同'!$D:$AL,10,0)</f>
        <v>承兑汇票</v>
      </c>
      <c r="L136" s="292" t="str">
        <f>VLOOKUP($B136,'3、工程合同'!$D:$AL,11,0)</f>
        <v>货到付款，每次供货5000米，验收合格，卖方提供等额的收据给甲方后5日支付，卖方收到货款后5个工作日内提供17%的专票给甲方</v>
      </c>
      <c r="M136" s="293">
        <f>VLOOKUP($B136,'3、工程合同'!$D:$AL,12,0)</f>
        <v>1931083</v>
      </c>
      <c r="N136" s="293">
        <f>VLOOKUP($B136,'3、工程合同'!$D:$AL,13,0)</f>
        <v>1931083</v>
      </c>
      <c r="O136" s="290">
        <f>VLOOKUP($B136,'3、工程合同'!$D:$AL,14,0)</f>
        <v>0</v>
      </c>
      <c r="P136" s="293">
        <f>VLOOKUP($B136,'3、工程合同'!$D:$AL,15,0)</f>
        <v>0</v>
      </c>
      <c r="Q136" s="293">
        <f>VLOOKUP($B136,'3、工程合同'!$D:$AL,16,0)</f>
        <v>0</v>
      </c>
      <c r="R136" s="290">
        <f>VLOOKUP($B136,'3、工程合同'!$D:$AL,17,0)</f>
        <v>0</v>
      </c>
      <c r="S136" s="293">
        <f>VLOOKUP($B136,'3、工程合同'!$D:$AL,18,0)</f>
        <v>0</v>
      </c>
      <c r="T136" s="293">
        <f>VLOOKUP($B136,'3、工程合同'!$D:$AL,19,0)</f>
        <v>0</v>
      </c>
      <c r="U136" s="290">
        <f>VLOOKUP($B136,'3、工程合同'!$D:$AL,20,0)</f>
        <v>0</v>
      </c>
      <c r="V136" s="293">
        <f>VLOOKUP($B136,'3、工程合同'!$D:$AL,21,0)</f>
        <v>0</v>
      </c>
      <c r="W136" s="293">
        <f>VLOOKUP($B136,'3、工程合同'!$D:$AL,22,0)</f>
        <v>0</v>
      </c>
      <c r="X136" s="290">
        <f>VLOOKUP($B136,'3、工程合同'!$D:$AL,23,0)</f>
        <v>0</v>
      </c>
      <c r="Y136" s="293">
        <f>VLOOKUP($B136,'3、工程合同'!$D:$AL,24,0)</f>
        <v>0</v>
      </c>
      <c r="Z136" s="293">
        <f>VLOOKUP($B136,'3、工程合同'!$D:$AL,25,0)</f>
        <v>0</v>
      </c>
      <c r="AA136" s="290">
        <f>VLOOKUP($B136,'3、工程合同'!$D:$AL,26,0)</f>
        <v>0</v>
      </c>
      <c r="AB136" s="293">
        <f>VLOOKUP($B136,'3、工程合同'!$D:$AL,27,0)</f>
        <v>0</v>
      </c>
      <c r="AC136" s="293">
        <f>VLOOKUP($B136,'3、工程合同'!$D:$AL,28,0)</f>
        <v>0</v>
      </c>
      <c r="AD136" s="290">
        <f>VLOOKUP($B136,'3、工程合同'!$D:$AL,29,0)</f>
        <v>0</v>
      </c>
      <c r="AE136" s="293">
        <f>VLOOKUP($B136,'3、工程合同'!$D:$AL,30,0)</f>
        <v>0</v>
      </c>
      <c r="AF136" s="293">
        <f>VLOOKUP($B136,'3、工程合同'!$D:$AL,31,0)</f>
        <v>0</v>
      </c>
      <c r="AG136" s="293">
        <f>VLOOKUP($B136,'3、工程合同'!$D:$AL,32,0)</f>
        <v>0</v>
      </c>
      <c r="AH136" s="293">
        <f>VLOOKUP($B136,'3、工程合同'!$D:$AL,33,0)</f>
        <v>0</v>
      </c>
      <c r="AI136" s="312">
        <f>VLOOKUP($B136,'3、工程合同'!$D:$AL,34,0)</f>
        <v>0</v>
      </c>
      <c r="AJ136" s="309">
        <f t="shared" si="36"/>
        <v>1931083</v>
      </c>
      <c r="AK136" s="289">
        <f t="shared" si="37"/>
        <v>0</v>
      </c>
      <c r="AL136" s="310">
        <f t="shared" si="38"/>
        <v>1</v>
      </c>
      <c r="AM136" s="289">
        <f t="shared" si="39"/>
        <v>1931083</v>
      </c>
      <c r="AN136" s="311" t="str">
        <f t="shared" si="40"/>
        <v>数据正确</v>
      </c>
    </row>
    <row r="137" s="228" customFormat="1" customHeight="1" spans="1:40">
      <c r="A137" s="228" t="str">
        <f t="shared" si="35"/>
        <v/>
      </c>
      <c r="B137" s="261">
        <v>132</v>
      </c>
      <c r="C137" s="266" t="str">
        <f>VLOOKUP($B137,'3、工程合同'!$D:$AL,2,0)</f>
        <v>YRKJGC-150011</v>
      </c>
      <c r="D137" s="267" t="str">
        <f>VLOOKUP($B137,'3、工程合同'!$D:$AL,3,0)</f>
        <v>工程合同</v>
      </c>
      <c r="E137" s="267" t="str">
        <f>VLOOKUP($B137,'3、工程合同'!$D:$AL,4,0)</f>
        <v>-</v>
      </c>
      <c r="F137" s="268">
        <f>VLOOKUP($B137,'3、工程合同'!$D:$AL,5,0)</f>
        <v>42299</v>
      </c>
      <c r="G137" s="269">
        <f>VLOOKUP($B137,'3、工程合同'!$D:$AL,6,0)</f>
        <v>265000</v>
      </c>
      <c r="H137" s="269" t="str">
        <f>VLOOKUP($B137,'3、工程合同'!$D:$AL,7,0)</f>
        <v>三修车间、硫铵仓库、地磅基础试桩及工程桩工程</v>
      </c>
      <c r="I137" s="269" t="str">
        <f>VLOOKUP($B137,'3、工程合同'!$D:$AL,8,0)</f>
        <v>福建勘察基础工程公司</v>
      </c>
      <c r="J137" s="290">
        <f>VLOOKUP($B137,'3、工程合同'!$D:$AL,9,0)</f>
        <v>0</v>
      </c>
      <c r="K137" s="291" t="str">
        <f>VLOOKUP($B137,'3、工程合同'!$D:$AL,10,0)</f>
        <v>6个月承兑汇票</v>
      </c>
      <c r="L137" s="292" t="str">
        <f>VLOOKUP($B137,'3、工程合同'!$D:$AL,11,0)</f>
        <v>按月结算，进度款的80%</v>
      </c>
      <c r="M137" s="293">
        <f>VLOOKUP($B137,'3、工程合同'!$D:$AL,12,0)</f>
        <v>212000</v>
      </c>
      <c r="N137" s="293">
        <f>VLOOKUP($B137,'3、工程合同'!$D:$AL,13,0)</f>
        <v>168000</v>
      </c>
      <c r="O137" s="290" t="str">
        <f>VLOOKUP($B137,'3、工程合同'!$D:$AL,14,0)</f>
        <v>工程竣工验收合格后支付15%</v>
      </c>
      <c r="P137" s="293">
        <f>VLOOKUP($B137,'3、工程合同'!$D:$AL,15,0)</f>
        <v>39750</v>
      </c>
      <c r="Q137" s="293">
        <f>VLOOKUP($B137,'3、工程合同'!$D:$AL,16,0)</f>
        <v>0</v>
      </c>
      <c r="R137" s="290" t="str">
        <f>VLOOKUP($B137,'3、工程合同'!$D:$AL,17,0)</f>
        <v>质保期1年后付5%</v>
      </c>
      <c r="S137" s="293">
        <f>VLOOKUP($B137,'3、工程合同'!$D:$AL,18,0)</f>
        <v>13250</v>
      </c>
      <c r="T137" s="293">
        <f>VLOOKUP($B137,'3、工程合同'!$D:$AL,19,0)</f>
        <v>0</v>
      </c>
      <c r="U137" s="290">
        <f>VLOOKUP($B137,'3、工程合同'!$D:$AL,20,0)</f>
        <v>0</v>
      </c>
      <c r="V137" s="293">
        <f>VLOOKUP($B137,'3、工程合同'!$D:$AL,21,0)</f>
        <v>0</v>
      </c>
      <c r="W137" s="293">
        <f>VLOOKUP($B137,'3、工程合同'!$D:$AL,22,0)</f>
        <v>0</v>
      </c>
      <c r="X137" s="290">
        <f>VLOOKUP($B137,'3、工程合同'!$D:$AL,23,0)</f>
        <v>0</v>
      </c>
      <c r="Y137" s="293">
        <f>VLOOKUP($B137,'3、工程合同'!$D:$AL,24,0)</f>
        <v>0</v>
      </c>
      <c r="Z137" s="293">
        <f>VLOOKUP($B137,'3、工程合同'!$D:$AL,25,0)</f>
        <v>0</v>
      </c>
      <c r="AA137" s="290">
        <f>VLOOKUP($B137,'3、工程合同'!$D:$AL,26,0)</f>
        <v>0</v>
      </c>
      <c r="AB137" s="293">
        <f>VLOOKUP($B137,'3、工程合同'!$D:$AL,27,0)</f>
        <v>0</v>
      </c>
      <c r="AC137" s="293">
        <f>VLOOKUP($B137,'3、工程合同'!$D:$AL,28,0)</f>
        <v>0</v>
      </c>
      <c r="AD137" s="290">
        <f>VLOOKUP($B137,'3、工程合同'!$D:$AL,29,0)</f>
        <v>0</v>
      </c>
      <c r="AE137" s="293">
        <f>VLOOKUP($B137,'3、工程合同'!$D:$AL,30,0)</f>
        <v>0</v>
      </c>
      <c r="AF137" s="293">
        <f>VLOOKUP($B137,'3、工程合同'!$D:$AL,31,0)</f>
        <v>0</v>
      </c>
      <c r="AG137" s="293">
        <f>VLOOKUP($B137,'3、工程合同'!$D:$AL,32,0)</f>
        <v>0</v>
      </c>
      <c r="AH137" s="293">
        <f>VLOOKUP($B137,'3、工程合同'!$D:$AL,33,0)</f>
        <v>0</v>
      </c>
      <c r="AI137" s="312">
        <f>VLOOKUP($B137,'3、工程合同'!$D:$AL,34,0)</f>
        <v>0</v>
      </c>
      <c r="AJ137" s="309">
        <f t="shared" si="36"/>
        <v>168000</v>
      </c>
      <c r="AK137" s="289">
        <f t="shared" si="37"/>
        <v>97000</v>
      </c>
      <c r="AL137" s="310">
        <f t="shared" si="38"/>
        <v>0.633962264150943</v>
      </c>
      <c r="AM137" s="289">
        <f t="shared" si="39"/>
        <v>265000</v>
      </c>
      <c r="AN137" s="311" t="str">
        <f t="shared" si="40"/>
        <v>数据正确</v>
      </c>
    </row>
    <row r="138" s="228" customFormat="1" customHeight="1" spans="1:40">
      <c r="A138" s="228" t="str">
        <f t="shared" si="35"/>
        <v>已完毕</v>
      </c>
      <c r="B138" s="256">
        <v>133</v>
      </c>
      <c r="C138" s="266" t="str">
        <f>VLOOKUP($B138,'3、工程合同'!$D:$AL,2,0)</f>
        <v>YRKJGC-160011</v>
      </c>
      <c r="D138" s="267" t="str">
        <f>VLOOKUP($B138,'3、工程合同'!$D:$AL,3,0)</f>
        <v>工程合同</v>
      </c>
      <c r="E138" s="267">
        <f>VLOOKUP($B138,'3、工程合同'!$D:$AL,4,0)</f>
        <v>0</v>
      </c>
      <c r="F138" s="268">
        <f>VLOOKUP($B138,'3、工程合同'!$D:$AL,5,0)</f>
        <v>42733</v>
      </c>
      <c r="G138" s="269">
        <f>VLOOKUP($B138,'3、工程合同'!$D:$AL,6,0)</f>
        <v>40729.92</v>
      </c>
      <c r="H138" s="269" t="str">
        <f>VLOOKUP($B138,'3、工程合同'!$D:$AL,7,0)</f>
        <v>水泥空心砖（2.05元/块），水泥标砖（0.28元/块） 补合同</v>
      </c>
      <c r="I138" s="269" t="str">
        <f>VLOOKUP($B138,'3、工程合同'!$D:$AL,8,0)</f>
        <v>莆田市秀屿区东庄荔锦水泥制砖场</v>
      </c>
      <c r="J138" s="290">
        <f>VLOOKUP($B138,'3、工程合同'!$D:$AL,9,0)</f>
        <v>0</v>
      </c>
      <c r="K138" s="291" t="str">
        <f>VLOOKUP($B138,'3、工程合同'!$D:$AL,10,0)</f>
        <v>承兑</v>
      </c>
      <c r="L138" s="292" t="str">
        <f>VLOOKUP($B138,'3、工程合同'!$D:$AL,11,0)</f>
        <v>货到交货地点验收合格后，收到全额发票支付</v>
      </c>
      <c r="M138" s="293">
        <f>VLOOKUP($B138,'3、工程合同'!$D:$AL,12,0)</f>
        <v>40729.92</v>
      </c>
      <c r="N138" s="293">
        <f>VLOOKUP($B138,'3、工程合同'!$D:$AL,13,0)</f>
        <v>40729.92</v>
      </c>
      <c r="O138" s="290">
        <f>VLOOKUP($B138,'3、工程合同'!$D:$AL,14,0)</f>
        <v>0</v>
      </c>
      <c r="P138" s="293">
        <f>VLOOKUP($B138,'3、工程合同'!$D:$AL,15,0)</f>
        <v>0</v>
      </c>
      <c r="Q138" s="293">
        <f>VLOOKUP($B138,'3、工程合同'!$D:$AL,16,0)</f>
        <v>0</v>
      </c>
      <c r="R138" s="290">
        <f>VLOOKUP($B138,'3、工程合同'!$D:$AL,17,0)</f>
        <v>0</v>
      </c>
      <c r="S138" s="293">
        <f>VLOOKUP($B138,'3、工程合同'!$D:$AL,18,0)</f>
        <v>0</v>
      </c>
      <c r="T138" s="293">
        <f>VLOOKUP($B138,'3、工程合同'!$D:$AL,19,0)</f>
        <v>0</v>
      </c>
      <c r="U138" s="290">
        <f>VLOOKUP($B138,'3、工程合同'!$D:$AL,20,0)</f>
        <v>0</v>
      </c>
      <c r="V138" s="293">
        <f>VLOOKUP($B138,'3、工程合同'!$D:$AL,21,0)</f>
        <v>0</v>
      </c>
      <c r="W138" s="293">
        <f>VLOOKUP($B138,'3、工程合同'!$D:$AL,22,0)</f>
        <v>0</v>
      </c>
      <c r="X138" s="290">
        <f>VLOOKUP($B138,'3、工程合同'!$D:$AL,23,0)</f>
        <v>0</v>
      </c>
      <c r="Y138" s="293">
        <f>VLOOKUP($B138,'3、工程合同'!$D:$AL,24,0)</f>
        <v>0</v>
      </c>
      <c r="Z138" s="293">
        <f>VLOOKUP($B138,'3、工程合同'!$D:$AL,25,0)</f>
        <v>0</v>
      </c>
      <c r="AA138" s="290">
        <f>VLOOKUP($B138,'3、工程合同'!$D:$AL,26,0)</f>
        <v>0</v>
      </c>
      <c r="AB138" s="293">
        <f>VLOOKUP($B138,'3、工程合同'!$D:$AL,27,0)</f>
        <v>0</v>
      </c>
      <c r="AC138" s="293">
        <f>VLOOKUP($B138,'3、工程合同'!$D:$AL,28,0)</f>
        <v>0</v>
      </c>
      <c r="AD138" s="290">
        <f>VLOOKUP($B138,'3、工程合同'!$D:$AL,29,0)</f>
        <v>0</v>
      </c>
      <c r="AE138" s="293">
        <f>VLOOKUP($B138,'3、工程合同'!$D:$AL,30,0)</f>
        <v>0</v>
      </c>
      <c r="AF138" s="293">
        <f>VLOOKUP($B138,'3、工程合同'!$D:$AL,31,0)</f>
        <v>0</v>
      </c>
      <c r="AG138" s="293">
        <f>VLOOKUP($B138,'3、工程合同'!$D:$AL,32,0)</f>
        <v>0</v>
      </c>
      <c r="AH138" s="293">
        <f>VLOOKUP($B138,'3、工程合同'!$D:$AL,33,0)</f>
        <v>0</v>
      </c>
      <c r="AI138" s="312">
        <f>VLOOKUP($B138,'3、工程合同'!$D:$AL,34,0)</f>
        <v>0</v>
      </c>
      <c r="AJ138" s="309">
        <f t="shared" si="36"/>
        <v>40729.92</v>
      </c>
      <c r="AK138" s="289">
        <f t="shared" si="37"/>
        <v>0</v>
      </c>
      <c r="AL138" s="310">
        <f t="shared" si="38"/>
        <v>1</v>
      </c>
      <c r="AM138" s="289">
        <f t="shared" si="39"/>
        <v>40729.92</v>
      </c>
      <c r="AN138" s="311" t="str">
        <f t="shared" si="40"/>
        <v>数据正确</v>
      </c>
    </row>
    <row r="139" customHeight="1" spans="1:40">
      <c r="A139" s="228" t="str">
        <f t="shared" si="35"/>
        <v/>
      </c>
      <c r="B139" s="261">
        <v>134</v>
      </c>
      <c r="C139" s="262" t="str">
        <f>VLOOKUP($B139,'2、设备合同'!$D:$AK,2,0)</f>
        <v>YRKJEQ-170031</v>
      </c>
      <c r="D139" s="263" t="str">
        <f>VLOOKUP($B139,'2、设备合同'!$D:$AK,3,0)</f>
        <v>设备合同</v>
      </c>
      <c r="E139" s="263" t="str">
        <f>VLOOKUP($B139,'2、设备合同'!$D:$AK,4,0)</f>
        <v>-</v>
      </c>
      <c r="F139" s="264">
        <f>VLOOKUP($B139,'2、设备合同'!$D:$AK,5,0)</f>
        <v>42808</v>
      </c>
      <c r="G139" s="265">
        <f>VLOOKUP($B139,'2、设备合同'!$D:$AK,6,0)</f>
        <v>7270000</v>
      </c>
      <c r="H139" s="265" t="str">
        <f>VLOOKUP($B139,'2、设备合同'!$D:$AK,7,0)</f>
        <v>环己酮塔内件设计及制造（二标段）</v>
      </c>
      <c r="I139" s="265" t="str">
        <f>VLOOKUP($B139,'2、设备合同'!$D:$AK,8,0)</f>
        <v>岳阳恒忠机械工程技术有限公司</v>
      </c>
      <c r="J139" s="286">
        <f>VLOOKUP($B139,'2、设备合同'!$D:$AK,9,0)</f>
        <v>0</v>
      </c>
      <c r="K139" s="287" t="str">
        <f>VLOOKUP($B139,'2、设备合同'!$D:$AK,10,0)</f>
        <v>6个月承兑汇票</v>
      </c>
      <c r="L139" s="288" t="str">
        <f>VLOOKUP($B139,'2、设备合同'!$D:$AK,11,0)</f>
        <v>乙方具备发货条件通知甲方确认满足要求，收到全额17%专票及完整资料后支付60%发货款；共14万履约保证金，到货1哦天后退还</v>
      </c>
      <c r="M139" s="289">
        <f>VLOOKUP($B139,'2、设备合同'!$D:$AK,12,0)</f>
        <v>4362000</v>
      </c>
      <c r="N139" s="289">
        <f>VLOOKUP($B139,'2、设备合同'!$D:$AK,13,0)</f>
        <v>0</v>
      </c>
      <c r="O139" s="286" t="str">
        <f>VLOOKUP($B139,'2、设备合同'!$D:$AK,14,0)</f>
        <v>货到到达甲方验收合格后15个工作日支付30%</v>
      </c>
      <c r="P139" s="289">
        <f>VLOOKUP($B139,'2、设备合同'!$D:$AK,15,0)</f>
        <v>2181000</v>
      </c>
      <c r="Q139" s="289">
        <f>VLOOKUP($B139,'2、设备合同'!$D:$AK,16,0)</f>
        <v>0</v>
      </c>
      <c r="R139" s="286" t="str">
        <f>VLOOKUP($B139,'2、设备合同'!$D:$AK,17,0)</f>
        <v>10%质保金，验收合格后12个月支付</v>
      </c>
      <c r="S139" s="289">
        <f>VLOOKUP($B139,'2、设备合同'!$D:$AK,18,0)</f>
        <v>727000</v>
      </c>
      <c r="T139" s="289">
        <f>VLOOKUP($B139,'2、设备合同'!$D:$AK,19,0)</f>
        <v>0</v>
      </c>
      <c r="U139" s="286">
        <f>VLOOKUP($B139,'2、设备合同'!$D:$AK,20,0)</f>
        <v>0</v>
      </c>
      <c r="V139" s="289">
        <f>VLOOKUP($B139,'2、设备合同'!$D:$AK,21,0)</f>
        <v>0</v>
      </c>
      <c r="W139" s="289">
        <f>VLOOKUP($B139,'2、设备合同'!$D:$AK,22,0)</f>
        <v>0</v>
      </c>
      <c r="X139" s="286">
        <f>VLOOKUP($B139,'2、设备合同'!$D:$AK,23,0)</f>
        <v>0</v>
      </c>
      <c r="Y139" s="289">
        <f>VLOOKUP($B139,'2、设备合同'!$D:$AK,24,0)</f>
        <v>0</v>
      </c>
      <c r="Z139" s="289">
        <f>VLOOKUP($B139,'2、设备合同'!$D:$AK,25,0)</f>
        <v>0</v>
      </c>
      <c r="AA139" s="286">
        <f>VLOOKUP($B139,'2、设备合同'!$D:$AK,26,0)</f>
        <v>0</v>
      </c>
      <c r="AB139" s="289">
        <f>VLOOKUP($B139,'2、设备合同'!$D:$AK,27,0)</f>
        <v>0</v>
      </c>
      <c r="AC139" s="289">
        <f>VLOOKUP($B139,'2、设备合同'!$D:$AK,28,0)</f>
        <v>0</v>
      </c>
      <c r="AD139" s="286">
        <f>VLOOKUP($B139,'2、设备合同'!$D:$AK,29,0)</f>
        <v>0</v>
      </c>
      <c r="AE139" s="289">
        <f>VLOOKUP($B139,'2、设备合同'!$D:$AK,30,0)</f>
        <v>0</v>
      </c>
      <c r="AF139" s="289">
        <f>VLOOKUP($B139,'2、设备合同'!$D:$AK,31,0)</f>
        <v>0</v>
      </c>
      <c r="AG139" s="289">
        <f>VLOOKUP($B139,'2、设备合同'!$D:$AK,32,0)</f>
        <v>0</v>
      </c>
      <c r="AH139" s="289">
        <f>VLOOKUP($B139,'2、设备合同'!$D:$AK,33,0)</f>
        <v>0</v>
      </c>
      <c r="AI139" s="308">
        <f>VLOOKUP($B139,'2、设备合同'!$D:$AK,34,0)</f>
        <v>0</v>
      </c>
      <c r="AJ139" s="309">
        <f t="shared" si="36"/>
        <v>0</v>
      </c>
      <c r="AK139" s="289">
        <f t="shared" si="37"/>
        <v>7270000</v>
      </c>
      <c r="AL139" s="310">
        <f t="shared" si="38"/>
        <v>0</v>
      </c>
      <c r="AM139" s="289">
        <f t="shared" si="39"/>
        <v>7270000</v>
      </c>
      <c r="AN139" s="311" t="str">
        <f t="shared" si="40"/>
        <v>数据正确</v>
      </c>
    </row>
    <row r="140" customHeight="1" spans="1:40">
      <c r="A140" s="228" t="str">
        <f t="shared" si="35"/>
        <v/>
      </c>
      <c r="B140" s="261">
        <v>135</v>
      </c>
      <c r="C140" s="262" t="str">
        <f>VLOOKUP($B140,'2、设备合同'!$D:$AK,2,0)</f>
        <v>YRKJEQ-170042</v>
      </c>
      <c r="D140" s="263" t="str">
        <f>VLOOKUP($B140,'2、设备合同'!$D:$AK,3,0)</f>
        <v>设备合同</v>
      </c>
      <c r="E140" s="263">
        <f>VLOOKUP($B140,'2、设备合同'!$D:$AK,4,0)</f>
        <v>2017050054</v>
      </c>
      <c r="F140" s="264">
        <f>VLOOKUP($B140,'2、设备合同'!$D:$AK,5,0)</f>
        <v>42914</v>
      </c>
      <c r="G140" s="265">
        <f>VLOOKUP($B140,'2、设备合同'!$D:$AK,6,0)</f>
        <v>13750000</v>
      </c>
      <c r="H140" s="265" t="str">
        <f>VLOOKUP($B140,'2、设备合同'!$D:$AK,7,0)</f>
        <v>原水净化系统及附属设备1套</v>
      </c>
      <c r="I140" s="265" t="str">
        <f>VLOOKUP($B140,'2、设备合同'!$D:$AK,8,0)</f>
        <v>江苏一环集团有限公司</v>
      </c>
      <c r="J140" s="286" t="str">
        <f>VLOOKUP($B140,'2、设备合同'!$D:$AK,9,0)</f>
        <v>原水净化系统</v>
      </c>
      <c r="K140" s="287" t="str">
        <f>VLOOKUP($B140,'2、设备合同'!$D:$AK,10,0)</f>
        <v>6个月承兑汇票/现金不下浮</v>
      </c>
      <c r="L140" s="288" t="str">
        <f>VLOOKUP($B140,'2、设备合同'!$D:$AK,11,0)</f>
        <v>合同签订15个工作日，收到等额17%专票及预付保函后15个工作日，支付20%预付款。10%履约保证金</v>
      </c>
      <c r="M140" s="289">
        <f>VLOOKUP($B140,'2、设备合同'!$D:$AK,12,0)</f>
        <v>2750000</v>
      </c>
      <c r="N140" s="289">
        <f>VLOOKUP($B140,'2、设备合同'!$D:$AK,13,0)</f>
        <v>2750000</v>
      </c>
      <c r="O140" s="286" t="str">
        <f>VLOOKUP($B140,'2、设备合同'!$D:$AK,14,0)</f>
        <v>甲方到乙方现场确认无误后，收到17%全额专票，15个工作日内支付40%发货款</v>
      </c>
      <c r="P140" s="289">
        <f>VLOOKUP($B140,'2、设备合同'!$D:$AK,15,0)</f>
        <v>5500000</v>
      </c>
      <c r="Q140" s="289">
        <f>VLOOKUP($B140,'2、设备合同'!$D:$AK,16,0)</f>
        <v>0</v>
      </c>
      <c r="R140" s="286" t="str">
        <f>VLOOKUP($B140,'2、设备合同'!$D:$AK,17,0)</f>
        <v>甲方收到核定的调试合格报告及全额的专票后15个工作日，支付30%调试款</v>
      </c>
      <c r="S140" s="289">
        <f>VLOOKUP($B140,'2、设备合同'!$D:$AK,18,0)</f>
        <v>4125000</v>
      </c>
      <c r="T140" s="289">
        <f>VLOOKUP($B140,'2、设备合同'!$D:$AK,19,0)</f>
        <v>0</v>
      </c>
      <c r="U140" s="286" t="str">
        <f>VLOOKUP($B140,'2、设备合同'!$D:$AK,20,0)</f>
        <v>10%总价作为质保金，验收合格后12个月保期满后15个工作日支付</v>
      </c>
      <c r="V140" s="289">
        <f>VLOOKUP($B140,'2、设备合同'!$D:$AK,21,0)</f>
        <v>1375000</v>
      </c>
      <c r="W140" s="289">
        <f>VLOOKUP($B140,'2、设备合同'!$D:$AK,22,0)</f>
        <v>0</v>
      </c>
      <c r="X140" s="286">
        <f>VLOOKUP($B140,'2、设备合同'!$D:$AK,23,0)</f>
        <v>0</v>
      </c>
      <c r="Y140" s="289">
        <f>VLOOKUP($B140,'2、设备合同'!$D:$AK,24,0)</f>
        <v>0</v>
      </c>
      <c r="Z140" s="289">
        <f>VLOOKUP($B140,'2、设备合同'!$D:$AK,25,0)</f>
        <v>0</v>
      </c>
      <c r="AA140" s="286">
        <f>VLOOKUP($B140,'2、设备合同'!$D:$AK,26,0)</f>
        <v>0</v>
      </c>
      <c r="AB140" s="289">
        <f>VLOOKUP($B140,'2、设备合同'!$D:$AK,27,0)</f>
        <v>0</v>
      </c>
      <c r="AC140" s="289">
        <f>VLOOKUP($B140,'2、设备合同'!$D:$AK,28,0)</f>
        <v>0</v>
      </c>
      <c r="AD140" s="286">
        <f>VLOOKUP($B140,'2、设备合同'!$D:$AK,29,0)</f>
        <v>0</v>
      </c>
      <c r="AE140" s="289">
        <f>VLOOKUP($B140,'2、设备合同'!$D:$AK,30,0)</f>
        <v>0</v>
      </c>
      <c r="AF140" s="289">
        <f>VLOOKUP($B140,'2、设备合同'!$D:$AK,31,0)</f>
        <v>0</v>
      </c>
      <c r="AG140" s="289">
        <f>VLOOKUP($B140,'2、设备合同'!$D:$AK,32,0)</f>
        <v>0</v>
      </c>
      <c r="AH140" s="289">
        <f>VLOOKUP($B140,'2、设备合同'!$D:$AK,33,0)</f>
        <v>0</v>
      </c>
      <c r="AI140" s="308">
        <f>VLOOKUP($B140,'2、设备合同'!$D:$AK,34,0)</f>
        <v>0</v>
      </c>
      <c r="AJ140" s="309">
        <f t="shared" si="36"/>
        <v>2750000</v>
      </c>
      <c r="AK140" s="289">
        <f t="shared" si="37"/>
        <v>11000000</v>
      </c>
      <c r="AL140" s="310">
        <f t="shared" si="38"/>
        <v>0.2</v>
      </c>
      <c r="AM140" s="289">
        <f t="shared" si="39"/>
        <v>13750000</v>
      </c>
      <c r="AN140" s="311" t="str">
        <f t="shared" si="40"/>
        <v>数据正确</v>
      </c>
    </row>
    <row r="141" customHeight="1" spans="1:40">
      <c r="A141" s="228" t="str">
        <f t="shared" si="35"/>
        <v/>
      </c>
      <c r="B141" s="256">
        <v>136</v>
      </c>
      <c r="C141" s="262" t="str">
        <f>VLOOKUP($B141,'2、设备合同'!$D:$AK,2,0)</f>
        <v>YRKJEQ-170030</v>
      </c>
      <c r="D141" s="263" t="str">
        <f>VLOOKUP($B141,'2、设备合同'!$D:$AK,3,0)</f>
        <v>设备合同</v>
      </c>
      <c r="E141" s="263" t="str">
        <f>VLOOKUP($B141,'2、设备合同'!$D:$AK,4,0)</f>
        <v>-</v>
      </c>
      <c r="F141" s="264">
        <f>VLOOKUP($B141,'2、设备合同'!$D:$AK,5,0)</f>
        <v>42914</v>
      </c>
      <c r="G141" s="265">
        <f>VLOOKUP($B141,'2、设备合同'!$D:$AK,6,0)</f>
        <v>11000000</v>
      </c>
      <c r="H141" s="265" t="str">
        <f>VLOOKUP($B141,'2、设备合同'!$D:$AK,7,0)</f>
        <v>环己酮塔内件设计及制造（一标段）</v>
      </c>
      <c r="I141" s="265" t="str">
        <f>VLOOKUP($B141,'2、设备合同'!$D:$AK,8,0)</f>
        <v>湖北洪湖化工机械总厂</v>
      </c>
      <c r="J141" s="286" t="str">
        <f>VLOOKUP($B141,'2、设备合同'!$D:$AK,9,0)</f>
        <v>环己酮装置</v>
      </c>
      <c r="K141" s="287" t="str">
        <f>VLOOKUP($B141,'2、设备合同'!$D:$AK,10,0)</f>
        <v>6个月承兑汇票</v>
      </c>
      <c r="L141" s="288" t="str">
        <f>VLOOKUP($B141,'2、设备合同'!$D:$AK,11,0)</f>
        <v>合同签订15个工作日，收到等额17%专票及预付保函后15个工作日，支付20%预付款。10%履约保证金</v>
      </c>
      <c r="M141" s="289">
        <f>VLOOKUP($B141,'2、设备合同'!$D:$AK,12,0)</f>
        <v>2200000</v>
      </c>
      <c r="N141" s="289">
        <f>VLOOKUP($B141,'2、设备合同'!$D:$AK,13,0)</f>
        <v>0</v>
      </c>
      <c r="O141" s="286" t="str">
        <f>VLOOKUP($B141,'2、设备合同'!$D:$AK,14,0)</f>
        <v>甲方到乙方现场确认无误后，收到17%全额专票，15个工作日内支付40%发货款</v>
      </c>
      <c r="P141" s="289">
        <f>VLOOKUP($B141,'2、设备合同'!$D:$AK,15,0)</f>
        <v>4400000</v>
      </c>
      <c r="Q141" s="289">
        <f>VLOOKUP($B141,'2、设备合同'!$D:$AK,16,0)</f>
        <v>0</v>
      </c>
      <c r="R141" s="286" t="str">
        <f>VLOOKUP($B141,'2、设备合同'!$D:$AK,17,0)</f>
        <v>甲方收到核定的调试合格报告及全额的专票后15个工作日，支付30%调试款</v>
      </c>
      <c r="S141" s="289">
        <f>VLOOKUP($B141,'2、设备合同'!$D:$AK,18,0)</f>
        <v>3300000</v>
      </c>
      <c r="T141" s="289">
        <f>VLOOKUP($B141,'2、设备合同'!$D:$AK,19,0)</f>
        <v>0</v>
      </c>
      <c r="U141" s="286" t="str">
        <f>VLOOKUP($B141,'2、设备合同'!$D:$AK,20,0)</f>
        <v>10%总价作为质保金，验收合格后12个月保期满后15个工作日支付</v>
      </c>
      <c r="V141" s="289">
        <f>VLOOKUP($B141,'2、设备合同'!$D:$AK,21,0)</f>
        <v>1100000</v>
      </c>
      <c r="W141" s="289">
        <f>VLOOKUP($B141,'2、设备合同'!$D:$AK,22,0)</f>
        <v>0</v>
      </c>
      <c r="X141" s="286">
        <f>VLOOKUP($B141,'2、设备合同'!$D:$AK,23,0)</f>
        <v>0</v>
      </c>
      <c r="Y141" s="289">
        <f>VLOOKUP($B141,'2、设备合同'!$D:$AK,24,0)</f>
        <v>0</v>
      </c>
      <c r="Z141" s="289">
        <f>VLOOKUP($B141,'2、设备合同'!$D:$AK,25,0)</f>
        <v>0</v>
      </c>
      <c r="AA141" s="286">
        <f>VLOOKUP($B141,'2、设备合同'!$D:$AK,26,0)</f>
        <v>0</v>
      </c>
      <c r="AB141" s="289">
        <f>VLOOKUP($B141,'2、设备合同'!$D:$AK,27,0)</f>
        <v>0</v>
      </c>
      <c r="AC141" s="289">
        <f>VLOOKUP($B141,'2、设备合同'!$D:$AK,28,0)</f>
        <v>0</v>
      </c>
      <c r="AD141" s="286">
        <f>VLOOKUP($B141,'2、设备合同'!$D:$AK,29,0)</f>
        <v>0</v>
      </c>
      <c r="AE141" s="289">
        <f>VLOOKUP($B141,'2、设备合同'!$D:$AK,30,0)</f>
        <v>0</v>
      </c>
      <c r="AF141" s="289">
        <f>VLOOKUP($B141,'2、设备合同'!$D:$AK,31,0)</f>
        <v>0</v>
      </c>
      <c r="AG141" s="289">
        <f>VLOOKUP($B141,'2、设备合同'!$D:$AK,32,0)</f>
        <v>0</v>
      </c>
      <c r="AH141" s="289">
        <f>VLOOKUP($B141,'2、设备合同'!$D:$AK,33,0)</f>
        <v>0</v>
      </c>
      <c r="AI141" s="308">
        <f>VLOOKUP($B141,'2、设备合同'!$D:$AK,34,0)</f>
        <v>0</v>
      </c>
      <c r="AJ141" s="309">
        <f t="shared" si="36"/>
        <v>0</v>
      </c>
      <c r="AK141" s="289">
        <f t="shared" si="37"/>
        <v>11000000</v>
      </c>
      <c r="AL141" s="310">
        <f t="shared" si="38"/>
        <v>0</v>
      </c>
      <c r="AM141" s="289">
        <f t="shared" si="39"/>
        <v>11000000</v>
      </c>
      <c r="AN141" s="311" t="str">
        <f t="shared" si="40"/>
        <v>数据正确</v>
      </c>
    </row>
    <row r="142" customHeight="1" spans="1:40">
      <c r="A142" s="228" t="str">
        <f t="shared" si="35"/>
        <v/>
      </c>
      <c r="B142" s="261">
        <v>137</v>
      </c>
      <c r="C142" s="262" t="str">
        <f>VLOOKUP($B142,'2、设备合同'!$D:$AK,2,0)</f>
        <v>YRKJEQ-170041</v>
      </c>
      <c r="D142" s="263" t="str">
        <f>VLOOKUP($B142,'2、设备合同'!$D:$AK,3,0)</f>
        <v>设备合同</v>
      </c>
      <c r="E142" s="263">
        <f>VLOOKUP($B142,'2、设备合同'!$D:$AK,4,0)</f>
        <v>2017060042</v>
      </c>
      <c r="F142" s="264">
        <f>VLOOKUP($B142,'2、设备合同'!$D:$AK,5,0)</f>
        <v>42919</v>
      </c>
      <c r="G142" s="265">
        <f>VLOOKUP($B142,'2、设备合同'!$D:$AK,6,0)</f>
        <v>145000</v>
      </c>
      <c r="H142" s="265" t="str">
        <f>VLOOKUP($B142,'2、设备合同'!$D:$AK,7,0)</f>
        <v>混合器、消音器共10台</v>
      </c>
      <c r="I142" s="265" t="str">
        <f>VLOOKUP($B142,'2、设备合同'!$D:$AK,8,0)</f>
        <v>上海泽尔石化设备有限公司</v>
      </c>
      <c r="J142" s="286" t="str">
        <f>VLOOKUP($B142,'2、设备合同'!$D:$AK,9,0)</f>
        <v>氨肟化装置12.6万元，己内酰胺装置1.9万元</v>
      </c>
      <c r="K142" s="287" t="str">
        <f>VLOOKUP($B142,'2、设备合同'!$D:$AK,10,0)</f>
        <v>6个月承兑汇票</v>
      </c>
      <c r="L142" s="288" t="str">
        <f>VLOOKUP($B142,'2、设备合同'!$D:$AK,11,0)</f>
        <v>乙方货物制造完成，甲方人员在乙方工厂清点验货无误，并收到60%的专票（17%）后15个工作日支付60%发货款</v>
      </c>
      <c r="M142" s="289">
        <f>VLOOKUP($B142,'2、设备合同'!$D:$AK,12,0)</f>
        <v>87000</v>
      </c>
      <c r="N142" s="289">
        <f>VLOOKUP($B142,'2、设备合同'!$D:$AK,13,0)</f>
        <v>0</v>
      </c>
      <c r="O142" s="286" t="str">
        <f>VLOOKUP($B142,'2、设备合同'!$D:$AK,14,0)</f>
        <v>甲方验收合格后，15个工作日内支付30%的货款</v>
      </c>
      <c r="P142" s="289">
        <f>VLOOKUP($B142,'2、设备合同'!$D:$AK,15,0)</f>
        <v>43500</v>
      </c>
      <c r="Q142" s="289">
        <f>VLOOKUP($B142,'2、设备合同'!$D:$AK,16,0)</f>
        <v>0</v>
      </c>
      <c r="R142" s="286" t="str">
        <f>VLOOKUP($B142,'2、设备合同'!$D:$AK,17,0)</f>
        <v>10%的货款作为质保金，验收合格后18个月后支付</v>
      </c>
      <c r="S142" s="289">
        <f>VLOOKUP($B142,'2、设备合同'!$D:$AK,18,0)</f>
        <v>14500</v>
      </c>
      <c r="T142" s="289">
        <f>VLOOKUP($B142,'2、设备合同'!$D:$AK,19,0)</f>
        <v>0</v>
      </c>
      <c r="U142" s="286">
        <f>VLOOKUP($B142,'2、设备合同'!$D:$AK,20,0)</f>
        <v>0</v>
      </c>
      <c r="V142" s="289">
        <f>VLOOKUP($B142,'2、设备合同'!$D:$AK,21,0)</f>
        <v>0</v>
      </c>
      <c r="W142" s="289">
        <f>VLOOKUP($B142,'2、设备合同'!$D:$AK,22,0)</f>
        <v>0</v>
      </c>
      <c r="X142" s="286">
        <f>VLOOKUP($B142,'2、设备合同'!$D:$AK,23,0)</f>
        <v>0</v>
      </c>
      <c r="Y142" s="289">
        <f>VLOOKUP($B142,'2、设备合同'!$D:$AK,24,0)</f>
        <v>0</v>
      </c>
      <c r="Z142" s="289">
        <f>VLOOKUP($B142,'2、设备合同'!$D:$AK,25,0)</f>
        <v>0</v>
      </c>
      <c r="AA142" s="286">
        <f>VLOOKUP($B142,'2、设备合同'!$D:$AK,26,0)</f>
        <v>0</v>
      </c>
      <c r="AB142" s="289">
        <f>VLOOKUP($B142,'2、设备合同'!$D:$AK,27,0)</f>
        <v>0</v>
      </c>
      <c r="AC142" s="289">
        <f>VLOOKUP($B142,'2、设备合同'!$D:$AK,28,0)</f>
        <v>0</v>
      </c>
      <c r="AD142" s="286">
        <f>VLOOKUP($B142,'2、设备合同'!$D:$AK,29,0)</f>
        <v>0</v>
      </c>
      <c r="AE142" s="289">
        <f>VLOOKUP($B142,'2、设备合同'!$D:$AK,30,0)</f>
        <v>0</v>
      </c>
      <c r="AF142" s="289">
        <f>VLOOKUP($B142,'2、设备合同'!$D:$AK,31,0)</f>
        <v>0</v>
      </c>
      <c r="AG142" s="289">
        <f>VLOOKUP($B142,'2、设备合同'!$D:$AK,32,0)</f>
        <v>0</v>
      </c>
      <c r="AH142" s="289">
        <f>VLOOKUP($B142,'2、设备合同'!$D:$AK,33,0)</f>
        <v>0</v>
      </c>
      <c r="AI142" s="308">
        <f>VLOOKUP($B142,'2、设备合同'!$D:$AK,34,0)</f>
        <v>0</v>
      </c>
      <c r="AJ142" s="309">
        <f t="shared" si="36"/>
        <v>0</v>
      </c>
      <c r="AK142" s="289">
        <f t="shared" si="37"/>
        <v>145000</v>
      </c>
      <c r="AL142" s="310">
        <f t="shared" si="38"/>
        <v>0</v>
      </c>
      <c r="AM142" s="289">
        <f t="shared" si="39"/>
        <v>145000</v>
      </c>
      <c r="AN142" s="311" t="str">
        <f t="shared" si="40"/>
        <v>数据正确</v>
      </c>
    </row>
    <row r="143" customHeight="1" spans="1:40">
      <c r="A143" s="228" t="str">
        <f t="shared" si="35"/>
        <v/>
      </c>
      <c r="B143" s="261">
        <v>138</v>
      </c>
      <c r="C143" s="262" t="str">
        <f>VLOOKUP($B143,'2、设备合同'!$D:$AK,2,0)</f>
        <v>YRKJEQ-170051</v>
      </c>
      <c r="D143" s="263" t="str">
        <f>VLOOKUP($B143,'2、设备合同'!$D:$AK,3,0)</f>
        <v>设备合同</v>
      </c>
      <c r="E143" s="263">
        <f>VLOOKUP($B143,'2、设备合同'!$D:$AK,4,0)</f>
        <v>2017050013</v>
      </c>
      <c r="F143" s="264">
        <f>VLOOKUP($B143,'2、设备合同'!$D:$AK,5,0)</f>
        <v>42928</v>
      </c>
      <c r="G143" s="265">
        <f>VLOOKUP($B143,'2、设备合同'!$D:$AK,6,0)</f>
        <v>1800000</v>
      </c>
      <c r="H143" s="265" t="str">
        <f>VLOOKUP($B143,'2、设备合同'!$D:$AK,7,0)</f>
        <v>环己酮装置卧式多级离心泵共4台</v>
      </c>
      <c r="I143" s="265" t="str">
        <f>VLOOKUP($B143,'2、设备合同'!$D:$AK,8,0)</f>
        <v>杭州大路实业有限公司</v>
      </c>
      <c r="J143" s="286">
        <f>VLOOKUP($B143,'2、设备合同'!$D:$AK,9,0)</f>
        <v>0</v>
      </c>
      <c r="K143" s="287" t="str">
        <f>VLOOKUP($B143,'2、设备合同'!$D:$AK,10,0)</f>
        <v>6个月承兑汇票</v>
      </c>
      <c r="L143" s="288" t="str">
        <f>VLOOKUP($B143,'2、设备合同'!$D:$AK,11,0)</f>
        <v>乙方货物制造完成，甲方人员在乙方工厂清点验货无误，并收到60%的专票（17%）后15个工作日支付60%发货款</v>
      </c>
      <c r="M143" s="289">
        <f>VLOOKUP($B143,'2、设备合同'!$D:$AK,12,0)</f>
        <v>1080000</v>
      </c>
      <c r="N143" s="289">
        <f>VLOOKUP($B143,'2、设备合同'!$D:$AK,13,0)</f>
        <v>0</v>
      </c>
      <c r="O143" s="286" t="str">
        <f>VLOOKUP($B143,'2、设备合同'!$D:$AK,14,0)</f>
        <v>甲方验收合格后，15个工作日内支付30%的货款</v>
      </c>
      <c r="P143" s="289">
        <f>VLOOKUP($B143,'2、设备合同'!$D:$AK,15,0)</f>
        <v>540000</v>
      </c>
      <c r="Q143" s="289">
        <f>VLOOKUP($B143,'2、设备合同'!$D:$AK,16,0)</f>
        <v>0</v>
      </c>
      <c r="R143" s="286" t="str">
        <f>VLOOKUP($B143,'2、设备合同'!$D:$AK,17,0)</f>
        <v>10%的货款作为质保金，验收合格后18个月后支付</v>
      </c>
      <c r="S143" s="289">
        <f>VLOOKUP($B143,'2、设备合同'!$D:$AK,18,0)</f>
        <v>180000</v>
      </c>
      <c r="T143" s="289">
        <f>VLOOKUP($B143,'2、设备合同'!$D:$AK,19,0)</f>
        <v>0</v>
      </c>
      <c r="U143" s="286">
        <f>VLOOKUP($B143,'2、设备合同'!$D:$AK,20,0)</f>
        <v>0</v>
      </c>
      <c r="V143" s="289">
        <f>VLOOKUP($B143,'2、设备合同'!$D:$AK,21,0)</f>
        <v>0</v>
      </c>
      <c r="W143" s="289">
        <f>VLOOKUP($B143,'2、设备合同'!$D:$AK,22,0)</f>
        <v>0</v>
      </c>
      <c r="X143" s="286">
        <f>VLOOKUP($B143,'2、设备合同'!$D:$AK,23,0)</f>
        <v>0</v>
      </c>
      <c r="Y143" s="289">
        <f>VLOOKUP($B143,'2、设备合同'!$D:$AK,24,0)</f>
        <v>0</v>
      </c>
      <c r="Z143" s="289">
        <f>VLOOKUP($B143,'2、设备合同'!$D:$AK,25,0)</f>
        <v>0</v>
      </c>
      <c r="AA143" s="286">
        <f>VLOOKUP($B143,'2、设备合同'!$D:$AK,26,0)</f>
        <v>0</v>
      </c>
      <c r="AB143" s="289">
        <f>VLOOKUP($B143,'2、设备合同'!$D:$AK,27,0)</f>
        <v>0</v>
      </c>
      <c r="AC143" s="289">
        <f>VLOOKUP($B143,'2、设备合同'!$D:$AK,28,0)</f>
        <v>0</v>
      </c>
      <c r="AD143" s="286">
        <f>VLOOKUP($B143,'2、设备合同'!$D:$AK,29,0)</f>
        <v>0</v>
      </c>
      <c r="AE143" s="289">
        <f>VLOOKUP($B143,'2、设备合同'!$D:$AK,30,0)</f>
        <v>0</v>
      </c>
      <c r="AF143" s="289">
        <f>VLOOKUP($B143,'2、设备合同'!$D:$AK,31,0)</f>
        <v>0</v>
      </c>
      <c r="AG143" s="289">
        <f>VLOOKUP($B143,'2、设备合同'!$D:$AK,32,0)</f>
        <v>0</v>
      </c>
      <c r="AH143" s="289">
        <f>VLOOKUP($B143,'2、设备合同'!$D:$AK,33,0)</f>
        <v>0</v>
      </c>
      <c r="AI143" s="308">
        <f>VLOOKUP($B143,'2、设备合同'!$D:$AK,34,0)</f>
        <v>0</v>
      </c>
      <c r="AJ143" s="309">
        <f t="shared" si="36"/>
        <v>0</v>
      </c>
      <c r="AK143" s="289">
        <f t="shared" si="37"/>
        <v>1800000</v>
      </c>
      <c r="AL143" s="310">
        <f t="shared" si="38"/>
        <v>0</v>
      </c>
      <c r="AM143" s="289">
        <f t="shared" si="39"/>
        <v>1800000</v>
      </c>
      <c r="AN143" s="311" t="str">
        <f t="shared" si="40"/>
        <v>数据正确</v>
      </c>
    </row>
    <row r="144" customHeight="1" spans="1:40">
      <c r="A144" s="228" t="str">
        <f t="shared" si="35"/>
        <v/>
      </c>
      <c r="B144" s="256">
        <v>139</v>
      </c>
      <c r="C144" s="266" t="str">
        <f>VLOOKUP($B144,'3、工程合同'!$D:$AL,2,0)</f>
        <v>YRKJ-2017GC-SGHT001</v>
      </c>
      <c r="D144" s="267" t="str">
        <f>VLOOKUP($B144,'3、工程合同'!$D:$AL,3,0)</f>
        <v>工程合同</v>
      </c>
      <c r="E144" s="267" t="str">
        <f>VLOOKUP($B144,'3、工程合同'!$D:$AL,4,0)</f>
        <v>-</v>
      </c>
      <c r="F144" s="268">
        <f>VLOOKUP($B144,'3、工程合同'!$D:$AL,5,0)</f>
        <v>42758</v>
      </c>
      <c r="G144" s="269">
        <f>VLOOKUP($B144,'3、工程合同'!$D:$AL,6,0)</f>
        <v>51560000</v>
      </c>
      <c r="H144" s="269" t="str">
        <f>VLOOKUP($B144,'3、工程合同'!$D:$AL,7,0)</f>
        <v>厂前区项目土建工程</v>
      </c>
      <c r="I144" s="269" t="str">
        <f>VLOOKUP($B144,'3、工程合同'!$D:$AL,8,0)</f>
        <v>中国化学工程第三建设有限公司</v>
      </c>
      <c r="J144" s="290">
        <f>VLOOKUP($B144,'3、工程合同'!$D:$AL,9,0)</f>
        <v>0</v>
      </c>
      <c r="K144" s="291" t="str">
        <f>VLOOKUP($B144,'3、工程合同'!$D:$AL,10,0)</f>
        <v>6个月承兑汇票/电汇下浮3%</v>
      </c>
      <c r="L144" s="292" t="str">
        <f>VLOOKUP($B144,'3、工程合同'!$D:$AL,11,0)</f>
        <v>-</v>
      </c>
      <c r="M144" s="293">
        <f>VLOOKUP($B144,'3、工程合同'!$D:$AL,12,0)</f>
        <v>24125788.7</v>
      </c>
      <c r="N144" s="293">
        <f>VLOOKUP($B144,'3、工程合同'!$D:$AL,13,0)</f>
        <v>4843153.08</v>
      </c>
      <c r="O144" s="290">
        <f>VLOOKUP($B144,'3、工程合同'!$D:$AL,14,0)</f>
        <v>0</v>
      </c>
      <c r="P144" s="293">
        <f>VLOOKUP($B144,'3、工程合同'!$D:$AL,15,0)</f>
        <v>7052908.8</v>
      </c>
      <c r="Q144" s="293">
        <f>VLOOKUP($B144,'3、工程合同'!$D:$AL,16,0)</f>
        <v>4848377.92</v>
      </c>
      <c r="R144" s="290">
        <f>VLOOKUP($B144,'3、工程合同'!$D:$AL,17,0)</f>
        <v>0</v>
      </c>
      <c r="S144" s="293">
        <f>VLOOKUP($B144,'3、工程合同'!$D:$AL,18,0)</f>
        <v>6281312.05</v>
      </c>
      <c r="T144" s="293">
        <f>VLOOKUP($B144,'3、工程合同'!$D:$AL,19,0)</f>
        <v>0</v>
      </c>
      <c r="U144" s="290">
        <f>VLOOKUP($B144,'3、工程合同'!$D:$AL,20,0)</f>
        <v>0</v>
      </c>
      <c r="V144" s="293">
        <f>VLOOKUP($B144,'3、工程合同'!$D:$AL,21,0)</f>
        <v>2526010.79</v>
      </c>
      <c r="W144" s="293">
        <f>VLOOKUP($B144,'3、工程合同'!$D:$AL,22,0)</f>
        <v>0</v>
      </c>
      <c r="X144" s="290">
        <f>VLOOKUP($B144,'3、工程合同'!$D:$AL,23,0)</f>
        <v>0</v>
      </c>
      <c r="Y144" s="293">
        <f>VLOOKUP($B144,'3、工程合同'!$D:$AL,24,0)</f>
        <v>2294530.94</v>
      </c>
      <c r="Z144" s="293">
        <f>VLOOKUP($B144,'3、工程合同'!$D:$AL,25,0)</f>
        <v>0</v>
      </c>
      <c r="AA144" s="290">
        <f>VLOOKUP($B144,'3、工程合同'!$D:$AL,26,0)</f>
        <v>0</v>
      </c>
      <c r="AB144" s="293">
        <f>VLOOKUP($B144,'3、工程合同'!$D:$AL,27,0)</f>
        <v>1797399.22</v>
      </c>
      <c r="AC144" s="293">
        <f>VLOOKUP($B144,'3、工程合同'!$D:$AL,28,0)</f>
        <v>0</v>
      </c>
      <c r="AD144" s="290">
        <f>VLOOKUP($B144,'3、工程合同'!$D:$AL,29,0)</f>
        <v>0</v>
      </c>
      <c r="AE144" s="293">
        <f>VLOOKUP($B144,'3、工程合同'!$D:$AL,30,0)</f>
        <v>2094973.86</v>
      </c>
      <c r="AF144" s="293">
        <f>VLOOKUP($B144,'3、工程合同'!$D:$AL,31,0)</f>
        <v>0</v>
      </c>
      <c r="AG144" s="293">
        <f>VLOOKUP($B144,'3、工程合同'!$D:$AL,32,0)</f>
        <v>0</v>
      </c>
      <c r="AH144" s="293">
        <f>VLOOKUP($B144,'3、工程合同'!$D:$AL,33,0)</f>
        <v>5387075.64</v>
      </c>
      <c r="AI144" s="312">
        <f>VLOOKUP($B144,'3、工程合同'!$D:$AL,34,0)</f>
        <v>0</v>
      </c>
      <c r="AJ144" s="309">
        <f t="shared" si="36"/>
        <v>9691531</v>
      </c>
      <c r="AK144" s="289">
        <f t="shared" si="37"/>
        <v>41868469</v>
      </c>
      <c r="AL144" s="310">
        <f t="shared" si="38"/>
        <v>0.187966078355314</v>
      </c>
      <c r="AM144" s="289">
        <f t="shared" si="39"/>
        <v>51560000</v>
      </c>
      <c r="AN144" s="311" t="str">
        <f t="shared" si="40"/>
        <v>数据正确</v>
      </c>
    </row>
    <row r="145" customHeight="1" spans="1:40">
      <c r="A145" s="228" t="str">
        <f t="shared" si="35"/>
        <v>已完毕</v>
      </c>
      <c r="B145" s="261">
        <v>140</v>
      </c>
      <c r="C145" s="262" t="str">
        <f>VLOOKUP($B145,'2、设备合同'!$D:$AK,2,0)</f>
        <v>YRKJEQ-170045</v>
      </c>
      <c r="D145" s="263" t="str">
        <f>VLOOKUP($B145,'2、设备合同'!$D:$AK,3,0)</f>
        <v>设备合同</v>
      </c>
      <c r="E145" s="263">
        <f>VLOOKUP($B145,'2、设备合同'!$D:$AK,4,0)</f>
        <v>2017060003</v>
      </c>
      <c r="F145" s="264">
        <f>VLOOKUP($B145,'2、设备合同'!$D:$AK,5,0)</f>
        <v>42930</v>
      </c>
      <c r="G145" s="265">
        <f>VLOOKUP($B145,'2、设备合同'!$D:$AK,6,0)</f>
        <v>103000</v>
      </c>
      <c r="H145" s="265" t="str">
        <f>VLOOKUP($B145,'2、设备合同'!$D:$AK,7,0)</f>
        <v>3T柴油叉车</v>
      </c>
      <c r="I145" s="265" t="str">
        <f>VLOOKUP($B145,'2、设备合同'!$D:$AK,8,0)</f>
        <v>林德（中国）叉车有限公司</v>
      </c>
      <c r="J145" s="286">
        <f>VLOOKUP($B145,'2、设备合同'!$D:$AK,9,0)</f>
        <v>0</v>
      </c>
      <c r="K145" s="287" t="str">
        <f>VLOOKUP($B145,'2、设备合同'!$D:$AK,10,0)</f>
        <v>电汇</v>
      </c>
      <c r="L145" s="288" t="str">
        <f>VLOOKUP($B145,'2、设备合同'!$D:$AK,11,0)</f>
        <v>合同签订后预付30%</v>
      </c>
      <c r="M145" s="289">
        <f>VLOOKUP($B145,'2、设备合同'!$D:$AK,12,0)</f>
        <v>30900</v>
      </c>
      <c r="N145" s="289">
        <f>VLOOKUP($B145,'2、设备合同'!$D:$AK,13,0)</f>
        <v>30900</v>
      </c>
      <c r="O145" s="286" t="str">
        <f>VLOOKUP($B145,'2、设备合同'!$D:$AK,14,0)</f>
        <v>验收合格，收到全额专票，后15个工作日支付70%</v>
      </c>
      <c r="P145" s="289">
        <f>VLOOKUP($B145,'2、设备合同'!$D:$AK,15,0)</f>
        <v>72100</v>
      </c>
      <c r="Q145" s="289">
        <f>VLOOKUP($B145,'2、设备合同'!$D:$AK,16,0)</f>
        <v>72100</v>
      </c>
      <c r="R145" s="286">
        <f>VLOOKUP($B145,'2、设备合同'!$D:$AK,17,0)</f>
        <v>0</v>
      </c>
      <c r="S145" s="289">
        <f>VLOOKUP($B145,'2、设备合同'!$D:$AK,18,0)</f>
        <v>0</v>
      </c>
      <c r="T145" s="289">
        <f>VLOOKUP($B145,'2、设备合同'!$D:$AK,19,0)</f>
        <v>0</v>
      </c>
      <c r="U145" s="286">
        <f>VLOOKUP($B145,'2、设备合同'!$D:$AK,20,0)</f>
        <v>0</v>
      </c>
      <c r="V145" s="289">
        <f>VLOOKUP($B145,'2、设备合同'!$D:$AK,21,0)</f>
        <v>0</v>
      </c>
      <c r="W145" s="289">
        <f>VLOOKUP($B145,'2、设备合同'!$D:$AK,22,0)</f>
        <v>0</v>
      </c>
      <c r="X145" s="286">
        <f>VLOOKUP($B145,'2、设备合同'!$D:$AK,23,0)</f>
        <v>0</v>
      </c>
      <c r="Y145" s="289">
        <f>VLOOKUP($B145,'2、设备合同'!$D:$AK,24,0)</f>
        <v>0</v>
      </c>
      <c r="Z145" s="289">
        <f>VLOOKUP($B145,'2、设备合同'!$D:$AK,25,0)</f>
        <v>0</v>
      </c>
      <c r="AA145" s="286">
        <f>VLOOKUP($B145,'2、设备合同'!$D:$AK,26,0)</f>
        <v>0</v>
      </c>
      <c r="AB145" s="289">
        <f>VLOOKUP($B145,'2、设备合同'!$D:$AK,27,0)</f>
        <v>0</v>
      </c>
      <c r="AC145" s="289">
        <f>VLOOKUP($B145,'2、设备合同'!$D:$AK,28,0)</f>
        <v>0</v>
      </c>
      <c r="AD145" s="286">
        <f>VLOOKUP($B145,'2、设备合同'!$D:$AK,29,0)</f>
        <v>0</v>
      </c>
      <c r="AE145" s="289">
        <f>VLOOKUP($B145,'2、设备合同'!$D:$AK,30,0)</f>
        <v>0</v>
      </c>
      <c r="AF145" s="289">
        <f>VLOOKUP($B145,'2、设备合同'!$D:$AK,31,0)</f>
        <v>0</v>
      </c>
      <c r="AG145" s="289">
        <f>VLOOKUP($B145,'2、设备合同'!$D:$AK,32,0)</f>
        <v>0</v>
      </c>
      <c r="AH145" s="289">
        <f>VLOOKUP($B145,'2、设备合同'!$D:$AK,33,0)</f>
        <v>0</v>
      </c>
      <c r="AI145" s="308">
        <f>VLOOKUP($B145,'2、设备合同'!$D:$AK,34,0)</f>
        <v>0</v>
      </c>
      <c r="AJ145" s="309">
        <f t="shared" si="36"/>
        <v>103000</v>
      </c>
      <c r="AK145" s="289">
        <f t="shared" si="37"/>
        <v>0</v>
      </c>
      <c r="AL145" s="310">
        <f t="shared" si="38"/>
        <v>1</v>
      </c>
      <c r="AM145" s="289">
        <f t="shared" si="39"/>
        <v>103000</v>
      </c>
      <c r="AN145" s="311" t="str">
        <f t="shared" si="40"/>
        <v>数据正确</v>
      </c>
    </row>
    <row r="146" customHeight="1" spans="1:40">
      <c r="A146" s="228" t="str">
        <f t="shared" si="35"/>
        <v/>
      </c>
      <c r="B146" s="261">
        <v>141</v>
      </c>
      <c r="C146" s="262" t="str">
        <f>VLOOKUP($B146,'2、设备合同'!$D:$AK,2,0)</f>
        <v>YRKJEQ-170022</v>
      </c>
      <c r="D146" s="263" t="str">
        <f>VLOOKUP($B146,'2、设备合同'!$D:$AK,3,0)</f>
        <v>设备合同</v>
      </c>
      <c r="E146" s="263">
        <f>VLOOKUP($B146,'2、设备合同'!$D:$AK,4,0)</f>
        <v>2017050011</v>
      </c>
      <c r="F146" s="264">
        <f>VLOOKUP($B146,'2、设备合同'!$D:$AK,5,0)</f>
        <v>42893</v>
      </c>
      <c r="G146" s="265">
        <f>VLOOKUP($B146,'2、设备合同'!$D:$AK,6,0)</f>
        <v>14200000</v>
      </c>
      <c r="H146" s="265" t="str">
        <f>VLOOKUP($B146,'2、设备合同'!$D:$AK,7,0)</f>
        <v>氢气压缩机共4台</v>
      </c>
      <c r="I146" s="265" t="str">
        <f>VLOOKUP($B146,'2、设备合同'!$D:$AK,8,0)</f>
        <v>杭州杭氧压缩机有限公司</v>
      </c>
      <c r="J146" s="286" t="str">
        <f>VLOOKUP($B146,'2、设备合同'!$D:$AK,9,0)</f>
        <v>环己酮装置1420万元</v>
      </c>
      <c r="K146" s="287" t="str">
        <f>VLOOKUP($B146,'2、设备合同'!$D:$AK,10,0)</f>
        <v>承兑汇票</v>
      </c>
      <c r="L146" s="288" t="str">
        <f>VLOOKUP($B146,'2、设备合同'!$D:$AK,11,0)</f>
        <v>合同签订15个工作日，收到等额17%专票及预付保函后15个工作日，支付20%预付款。10%履约保证金</v>
      </c>
      <c r="M146" s="289">
        <f>VLOOKUP($B146,'2、设备合同'!$D:$AK,12,0)</f>
        <v>2840000</v>
      </c>
      <c r="N146" s="289">
        <f>VLOOKUP($B146,'2、设备合同'!$D:$AK,13,0)</f>
        <v>2840000</v>
      </c>
      <c r="O146" s="286" t="str">
        <f>VLOOKUP($B146,'2、设备合同'!$D:$AK,14,0)</f>
        <v>货到甲方现场，提供全额专票，一个月内支付40%货款，退回预付款保函</v>
      </c>
      <c r="P146" s="289">
        <f>VLOOKUP($B146,'2、设备合同'!$D:$AK,15,0)</f>
        <v>5680000</v>
      </c>
      <c r="Q146" s="289">
        <f>VLOOKUP($B146,'2、设备合同'!$D:$AK,16,0)</f>
        <v>0</v>
      </c>
      <c r="R146" s="286" t="str">
        <f>VLOOKUP($B146,'2、设备合同'!$D:$AK,17,0)</f>
        <v>验收合格后，一个月内支付30%验收款</v>
      </c>
      <c r="S146" s="289">
        <f>VLOOKUP($B146,'2、设备合同'!$D:$AK,18,0)</f>
        <v>4260000</v>
      </c>
      <c r="T146" s="289">
        <f>VLOOKUP($B146,'2、设备合同'!$D:$AK,19,0)</f>
        <v>0</v>
      </c>
      <c r="U146" s="286" t="str">
        <f>VLOOKUP($B146,'2、设备合同'!$D:$AK,20,0)</f>
        <v>10%质保金，货到现场后满18个月付清</v>
      </c>
      <c r="V146" s="289">
        <f>VLOOKUP($B146,'2、设备合同'!$D:$AK,21,0)</f>
        <v>1420000</v>
      </c>
      <c r="W146" s="289">
        <f>VLOOKUP($B146,'2、设备合同'!$D:$AK,22,0)</f>
        <v>0</v>
      </c>
      <c r="X146" s="286">
        <f>VLOOKUP($B146,'2、设备合同'!$D:$AK,23,0)</f>
        <v>0</v>
      </c>
      <c r="Y146" s="289">
        <f>VLOOKUP($B146,'2、设备合同'!$D:$AK,24,0)</f>
        <v>0</v>
      </c>
      <c r="Z146" s="289">
        <f>VLOOKUP($B146,'2、设备合同'!$D:$AK,25,0)</f>
        <v>0</v>
      </c>
      <c r="AA146" s="286">
        <f>VLOOKUP($B146,'2、设备合同'!$D:$AK,26,0)</f>
        <v>0</v>
      </c>
      <c r="AB146" s="289">
        <f>VLOOKUP($B146,'2、设备合同'!$D:$AK,27,0)</f>
        <v>0</v>
      </c>
      <c r="AC146" s="289">
        <f>VLOOKUP($B146,'2、设备合同'!$D:$AK,28,0)</f>
        <v>0</v>
      </c>
      <c r="AD146" s="286">
        <f>VLOOKUP($B146,'2、设备合同'!$D:$AK,29,0)</f>
        <v>0</v>
      </c>
      <c r="AE146" s="289">
        <f>VLOOKUP($B146,'2、设备合同'!$D:$AK,30,0)</f>
        <v>0</v>
      </c>
      <c r="AF146" s="289">
        <f>VLOOKUP($B146,'2、设备合同'!$D:$AK,31,0)</f>
        <v>0</v>
      </c>
      <c r="AG146" s="289">
        <f>VLOOKUP($B146,'2、设备合同'!$D:$AK,32,0)</f>
        <v>0</v>
      </c>
      <c r="AH146" s="289">
        <f>VLOOKUP($B146,'2、设备合同'!$D:$AK,33,0)</f>
        <v>0</v>
      </c>
      <c r="AI146" s="308">
        <f>VLOOKUP($B146,'2、设备合同'!$D:$AK,34,0)</f>
        <v>0</v>
      </c>
      <c r="AJ146" s="309">
        <f t="shared" ref="AJ146:AJ154" si="41">N146+Q146+T146+W146+Z146+AC146+AF146+AI146</f>
        <v>2840000</v>
      </c>
      <c r="AK146" s="289">
        <f t="shared" ref="AK146:AK154" si="42">G146-AJ146</f>
        <v>11360000</v>
      </c>
      <c r="AL146" s="310">
        <f t="shared" ref="AL146:AL154" si="43">AJ146/G146</f>
        <v>0.2</v>
      </c>
      <c r="AM146" s="289">
        <f t="shared" ref="AM146:AM154" si="44">M146+P146+S146+V146+Y146+AB146+AE146+AH146</f>
        <v>14200000</v>
      </c>
      <c r="AN146" s="311" t="str">
        <f t="shared" ref="AN146:AN154" si="45">IF(AM146-G146=0,"数据正确","数据错误")</f>
        <v>数据正确</v>
      </c>
    </row>
    <row r="147" s="228" customFormat="1" customHeight="1" spans="1:40">
      <c r="A147" s="228" t="str">
        <f t="shared" si="35"/>
        <v/>
      </c>
      <c r="B147" s="256">
        <v>142</v>
      </c>
      <c r="C147" s="262" t="str">
        <f>VLOOKUP($B147,'2、设备合同'!$D:$AK,2,0)</f>
        <v>YRKJEQ-170023</v>
      </c>
      <c r="D147" s="263" t="str">
        <f>VLOOKUP($B147,'2、设备合同'!$D:$AK,3,0)</f>
        <v>设备合同</v>
      </c>
      <c r="E147" s="263">
        <f>VLOOKUP($B147,'2、设备合同'!$D:$AK,4,0)</f>
        <v>2017060065</v>
      </c>
      <c r="F147" s="264">
        <f>VLOOKUP($B147,'2、设备合同'!$D:$AK,5,0)</f>
        <v>42893</v>
      </c>
      <c r="G147" s="265">
        <f>VLOOKUP($B147,'2、设备合同'!$D:$AK,6,0)</f>
        <v>2900000</v>
      </c>
      <c r="H147" s="265" t="str">
        <f>VLOOKUP($B147,'2、设备合同'!$D:$AK,7,0)</f>
        <v>循环水泵及配件P-85301D配套</v>
      </c>
      <c r="I147" s="265" t="str">
        <f>VLOOKUP($B147,'2、设备合同'!$D:$AK,8,0)</f>
        <v>湖南湘电长沙水泵有限公司</v>
      </c>
      <c r="J147" s="286" t="str">
        <f>VLOOKUP($B147,'2、设备合同'!$D:$AK,9,0)</f>
        <v>循环水场290万元</v>
      </c>
      <c r="K147" s="287" t="str">
        <f>VLOOKUP($B147,'2、设备合同'!$D:$AK,10,0)</f>
        <v>6个月承兑汇票</v>
      </c>
      <c r="L147" s="288" t="str">
        <f>VLOOKUP($B147,'2、设备合同'!$D:$AK,11,0)</f>
        <v>甲方接到货物后，收到乙方提供的20%预付款保函，并收到等额的专票后支付20%货款。乙方提供10%履约保函</v>
      </c>
      <c r="M147" s="289">
        <f>VLOOKUP($B147,'2、设备合同'!$D:$AK,12,0)</f>
        <v>580000</v>
      </c>
      <c r="N147" s="289">
        <f>VLOOKUP($B147,'2、设备合同'!$D:$AK,13,0)</f>
        <v>580000</v>
      </c>
      <c r="O147" s="286" t="str">
        <f>VLOOKUP($B147,'2、设备合同'!$D:$AK,14,0)</f>
        <v>甲方到乙方现场确认无误后，收到17%等额专票，15个工作日内支付40%发货款</v>
      </c>
      <c r="P147" s="289">
        <f>VLOOKUP($B147,'2、设备合同'!$D:$AK,15,0)</f>
        <v>1160000</v>
      </c>
      <c r="Q147" s="289">
        <f>VLOOKUP($B147,'2、设备合同'!$D:$AK,16,0)</f>
        <v>0</v>
      </c>
      <c r="R147" s="286" t="str">
        <f>VLOOKUP($B147,'2、设备合同'!$D:$AK,17,0)</f>
        <v>甲方收到货物，并验收合格后收到全额的专票后，支付30%的验收款</v>
      </c>
      <c r="S147" s="289">
        <f>VLOOKUP($B147,'2、设备合同'!$D:$AK,18,0)</f>
        <v>870000</v>
      </c>
      <c r="T147" s="289">
        <f>VLOOKUP($B147,'2、设备合同'!$D:$AK,19,0)</f>
        <v>0</v>
      </c>
      <c r="U147" s="286" t="str">
        <f>VLOOKUP($B147,'2、设备合同'!$D:$AK,20,0)</f>
        <v>10%质保金，质满期满后无息支付</v>
      </c>
      <c r="V147" s="289">
        <f>VLOOKUP($B147,'2、设备合同'!$D:$AK,21,0)</f>
        <v>290000</v>
      </c>
      <c r="W147" s="289">
        <f>VLOOKUP($B147,'2、设备合同'!$D:$AK,22,0)</f>
        <v>0</v>
      </c>
      <c r="X147" s="286">
        <f>VLOOKUP($B147,'2、设备合同'!$D:$AK,23,0)</f>
        <v>0</v>
      </c>
      <c r="Y147" s="289">
        <f>VLOOKUP($B147,'2、设备合同'!$D:$AK,24,0)</f>
        <v>0</v>
      </c>
      <c r="Z147" s="289">
        <f>VLOOKUP($B147,'2、设备合同'!$D:$AK,25,0)</f>
        <v>0</v>
      </c>
      <c r="AA147" s="286">
        <f>VLOOKUP($B147,'2、设备合同'!$D:$AK,26,0)</f>
        <v>0</v>
      </c>
      <c r="AB147" s="289">
        <f>VLOOKUP($B147,'2、设备合同'!$D:$AK,27,0)</f>
        <v>0</v>
      </c>
      <c r="AC147" s="289">
        <f>VLOOKUP($B147,'2、设备合同'!$D:$AK,28,0)</f>
        <v>0</v>
      </c>
      <c r="AD147" s="286">
        <f>VLOOKUP($B147,'2、设备合同'!$D:$AK,29,0)</f>
        <v>0</v>
      </c>
      <c r="AE147" s="289">
        <f>VLOOKUP($B147,'2、设备合同'!$D:$AK,30,0)</f>
        <v>0</v>
      </c>
      <c r="AF147" s="289">
        <f>VLOOKUP($B147,'2、设备合同'!$D:$AK,31,0)</f>
        <v>0</v>
      </c>
      <c r="AG147" s="289">
        <f>VLOOKUP($B147,'2、设备合同'!$D:$AK,32,0)</f>
        <v>0</v>
      </c>
      <c r="AH147" s="289">
        <f>VLOOKUP($B147,'2、设备合同'!$D:$AK,33,0)</f>
        <v>0</v>
      </c>
      <c r="AI147" s="308">
        <f>VLOOKUP($B147,'2、设备合同'!$D:$AK,34,0)</f>
        <v>0</v>
      </c>
      <c r="AJ147" s="309">
        <f t="shared" si="41"/>
        <v>580000</v>
      </c>
      <c r="AK147" s="289">
        <f t="shared" si="42"/>
        <v>2320000</v>
      </c>
      <c r="AL147" s="310">
        <f t="shared" si="43"/>
        <v>0.2</v>
      </c>
      <c r="AM147" s="289">
        <f t="shared" si="44"/>
        <v>2900000</v>
      </c>
      <c r="AN147" s="311" t="str">
        <f t="shared" si="45"/>
        <v>数据正确</v>
      </c>
    </row>
    <row r="148" s="228" customFormat="1" customHeight="1" spans="1:40">
      <c r="A148" s="228" t="str">
        <f t="shared" si="35"/>
        <v/>
      </c>
      <c r="B148" s="261">
        <v>143</v>
      </c>
      <c r="C148" s="266" t="str">
        <f>VLOOKUP($B148,'3、工程合同'!$D:$AL,2,0)</f>
        <v>YRKJ-2016GC-SGHT003</v>
      </c>
      <c r="D148" s="267" t="str">
        <f>VLOOKUP($B148,'3、工程合同'!$D:$AL,3,0)</f>
        <v>工程合同</v>
      </c>
      <c r="E148" s="267" t="str">
        <f>VLOOKUP($B148,'3、工程合同'!$D:$AL,4,0)</f>
        <v>-</v>
      </c>
      <c r="F148" s="268">
        <f>VLOOKUP($B148,'3、工程合同'!$D:$AL,5,0)</f>
        <v>42690</v>
      </c>
      <c r="G148" s="269">
        <f>VLOOKUP($B148,'3、工程合同'!$D:$AL,6,0)</f>
        <v>660000</v>
      </c>
      <c r="H148" s="269" t="str">
        <f>VLOOKUP($B148,'3、工程合同'!$D:$AL,7,0)</f>
        <v>有机物料、苯罐组、液己罐、苯己罐桩基工程</v>
      </c>
      <c r="I148" s="269" t="str">
        <f>VLOOKUP($B148,'3、工程合同'!$D:$AL,8,0)</f>
        <v>福建勘察基础工程公司</v>
      </c>
      <c r="J148" s="290">
        <f>VLOOKUP($B148,'3、工程合同'!$D:$AL,9,0)</f>
        <v>0</v>
      </c>
      <c r="K148" s="291" t="str">
        <f>VLOOKUP($B148,'3、工程合同'!$D:$AL,10,0)</f>
        <v>6个月承兑汇票</v>
      </c>
      <c r="L148" s="292" t="str">
        <f>VLOOKUP($B148,'3、工程合同'!$D:$AL,11,0)</f>
        <v>按月结算，进度款的80%</v>
      </c>
      <c r="M148" s="293">
        <f>VLOOKUP($B148,'3、工程合同'!$D:$AL,12,0)</f>
        <v>528000</v>
      </c>
      <c r="N148" s="293">
        <f>VLOOKUP($B148,'3、工程合同'!$D:$AL,13,0)</f>
        <v>471600</v>
      </c>
      <c r="O148" s="290" t="str">
        <f>VLOOKUP($B148,'3、工程合同'!$D:$AL,14,0)</f>
        <v>工程竣工验收合格后支付15%</v>
      </c>
      <c r="P148" s="293">
        <f>VLOOKUP($B148,'3、工程合同'!$D:$AL,15,0)</f>
        <v>99000</v>
      </c>
      <c r="Q148" s="293">
        <f>VLOOKUP($B148,'3、工程合同'!$D:$AL,16,0)</f>
        <v>0</v>
      </c>
      <c r="R148" s="290" t="str">
        <f>VLOOKUP($B148,'3、工程合同'!$D:$AL,17,0)</f>
        <v>质保期1年后付5%</v>
      </c>
      <c r="S148" s="293">
        <f>VLOOKUP($B148,'3、工程合同'!$D:$AL,18,0)</f>
        <v>33000</v>
      </c>
      <c r="T148" s="293">
        <f>VLOOKUP($B148,'3、工程合同'!$D:$AL,19,0)</f>
        <v>0</v>
      </c>
      <c r="U148" s="290">
        <f>VLOOKUP($B148,'3、工程合同'!$D:$AL,20,0)</f>
        <v>0</v>
      </c>
      <c r="V148" s="293">
        <f>VLOOKUP($B148,'3、工程合同'!$D:$AL,21,0)</f>
        <v>0</v>
      </c>
      <c r="W148" s="293">
        <f>VLOOKUP($B148,'3、工程合同'!$D:$AL,22,0)</f>
        <v>0</v>
      </c>
      <c r="X148" s="290">
        <f>VLOOKUP($B148,'3、工程合同'!$D:$AL,23,0)</f>
        <v>0</v>
      </c>
      <c r="Y148" s="293">
        <f>VLOOKUP($B148,'3、工程合同'!$D:$AL,24,0)</f>
        <v>0</v>
      </c>
      <c r="Z148" s="293">
        <f>VLOOKUP($B148,'3、工程合同'!$D:$AL,25,0)</f>
        <v>0</v>
      </c>
      <c r="AA148" s="290">
        <f>VLOOKUP($B148,'3、工程合同'!$D:$AL,26,0)</f>
        <v>0</v>
      </c>
      <c r="AB148" s="293">
        <f>VLOOKUP($B148,'3、工程合同'!$D:$AL,27,0)</f>
        <v>0</v>
      </c>
      <c r="AC148" s="293">
        <f>VLOOKUP($B148,'3、工程合同'!$D:$AL,28,0)</f>
        <v>0</v>
      </c>
      <c r="AD148" s="290">
        <f>VLOOKUP($B148,'3、工程合同'!$D:$AL,29,0)</f>
        <v>0</v>
      </c>
      <c r="AE148" s="293">
        <f>VLOOKUP($B148,'3、工程合同'!$D:$AL,30,0)</f>
        <v>0</v>
      </c>
      <c r="AF148" s="293">
        <f>VLOOKUP($B148,'3、工程合同'!$D:$AL,31,0)</f>
        <v>0</v>
      </c>
      <c r="AG148" s="293">
        <f>VLOOKUP($B148,'3、工程合同'!$D:$AL,32,0)</f>
        <v>0</v>
      </c>
      <c r="AH148" s="293">
        <f>VLOOKUP($B148,'3、工程合同'!$D:$AL,33,0)</f>
        <v>0</v>
      </c>
      <c r="AI148" s="312">
        <f>VLOOKUP($B148,'3、工程合同'!$D:$AL,34,0)</f>
        <v>0</v>
      </c>
      <c r="AJ148" s="309">
        <f t="shared" si="41"/>
        <v>471600</v>
      </c>
      <c r="AK148" s="289">
        <f t="shared" si="42"/>
        <v>188400</v>
      </c>
      <c r="AL148" s="310">
        <f t="shared" si="43"/>
        <v>0.714545454545455</v>
      </c>
      <c r="AM148" s="289">
        <f t="shared" si="44"/>
        <v>660000</v>
      </c>
      <c r="AN148" s="311" t="str">
        <f t="shared" si="45"/>
        <v>数据正确</v>
      </c>
    </row>
    <row r="149" s="228" customFormat="1" customHeight="1" spans="1:40">
      <c r="A149" s="228" t="str">
        <f t="shared" si="35"/>
        <v/>
      </c>
      <c r="B149" s="261">
        <v>144</v>
      </c>
      <c r="C149" s="266" t="str">
        <f>VLOOKUP($B149,'3、工程合同'!$D:$AL,2,0)</f>
        <v>YRKJ-2016GC-SGHT002</v>
      </c>
      <c r="D149" s="267" t="str">
        <f>VLOOKUP($B149,'3、工程合同'!$D:$AL,3,0)</f>
        <v>工程合同</v>
      </c>
      <c r="E149" s="267" t="str">
        <f>VLOOKUP($B149,'3、工程合同'!$D:$AL,4,0)</f>
        <v>-</v>
      </c>
      <c r="F149" s="268">
        <f>VLOOKUP($B149,'3、工程合同'!$D:$AL,5,0)</f>
        <v>42620</v>
      </c>
      <c r="G149" s="269">
        <f>VLOOKUP($B149,'3、工程合同'!$D:$AL,6,0)</f>
        <v>506000</v>
      </c>
      <c r="H149" s="269" t="str">
        <f>VLOOKUP($B149,'3、工程合同'!$D:$AL,7,0)</f>
        <v>厂前区桩基工程</v>
      </c>
      <c r="I149" s="269" t="str">
        <f>VLOOKUP($B149,'3、工程合同'!$D:$AL,8,0)</f>
        <v>福建勘察基础工程公司</v>
      </c>
      <c r="J149" s="290">
        <f>VLOOKUP($B149,'3、工程合同'!$D:$AL,9,0)</f>
        <v>0</v>
      </c>
      <c r="K149" s="291" t="str">
        <f>VLOOKUP($B149,'3、工程合同'!$D:$AL,10,0)</f>
        <v>6个月承兑汇票</v>
      </c>
      <c r="L149" s="292" t="str">
        <f>VLOOKUP($B149,'3、工程合同'!$D:$AL,11,0)</f>
        <v>按月结算，进度款的80%</v>
      </c>
      <c r="M149" s="293">
        <f>VLOOKUP($B149,'3、工程合同'!$D:$AL,12,0)</f>
        <v>404800</v>
      </c>
      <c r="N149" s="293">
        <f>VLOOKUP($B149,'3、工程合同'!$D:$AL,13,0)</f>
        <v>268000</v>
      </c>
      <c r="O149" s="290" t="str">
        <f>VLOOKUP($B149,'3、工程合同'!$D:$AL,14,0)</f>
        <v>工程竣工验收合格后支付15%</v>
      </c>
      <c r="P149" s="293">
        <f>VLOOKUP($B149,'3、工程合同'!$D:$AL,15,0)</f>
        <v>75900</v>
      </c>
      <c r="Q149" s="293">
        <f>VLOOKUP($B149,'3、工程合同'!$D:$AL,16,0)</f>
        <v>0</v>
      </c>
      <c r="R149" s="290" t="str">
        <f>VLOOKUP($B149,'3、工程合同'!$D:$AL,17,0)</f>
        <v>质保期1年后付5%</v>
      </c>
      <c r="S149" s="293">
        <f>VLOOKUP($B149,'3、工程合同'!$D:$AL,18,0)</f>
        <v>25300</v>
      </c>
      <c r="T149" s="293">
        <f>VLOOKUP($B149,'3、工程合同'!$D:$AL,19,0)</f>
        <v>0</v>
      </c>
      <c r="U149" s="290">
        <f>VLOOKUP($B149,'3、工程合同'!$D:$AL,20,0)</f>
        <v>0</v>
      </c>
      <c r="V149" s="293">
        <f>VLOOKUP($B149,'3、工程合同'!$D:$AL,21,0)</f>
        <v>0</v>
      </c>
      <c r="W149" s="293">
        <f>VLOOKUP($B149,'3、工程合同'!$D:$AL,22,0)</f>
        <v>0</v>
      </c>
      <c r="X149" s="290">
        <f>VLOOKUP($B149,'3、工程合同'!$D:$AL,23,0)</f>
        <v>0</v>
      </c>
      <c r="Y149" s="293">
        <f>VLOOKUP($B149,'3、工程合同'!$D:$AL,24,0)</f>
        <v>0</v>
      </c>
      <c r="Z149" s="293">
        <f>VLOOKUP($B149,'3、工程合同'!$D:$AL,25,0)</f>
        <v>0</v>
      </c>
      <c r="AA149" s="290">
        <f>VLOOKUP($B149,'3、工程合同'!$D:$AL,26,0)</f>
        <v>0</v>
      </c>
      <c r="AB149" s="293">
        <f>VLOOKUP($B149,'3、工程合同'!$D:$AL,27,0)</f>
        <v>0</v>
      </c>
      <c r="AC149" s="293">
        <f>VLOOKUP($B149,'3、工程合同'!$D:$AL,28,0)</f>
        <v>0</v>
      </c>
      <c r="AD149" s="290">
        <f>VLOOKUP($B149,'3、工程合同'!$D:$AL,29,0)</f>
        <v>0</v>
      </c>
      <c r="AE149" s="293">
        <f>VLOOKUP($B149,'3、工程合同'!$D:$AL,30,0)</f>
        <v>0</v>
      </c>
      <c r="AF149" s="293">
        <f>VLOOKUP($B149,'3、工程合同'!$D:$AL,31,0)</f>
        <v>0</v>
      </c>
      <c r="AG149" s="293">
        <f>VLOOKUP($B149,'3、工程合同'!$D:$AL,32,0)</f>
        <v>0</v>
      </c>
      <c r="AH149" s="293">
        <f>VLOOKUP($B149,'3、工程合同'!$D:$AL,33,0)</f>
        <v>0</v>
      </c>
      <c r="AI149" s="312">
        <f>VLOOKUP($B149,'3、工程合同'!$D:$AL,34,0)</f>
        <v>0</v>
      </c>
      <c r="AJ149" s="309">
        <f t="shared" si="41"/>
        <v>268000</v>
      </c>
      <c r="AK149" s="289">
        <f t="shared" si="42"/>
        <v>238000</v>
      </c>
      <c r="AL149" s="310">
        <f t="shared" si="43"/>
        <v>0.529644268774704</v>
      </c>
      <c r="AM149" s="289">
        <f t="shared" si="44"/>
        <v>506000</v>
      </c>
      <c r="AN149" s="311" t="str">
        <f t="shared" si="45"/>
        <v>数据正确</v>
      </c>
    </row>
    <row r="150" customHeight="1" spans="1:40">
      <c r="A150" s="228" t="str">
        <f t="shared" si="35"/>
        <v/>
      </c>
      <c r="B150" s="256">
        <v>145</v>
      </c>
      <c r="C150" s="266" t="str">
        <f>VLOOKUP($B150,'3、工程合同'!$D:$AL,2,0)</f>
        <v>YRKJ-2017GC-SGHT002</v>
      </c>
      <c r="D150" s="267" t="str">
        <f>VLOOKUP($B150,'3、工程合同'!$D:$AL,3,0)</f>
        <v>工程合同</v>
      </c>
      <c r="E150" s="267" t="str">
        <f>VLOOKUP($B150,'3、工程合同'!$D:$AL,4,0)</f>
        <v>-</v>
      </c>
      <c r="F150" s="268">
        <f>VLOOKUP($B150,'3、工程合同'!$D:$AL,5,0)</f>
        <v>42745</v>
      </c>
      <c r="G150" s="269">
        <f>VLOOKUP($B150,'3、工程合同'!$D:$AL,6,0)</f>
        <v>177693.94818</v>
      </c>
      <c r="H150" s="269" t="str">
        <f>VLOOKUP($B150,'3、工程合同'!$D:$AL,7,0)</f>
        <v>三修车间等工程周边联锁块道路工程</v>
      </c>
      <c r="I150" s="269" t="str">
        <f>VLOOKUP($B150,'3、工程合同'!$D:$AL,8,0)</f>
        <v>福建省福清市嘉盛建设工程有限公司</v>
      </c>
      <c r="J150" s="290">
        <f>VLOOKUP($B150,'3、工程合同'!$D:$AL,9,0)</f>
        <v>0</v>
      </c>
      <c r="K150" s="291" t="str">
        <f>VLOOKUP($B150,'3、工程合同'!$D:$AL,10,0)</f>
        <v>6个月承兑汇票</v>
      </c>
      <c r="L150" s="292" t="str">
        <f>VLOOKUP($B150,'3、工程合同'!$D:$AL,11,0)</f>
        <v>按月支付工程进度款的80%</v>
      </c>
      <c r="M150" s="293">
        <f>VLOOKUP($B150,'3、工程合同'!$D:$AL,12,0)</f>
        <v>142155.158544</v>
      </c>
      <c r="N150" s="293">
        <f>VLOOKUP($B150,'3、工程合同'!$D:$AL,13,0)</f>
        <v>140000</v>
      </c>
      <c r="O150" s="290" t="str">
        <f>VLOOKUP($B150,'3、工程合同'!$D:$AL,14,0)</f>
        <v>工程竣工验收合格后支付15%</v>
      </c>
      <c r="P150" s="293">
        <f>VLOOKUP($B150,'3、工程合同'!$D:$AL,15,0)</f>
        <v>26654.092227</v>
      </c>
      <c r="Q150" s="293">
        <f>VLOOKUP($B150,'3、工程合同'!$D:$AL,16,0)</f>
        <v>0</v>
      </c>
      <c r="R150" s="290" t="str">
        <f>VLOOKUP($B150,'3、工程合同'!$D:$AL,17,0)</f>
        <v>质量保证期6个月后支付5%</v>
      </c>
      <c r="S150" s="293">
        <f>VLOOKUP($B150,'3、工程合同'!$D:$AL,18,0)</f>
        <v>8884.697409</v>
      </c>
      <c r="T150" s="293">
        <f>VLOOKUP($B150,'3、工程合同'!$D:$AL,19,0)</f>
        <v>0</v>
      </c>
      <c r="U150" s="290">
        <f>VLOOKUP($B150,'3、工程合同'!$D:$AL,20,0)</f>
        <v>0</v>
      </c>
      <c r="V150" s="293">
        <f>VLOOKUP($B150,'3、工程合同'!$D:$AL,21,0)</f>
        <v>0</v>
      </c>
      <c r="W150" s="293">
        <f>VLOOKUP($B150,'3、工程合同'!$D:$AL,22,0)</f>
        <v>0</v>
      </c>
      <c r="X150" s="290">
        <f>VLOOKUP($B150,'3、工程合同'!$D:$AL,23,0)</f>
        <v>0</v>
      </c>
      <c r="Y150" s="293">
        <f>VLOOKUP($B150,'3、工程合同'!$D:$AL,24,0)</f>
        <v>0</v>
      </c>
      <c r="Z150" s="293">
        <f>VLOOKUP($B150,'3、工程合同'!$D:$AL,25,0)</f>
        <v>0</v>
      </c>
      <c r="AA150" s="290">
        <f>VLOOKUP($B150,'3、工程合同'!$D:$AL,26,0)</f>
        <v>0</v>
      </c>
      <c r="AB150" s="293">
        <f>VLOOKUP($B150,'3、工程合同'!$D:$AL,27,0)</f>
        <v>0</v>
      </c>
      <c r="AC150" s="293">
        <f>VLOOKUP($B150,'3、工程合同'!$D:$AL,28,0)</f>
        <v>0</v>
      </c>
      <c r="AD150" s="290">
        <f>VLOOKUP($B150,'3、工程合同'!$D:$AL,29,0)</f>
        <v>0</v>
      </c>
      <c r="AE150" s="293">
        <f>VLOOKUP($B150,'3、工程合同'!$D:$AL,30,0)</f>
        <v>0</v>
      </c>
      <c r="AF150" s="293">
        <f>VLOOKUP($B150,'3、工程合同'!$D:$AL,31,0)</f>
        <v>0</v>
      </c>
      <c r="AG150" s="293">
        <f>VLOOKUP($B150,'3、工程合同'!$D:$AL,32,0)</f>
        <v>0</v>
      </c>
      <c r="AH150" s="293">
        <f>VLOOKUP($B150,'3、工程合同'!$D:$AL,33,0)</f>
        <v>0</v>
      </c>
      <c r="AI150" s="312">
        <f>VLOOKUP($B150,'3、工程合同'!$D:$AL,34,0)</f>
        <v>0</v>
      </c>
      <c r="AJ150" s="309">
        <f t="shared" si="41"/>
        <v>140000</v>
      </c>
      <c r="AK150" s="289">
        <f t="shared" si="42"/>
        <v>37693.94818</v>
      </c>
      <c r="AL150" s="310">
        <f t="shared" si="43"/>
        <v>0.78787151410572</v>
      </c>
      <c r="AM150" s="289">
        <f t="shared" si="44"/>
        <v>177693.94818</v>
      </c>
      <c r="AN150" s="311" t="str">
        <f t="shared" si="45"/>
        <v>数据正确</v>
      </c>
    </row>
    <row r="151" customHeight="1" spans="1:40">
      <c r="A151" s="228" t="str">
        <f t="shared" si="35"/>
        <v/>
      </c>
      <c r="B151" s="261">
        <v>146</v>
      </c>
      <c r="C151" s="266" t="str">
        <f>VLOOKUP($B151,'3、工程合同'!$D:$AL,2,0)</f>
        <v>YRKJ-2017GC-SGHT007</v>
      </c>
      <c r="D151" s="267" t="str">
        <f>VLOOKUP($B151,'3、工程合同'!$D:$AL,3,0)</f>
        <v>工程合同</v>
      </c>
      <c r="E151" s="267" t="str">
        <f>VLOOKUP($B151,'3、工程合同'!$D:$AL,4,0)</f>
        <v>-</v>
      </c>
      <c r="F151" s="268">
        <f>VLOOKUP($B151,'3、工程合同'!$D:$AL,5,0)</f>
        <v>42838</v>
      </c>
      <c r="G151" s="269">
        <f>VLOOKUP($B151,'3、工程合同'!$D:$AL,6,0)</f>
        <v>487605</v>
      </c>
      <c r="H151" s="269" t="str">
        <f>VLOOKUP($B151,'3、工程合同'!$D:$AL,7,0)</f>
        <v>桩基检测II标段工程</v>
      </c>
      <c r="I151" s="269" t="str">
        <f>VLOOKUP($B151,'3、工程合同'!$D:$AL,8,0)</f>
        <v>厦门市工程检测中心有限公司</v>
      </c>
      <c r="J151" s="290">
        <f>VLOOKUP($B151,'3、工程合同'!$D:$AL,9,0)</f>
        <v>0</v>
      </c>
      <c r="K151" s="291" t="str">
        <f>VLOOKUP($B151,'3、工程合同'!$D:$AL,10,0)</f>
        <v>6个月承兑汇票</v>
      </c>
      <c r="L151" s="292" t="str">
        <f>VLOOKUP($B151,'3、工程合同'!$D:$AL,11,0)</f>
        <v>检测工作结束，提交检测简报后，支付合同总价的60%</v>
      </c>
      <c r="M151" s="293">
        <f>VLOOKUP($B151,'3、工程合同'!$D:$AL,12,0)</f>
        <v>292563</v>
      </c>
      <c r="N151" s="293">
        <f>VLOOKUP($B151,'3、工程合同'!$D:$AL,13,0)</f>
        <v>0</v>
      </c>
      <c r="O151" s="290" t="str">
        <f>VLOOKUP($B151,'3、工程合同'!$D:$AL,14,0)</f>
        <v>提供正式检测报告后，支付至合同的80%</v>
      </c>
      <c r="P151" s="293">
        <f>VLOOKUP($B151,'3、工程合同'!$D:$AL,15,0)</f>
        <v>97521</v>
      </c>
      <c r="Q151" s="293">
        <f>VLOOKUP($B151,'3、工程合同'!$D:$AL,16,0)</f>
        <v>0</v>
      </c>
      <c r="R151" s="290" t="str">
        <f>VLOOKUP($B151,'3、工程合同'!$D:$AL,17,0)</f>
        <v>经内部审计部门审计后，支付至95%</v>
      </c>
      <c r="S151" s="293">
        <f>VLOOKUP($B151,'3、工程合同'!$D:$AL,18,0)</f>
        <v>73140.75</v>
      </c>
      <c r="T151" s="293">
        <f>VLOOKUP($B151,'3、工程合同'!$D:$AL,19,0)</f>
        <v>0</v>
      </c>
      <c r="U151" s="290" t="str">
        <f>VLOOKUP($B151,'3、工程合同'!$D:$AL,20,0)</f>
        <v>项目竣工验收资料归档后支付尾款</v>
      </c>
      <c r="V151" s="293">
        <f>VLOOKUP($B151,'3、工程合同'!$D:$AL,21,0)</f>
        <v>24380.25</v>
      </c>
      <c r="W151" s="293">
        <f>VLOOKUP($B151,'3、工程合同'!$D:$AL,22,0)</f>
        <v>0</v>
      </c>
      <c r="X151" s="290">
        <f>VLOOKUP($B151,'3、工程合同'!$D:$AL,23,0)</f>
        <v>0</v>
      </c>
      <c r="Y151" s="293">
        <f>VLOOKUP($B151,'3、工程合同'!$D:$AL,24,0)</f>
        <v>0</v>
      </c>
      <c r="Z151" s="293">
        <f>VLOOKUP($B151,'3、工程合同'!$D:$AL,25,0)</f>
        <v>0</v>
      </c>
      <c r="AA151" s="290">
        <f>VLOOKUP($B151,'3、工程合同'!$D:$AL,26,0)</f>
        <v>0</v>
      </c>
      <c r="AB151" s="293">
        <f>VLOOKUP($B151,'3、工程合同'!$D:$AL,27,0)</f>
        <v>0</v>
      </c>
      <c r="AC151" s="293">
        <f>VLOOKUP($B151,'3、工程合同'!$D:$AL,28,0)</f>
        <v>0</v>
      </c>
      <c r="AD151" s="290">
        <f>VLOOKUP($B151,'3、工程合同'!$D:$AL,29,0)</f>
        <v>0</v>
      </c>
      <c r="AE151" s="293">
        <f>VLOOKUP($B151,'3、工程合同'!$D:$AL,30,0)</f>
        <v>0</v>
      </c>
      <c r="AF151" s="293">
        <f>VLOOKUP($B151,'3、工程合同'!$D:$AL,31,0)</f>
        <v>0</v>
      </c>
      <c r="AG151" s="293">
        <f>VLOOKUP($B151,'3、工程合同'!$D:$AL,32,0)</f>
        <v>0</v>
      </c>
      <c r="AH151" s="293">
        <f>VLOOKUP($B151,'3、工程合同'!$D:$AL,33,0)</f>
        <v>0</v>
      </c>
      <c r="AI151" s="312">
        <f>VLOOKUP($B151,'3、工程合同'!$D:$AL,34,0)</f>
        <v>0</v>
      </c>
      <c r="AJ151" s="309">
        <f t="shared" si="41"/>
        <v>0</v>
      </c>
      <c r="AK151" s="289">
        <f t="shared" si="42"/>
        <v>487605</v>
      </c>
      <c r="AL151" s="310">
        <f t="shared" si="43"/>
        <v>0</v>
      </c>
      <c r="AM151" s="289">
        <f t="shared" si="44"/>
        <v>487605</v>
      </c>
      <c r="AN151" s="311" t="str">
        <f t="shared" si="45"/>
        <v>数据正确</v>
      </c>
    </row>
    <row r="152" customHeight="1" spans="1:40">
      <c r="A152" s="228" t="str">
        <f t="shared" si="35"/>
        <v>已完毕</v>
      </c>
      <c r="B152" s="261">
        <v>147</v>
      </c>
      <c r="C152" s="266" t="str">
        <f>VLOOKUP($B152,'3、工程合同'!$D:$AL,2,0)</f>
        <v>YRKJGC-170035</v>
      </c>
      <c r="D152" s="267" t="str">
        <f>VLOOKUP($B152,'3、工程合同'!$D:$AL,3,0)</f>
        <v>工程合同</v>
      </c>
      <c r="E152" s="267">
        <f>VLOOKUP($B152,'3、工程合同'!$D:$AL,4,0)</f>
        <v>2017060045</v>
      </c>
      <c r="F152" s="268">
        <f>VLOOKUP($B152,'3、工程合同'!$D:$AL,5,0)</f>
        <v>42917</v>
      </c>
      <c r="G152" s="269">
        <f>VLOOKUP($B152,'3、工程合同'!$D:$AL,6,0)</f>
        <v>6000</v>
      </c>
      <c r="H152" s="269" t="str">
        <f>VLOOKUP($B152,'3、工程合同'!$D:$AL,7,0)</f>
        <v>地脚螺铨120套</v>
      </c>
      <c r="I152" s="269" t="str">
        <f>VLOOKUP($B152,'3、工程合同'!$D:$AL,8,0)</f>
        <v>福州同进机电设备有限公司</v>
      </c>
      <c r="J152" s="290">
        <f>VLOOKUP($B152,'3、工程合同'!$D:$AL,9,0)</f>
        <v>0</v>
      </c>
      <c r="K152" s="291" t="str">
        <f>VLOOKUP($B152,'3、工程合同'!$D:$AL,10,0)</f>
        <v>电汇</v>
      </c>
      <c r="L152" s="292" t="str">
        <f>VLOOKUP($B152,'3、工程合同'!$D:$AL,11,0)</f>
        <v>甲方收到核定验收合格报告及全额的发票后15日之内支付100%货款</v>
      </c>
      <c r="M152" s="293">
        <f>VLOOKUP($B152,'3、工程合同'!$D:$AL,12,0)</f>
        <v>6000</v>
      </c>
      <c r="N152" s="293">
        <f>VLOOKUP($B152,'3、工程合同'!$D:$AL,13,0)</f>
        <v>6000</v>
      </c>
      <c r="O152" s="290">
        <f>VLOOKUP($B152,'3、工程合同'!$D:$AL,14,0)</f>
        <v>0</v>
      </c>
      <c r="P152" s="293">
        <f>VLOOKUP($B152,'3、工程合同'!$D:$AL,15,0)</f>
        <v>0</v>
      </c>
      <c r="Q152" s="293">
        <f>VLOOKUP($B152,'3、工程合同'!$D:$AL,16,0)</f>
        <v>0</v>
      </c>
      <c r="R152" s="290">
        <f>VLOOKUP($B152,'3、工程合同'!$D:$AL,17,0)</f>
        <v>0</v>
      </c>
      <c r="S152" s="293">
        <f>VLOOKUP($B152,'3、工程合同'!$D:$AL,18,0)</f>
        <v>0</v>
      </c>
      <c r="T152" s="293">
        <f>VLOOKUP($B152,'3、工程合同'!$D:$AL,19,0)</f>
        <v>0</v>
      </c>
      <c r="U152" s="290">
        <f>VLOOKUP($B152,'3、工程合同'!$D:$AL,20,0)</f>
        <v>0</v>
      </c>
      <c r="V152" s="293">
        <f>VLOOKUP($B152,'3、工程合同'!$D:$AL,21,0)</f>
        <v>0</v>
      </c>
      <c r="W152" s="293">
        <f>VLOOKUP($B152,'3、工程合同'!$D:$AL,22,0)</f>
        <v>0</v>
      </c>
      <c r="X152" s="290">
        <f>VLOOKUP($B152,'3、工程合同'!$D:$AL,23,0)</f>
        <v>0</v>
      </c>
      <c r="Y152" s="293">
        <f>VLOOKUP($B152,'3、工程合同'!$D:$AL,24,0)</f>
        <v>0</v>
      </c>
      <c r="Z152" s="293">
        <f>VLOOKUP($B152,'3、工程合同'!$D:$AL,25,0)</f>
        <v>0</v>
      </c>
      <c r="AA152" s="290">
        <f>VLOOKUP($B152,'3、工程合同'!$D:$AL,26,0)</f>
        <v>0</v>
      </c>
      <c r="AB152" s="293">
        <f>VLOOKUP($B152,'3、工程合同'!$D:$AL,27,0)</f>
        <v>0</v>
      </c>
      <c r="AC152" s="293">
        <f>VLOOKUP($B152,'3、工程合同'!$D:$AL,28,0)</f>
        <v>0</v>
      </c>
      <c r="AD152" s="290">
        <f>VLOOKUP($B152,'3、工程合同'!$D:$AL,29,0)</f>
        <v>0</v>
      </c>
      <c r="AE152" s="293">
        <f>VLOOKUP($B152,'3、工程合同'!$D:$AL,30,0)</f>
        <v>0</v>
      </c>
      <c r="AF152" s="293">
        <f>VLOOKUP($B152,'3、工程合同'!$D:$AL,31,0)</f>
        <v>0</v>
      </c>
      <c r="AG152" s="293">
        <f>VLOOKUP($B152,'3、工程合同'!$D:$AL,32,0)</f>
        <v>0</v>
      </c>
      <c r="AH152" s="293">
        <f>VLOOKUP($B152,'3、工程合同'!$D:$AL,33,0)</f>
        <v>0</v>
      </c>
      <c r="AI152" s="312">
        <f>VLOOKUP($B152,'3、工程合同'!$D:$AL,34,0)</f>
        <v>0</v>
      </c>
      <c r="AJ152" s="309">
        <f t="shared" si="41"/>
        <v>6000</v>
      </c>
      <c r="AK152" s="289">
        <f t="shared" si="42"/>
        <v>0</v>
      </c>
      <c r="AL152" s="310">
        <f t="shared" si="43"/>
        <v>1</v>
      </c>
      <c r="AM152" s="289">
        <f t="shared" si="44"/>
        <v>6000</v>
      </c>
      <c r="AN152" s="311" t="str">
        <f t="shared" si="45"/>
        <v>数据正确</v>
      </c>
    </row>
    <row r="153" customHeight="1" spans="1:40">
      <c r="A153" s="228" t="str">
        <f t="shared" si="35"/>
        <v/>
      </c>
      <c r="B153" s="256">
        <v>148</v>
      </c>
      <c r="C153" s="266" t="str">
        <f>VLOOKUP($B153,'4、其他合同'!$D:$AK,2,0)</f>
        <v>YRKJGC-160009</v>
      </c>
      <c r="D153" s="267" t="s">
        <v>25</v>
      </c>
      <c r="E153" s="267">
        <f>VLOOKUP($B153,'4、其他合同'!$D:$AK,4,0)</f>
        <v>0</v>
      </c>
      <c r="F153" s="268">
        <f>VLOOKUP($B153,'4、其他合同'!$D:$AK,5,0)</f>
        <v>42697</v>
      </c>
      <c r="G153" s="269">
        <f>VLOOKUP($B153,'4、其他合同'!$D:$AK,6,0)</f>
        <v>108000</v>
      </c>
      <c r="H153" s="269" t="str">
        <f>VLOOKUP($B153,'4、其他合同'!$D:$AK,7,0)</f>
        <v>道闸1套（合同未拿，详见17年4月记88凭证）</v>
      </c>
      <c r="I153" s="269" t="str">
        <f>VLOOKUP($B153,'4、其他合同'!$D:$AK,8,0)</f>
        <v>福建聚众科技有限公司</v>
      </c>
      <c r="J153" s="290">
        <f>VLOOKUP($B153,'4、其他合同'!$D:$AK,9,0)</f>
        <v>0</v>
      </c>
      <c r="K153" s="291" t="str">
        <f>VLOOKUP($B153,'4、其他合同'!$D:$AK,10,0)</f>
        <v>6个月承兑汇票</v>
      </c>
      <c r="L153" s="292" t="str">
        <f>VLOOKUP($B153,'4、其他合同'!$D:$AK,11,0)</f>
        <v>甲方收到货款验收合格以及全额的发票后15个工作日支付90%的货款</v>
      </c>
      <c r="M153" s="293">
        <f>VLOOKUP($B153,'4、其他合同'!$D:$AK,12,0)</f>
        <v>102600</v>
      </c>
      <c r="N153" s="293">
        <f>VLOOKUP($B153,'4、其他合同'!$D:$AK,13,0)</f>
        <v>102600</v>
      </c>
      <c r="O153" s="290" t="str">
        <f>VLOOKUP($B153,'4、其他合同'!$D:$AK,14,0)</f>
        <v>5%质保金，一年</v>
      </c>
      <c r="P153" s="293">
        <f>VLOOKUP($B153,'4、其他合同'!$D:$AK,15,0)</f>
        <v>5400</v>
      </c>
      <c r="Q153" s="293">
        <f>VLOOKUP($B153,'4、其他合同'!$D:$AK,16,0)</f>
        <v>0</v>
      </c>
      <c r="R153" s="290">
        <f>VLOOKUP($B153,'4、其他合同'!$D:$AK,17,0)</f>
        <v>0</v>
      </c>
      <c r="S153" s="293">
        <f>VLOOKUP($B153,'4、其他合同'!$D:$AK,18,0)</f>
        <v>0</v>
      </c>
      <c r="T153" s="293">
        <f>VLOOKUP($B153,'4、其他合同'!$D:$AK,19,0)</f>
        <v>0</v>
      </c>
      <c r="U153" s="290">
        <f>VLOOKUP($B153,'4、其他合同'!$D:$AK,20,0)</f>
        <v>0</v>
      </c>
      <c r="V153" s="293">
        <f>VLOOKUP($B153,'4、其他合同'!$D:$AK,21,0)</f>
        <v>0</v>
      </c>
      <c r="W153" s="293">
        <f>VLOOKUP($B153,'4、其他合同'!$D:$AK,22,0)</f>
        <v>0</v>
      </c>
      <c r="X153" s="290">
        <f>VLOOKUP($B153,'4、其他合同'!$D:$AK,23,0)</f>
        <v>0</v>
      </c>
      <c r="Y153" s="293">
        <f>VLOOKUP($B153,'4、其他合同'!$D:$AK,24,0)</f>
        <v>0</v>
      </c>
      <c r="Z153" s="293">
        <f>VLOOKUP($B153,'4、其他合同'!$D:$AK,25,0)</f>
        <v>0</v>
      </c>
      <c r="AA153" s="290">
        <f>VLOOKUP($B153,'4、其他合同'!$D:$AK,26,0)</f>
        <v>0</v>
      </c>
      <c r="AB153" s="293">
        <f>VLOOKUP($B153,'4、其他合同'!$D:$AK,27,0)</f>
        <v>0</v>
      </c>
      <c r="AC153" s="293">
        <f>VLOOKUP($B153,'4、其他合同'!$D:$AK,28,0)</f>
        <v>0</v>
      </c>
      <c r="AD153" s="290">
        <f>VLOOKUP($B153,'4、其他合同'!$D:$AK,29,0)</f>
        <v>0</v>
      </c>
      <c r="AE153" s="293">
        <f>VLOOKUP($B153,'4、其他合同'!$D:$AK,30,0)</f>
        <v>0</v>
      </c>
      <c r="AF153" s="293">
        <f>VLOOKUP($B153,'4、其他合同'!$D:$AK,31,0)</f>
        <v>0</v>
      </c>
      <c r="AG153" s="293">
        <f>VLOOKUP($B153,'4、其他合同'!$D:$AK,32,0)</f>
        <v>0</v>
      </c>
      <c r="AH153" s="293">
        <f>VLOOKUP($B153,'4、其他合同'!$D:$AK,33,0)</f>
        <v>0</v>
      </c>
      <c r="AI153" s="312">
        <f>VLOOKUP($B153,'4、其他合同'!$D:$AK,34,0)</f>
        <v>0</v>
      </c>
      <c r="AJ153" s="309">
        <f t="shared" si="41"/>
        <v>102600</v>
      </c>
      <c r="AK153" s="289">
        <f t="shared" si="42"/>
        <v>5400</v>
      </c>
      <c r="AL153" s="310">
        <f t="shared" si="43"/>
        <v>0.95</v>
      </c>
      <c r="AM153" s="289">
        <f t="shared" si="44"/>
        <v>108000</v>
      </c>
      <c r="AN153" s="311" t="str">
        <f t="shared" si="45"/>
        <v>数据正确</v>
      </c>
    </row>
    <row r="154" customHeight="1" spans="1:40">
      <c r="A154" s="228" t="str">
        <f t="shared" si="35"/>
        <v>已完毕</v>
      </c>
      <c r="B154" s="261">
        <v>149</v>
      </c>
      <c r="C154" s="266" t="str">
        <f>VLOOKUP($B154,'4、其他合同'!$D:$AK,2,0)</f>
        <v>无</v>
      </c>
      <c r="D154" s="267" t="s">
        <v>25</v>
      </c>
      <c r="E154" s="267" t="str">
        <f>VLOOKUP($B154,'4、其他合同'!$D:$AK,4,0)</f>
        <v>-</v>
      </c>
      <c r="F154" s="268">
        <f>VLOOKUP($B154,'4、其他合同'!$D:$AK,5,0)</f>
        <v>42370</v>
      </c>
      <c r="G154" s="269">
        <f>VLOOKUP($B154,'4、其他合同'!$D:$AK,6,0)</f>
        <v>5592841.17</v>
      </c>
      <c r="H154" s="269" t="str">
        <f>VLOOKUP($B154,'4、其他合同'!$D:$AK,7,0)</f>
        <v>意大利专有技术费</v>
      </c>
      <c r="I154" s="269" t="str">
        <f>VLOOKUP($B154,'4、其他合同'!$D:$AK,8,0)</f>
        <v>意大利（IPT Srl)</v>
      </c>
      <c r="J154" s="290">
        <f>VLOOKUP($B154,'4、其他合同'!$D:$AK,9,0)</f>
        <v>0</v>
      </c>
      <c r="K154" s="291" t="str">
        <f>VLOOKUP($B154,'4、其他合同'!$D:$AK,10,0)</f>
        <v>电汇</v>
      </c>
      <c r="L154" s="292" t="str">
        <f>VLOOKUP($B154,'4、其他合同'!$D:$AK,11,0)</f>
        <v>合同签订且收到单据发票后100%支付</v>
      </c>
      <c r="M154" s="293">
        <f>VLOOKUP($B154,'4、其他合同'!$D:$AK,12,0)</f>
        <v>5592841.17</v>
      </c>
      <c r="N154" s="293">
        <f>VLOOKUP($B154,'4、其他合同'!$D:$AK,13,0)</f>
        <v>5592841.17</v>
      </c>
      <c r="O154" s="290">
        <f>VLOOKUP($B154,'4、其他合同'!$D:$AK,14,0)</f>
        <v>0</v>
      </c>
      <c r="P154" s="293">
        <f>VLOOKUP($B154,'4、其他合同'!$D:$AK,15,0)</f>
        <v>0</v>
      </c>
      <c r="Q154" s="293">
        <f>VLOOKUP($B154,'4、其他合同'!$D:$AK,16,0)</f>
        <v>0</v>
      </c>
      <c r="R154" s="290">
        <f>VLOOKUP($B154,'4、其他合同'!$D:$AK,17,0)</f>
        <v>0</v>
      </c>
      <c r="S154" s="293">
        <f>VLOOKUP($B154,'4、其他合同'!$D:$AK,18,0)</f>
        <v>0</v>
      </c>
      <c r="T154" s="293">
        <f>VLOOKUP($B154,'4、其他合同'!$D:$AK,19,0)</f>
        <v>0</v>
      </c>
      <c r="U154" s="290">
        <f>VLOOKUP($B154,'4、其他合同'!$D:$AK,20,0)</f>
        <v>0</v>
      </c>
      <c r="V154" s="293">
        <f>VLOOKUP($B154,'4、其他合同'!$D:$AK,21,0)</f>
        <v>0</v>
      </c>
      <c r="W154" s="293">
        <f>VLOOKUP($B154,'4、其他合同'!$D:$AK,22,0)</f>
        <v>0</v>
      </c>
      <c r="X154" s="290">
        <f>VLOOKUP($B154,'4、其他合同'!$D:$AK,23,0)</f>
        <v>0</v>
      </c>
      <c r="Y154" s="293">
        <f>VLOOKUP($B154,'4、其他合同'!$D:$AK,24,0)</f>
        <v>0</v>
      </c>
      <c r="Z154" s="293">
        <f>VLOOKUP($B154,'4、其他合同'!$D:$AK,25,0)</f>
        <v>0</v>
      </c>
      <c r="AA154" s="290">
        <f>VLOOKUP($B154,'4、其他合同'!$D:$AK,26,0)</f>
        <v>0</v>
      </c>
      <c r="AB154" s="293">
        <f>VLOOKUP($B154,'4、其他合同'!$D:$AK,27,0)</f>
        <v>0</v>
      </c>
      <c r="AC154" s="293">
        <f>VLOOKUP($B154,'4、其他合同'!$D:$AK,28,0)</f>
        <v>0</v>
      </c>
      <c r="AD154" s="290">
        <f>VLOOKUP($B154,'4、其他合同'!$D:$AK,29,0)</f>
        <v>0</v>
      </c>
      <c r="AE154" s="293">
        <f>VLOOKUP($B154,'4、其他合同'!$D:$AK,30,0)</f>
        <v>0</v>
      </c>
      <c r="AF154" s="293">
        <f>VLOOKUP($B154,'4、其他合同'!$D:$AK,31,0)</f>
        <v>0</v>
      </c>
      <c r="AG154" s="293">
        <f>VLOOKUP($B154,'4、其他合同'!$D:$AK,32,0)</f>
        <v>0</v>
      </c>
      <c r="AH154" s="293">
        <f>VLOOKUP($B154,'4、其他合同'!$D:$AK,33,0)</f>
        <v>0</v>
      </c>
      <c r="AI154" s="312">
        <f>VLOOKUP($B154,'4、其他合同'!$D:$AK,34,0)</f>
        <v>0</v>
      </c>
      <c r="AJ154" s="309">
        <f t="shared" si="41"/>
        <v>5592841.17</v>
      </c>
      <c r="AK154" s="289">
        <f t="shared" si="42"/>
        <v>0</v>
      </c>
      <c r="AL154" s="310">
        <f t="shared" si="43"/>
        <v>1</v>
      </c>
      <c r="AM154" s="289">
        <f t="shared" si="44"/>
        <v>5592841.17</v>
      </c>
      <c r="AN154" s="311" t="str">
        <f t="shared" si="45"/>
        <v>数据正确</v>
      </c>
    </row>
    <row r="155" customHeight="1" spans="1:40">
      <c r="A155" s="228" t="str">
        <f t="shared" si="35"/>
        <v>已完毕</v>
      </c>
      <c r="B155" s="261">
        <v>150</v>
      </c>
      <c r="C155" s="266" t="str">
        <f>VLOOKUP($B155,'3、工程合同'!$D:$AL,2,0)</f>
        <v>YRKJGC-170032</v>
      </c>
      <c r="D155" s="267" t="str">
        <f>VLOOKUP($B155,'3、工程合同'!$D:$AL,3,0)</f>
        <v>工程合同</v>
      </c>
      <c r="E155" s="267">
        <f>VLOOKUP($B155,'3、工程合同'!$D:$AL,4,0)</f>
        <v>2017060075</v>
      </c>
      <c r="F155" s="268">
        <f>VLOOKUP($B155,'3、工程合同'!$D:$AL,5,0)</f>
        <v>42916</v>
      </c>
      <c r="G155" s="269">
        <f>VLOOKUP($B155,'3、工程合同'!$D:$AL,6,0)</f>
        <v>49000</v>
      </c>
      <c r="H155" s="269" t="str">
        <f>VLOOKUP($B155,'3、工程合同'!$D:$AL,7,0)</f>
        <v>PRC管、管材等</v>
      </c>
      <c r="I155" s="269" t="str">
        <f>VLOOKUP($B155,'3、工程合同'!$D:$AL,8,0)</f>
        <v>福州望远机电设备有限公司</v>
      </c>
      <c r="J155" s="290">
        <f>VLOOKUP($B155,'3、工程合同'!$D:$AL,9,0)</f>
        <v>0</v>
      </c>
      <c r="K155" s="291" t="str">
        <f>VLOOKUP($B155,'3、工程合同'!$D:$AL,10,0)</f>
        <v>6个月承兑汇票</v>
      </c>
      <c r="L155" s="292" t="str">
        <f>VLOOKUP($B155,'3、工程合同'!$D:$AL,11,0)</f>
        <v>甲方收到货、发票后，10-15个工作日全额付清</v>
      </c>
      <c r="M155" s="293">
        <f>VLOOKUP($B155,'3、工程合同'!$D:$AL,12,0)</f>
        <v>49000</v>
      </c>
      <c r="N155" s="293">
        <f>VLOOKUP($B155,'3、工程合同'!$D:$AL,13,0)</f>
        <v>49000</v>
      </c>
      <c r="O155" s="290">
        <f>VLOOKUP($B155,'3、工程合同'!$D:$AL,14,0)</f>
        <v>0</v>
      </c>
      <c r="P155" s="293">
        <f>VLOOKUP($B155,'3、工程合同'!$D:$AL,15,0)</f>
        <v>0</v>
      </c>
      <c r="Q155" s="293">
        <f>VLOOKUP($B155,'3、工程合同'!$D:$AL,16,0)</f>
        <v>0</v>
      </c>
      <c r="R155" s="290">
        <f>VLOOKUP($B155,'3、工程合同'!$D:$AL,17,0)</f>
        <v>0</v>
      </c>
      <c r="S155" s="293">
        <f>VLOOKUP($B155,'3、工程合同'!$D:$AL,18,0)</f>
        <v>0</v>
      </c>
      <c r="T155" s="293">
        <f>VLOOKUP($B155,'3、工程合同'!$D:$AL,19,0)</f>
        <v>0</v>
      </c>
      <c r="U155" s="290">
        <f>VLOOKUP($B155,'3、工程合同'!$D:$AL,20,0)</f>
        <v>0</v>
      </c>
      <c r="V155" s="293">
        <f>VLOOKUP($B155,'3、工程合同'!$D:$AL,21,0)</f>
        <v>0</v>
      </c>
      <c r="W155" s="293">
        <f>VLOOKUP($B155,'3、工程合同'!$D:$AL,22,0)</f>
        <v>0</v>
      </c>
      <c r="X155" s="290">
        <f>VLOOKUP($B155,'3、工程合同'!$D:$AL,23,0)</f>
        <v>0</v>
      </c>
      <c r="Y155" s="293">
        <f>VLOOKUP($B155,'3、工程合同'!$D:$AL,24,0)</f>
        <v>0</v>
      </c>
      <c r="Z155" s="293">
        <f>VLOOKUP($B155,'3、工程合同'!$D:$AL,25,0)</f>
        <v>0</v>
      </c>
      <c r="AA155" s="290">
        <f>VLOOKUP($B155,'3、工程合同'!$D:$AL,26,0)</f>
        <v>0</v>
      </c>
      <c r="AB155" s="293">
        <f>VLOOKUP($B155,'3、工程合同'!$D:$AL,27,0)</f>
        <v>0</v>
      </c>
      <c r="AC155" s="293">
        <f>VLOOKUP($B155,'3、工程合同'!$D:$AL,28,0)</f>
        <v>0</v>
      </c>
      <c r="AD155" s="290">
        <f>VLOOKUP($B155,'3、工程合同'!$D:$AL,29,0)</f>
        <v>0</v>
      </c>
      <c r="AE155" s="293">
        <f>VLOOKUP($B155,'3、工程合同'!$D:$AL,30,0)</f>
        <v>0</v>
      </c>
      <c r="AF155" s="293">
        <f>VLOOKUP($B155,'3、工程合同'!$D:$AL,31,0)</f>
        <v>0</v>
      </c>
      <c r="AG155" s="293">
        <f>VLOOKUP($B155,'3、工程合同'!$D:$AL,32,0)</f>
        <v>0</v>
      </c>
      <c r="AH155" s="293">
        <f>VLOOKUP($B155,'3、工程合同'!$D:$AL,33,0)</f>
        <v>0</v>
      </c>
      <c r="AI155" s="312">
        <f>VLOOKUP($B155,'3、工程合同'!$D:$AL,34,0)</f>
        <v>0</v>
      </c>
      <c r="AJ155" s="309">
        <f t="shared" ref="AJ155:AJ183" si="46">N155+Q155+T155+W155+Z155+AC155+AF155+AI155</f>
        <v>49000</v>
      </c>
      <c r="AK155" s="289">
        <f t="shared" ref="AK155:AK183" si="47">G155-AJ155</f>
        <v>0</v>
      </c>
      <c r="AL155" s="310">
        <f t="shared" ref="AL155:AL183" si="48">AJ155/G155</f>
        <v>1</v>
      </c>
      <c r="AM155" s="289">
        <f t="shared" ref="AM155:AM183" si="49">M155+P155+S155+V155+Y155+AB155+AE155+AH155</f>
        <v>49000</v>
      </c>
      <c r="AN155" s="311" t="str">
        <f t="shared" ref="AN155:AN183" si="50">IF(AM155-G155=0,"数据正确","数据错误")</f>
        <v>数据正确</v>
      </c>
    </row>
    <row r="156" customHeight="1" spans="1:40">
      <c r="A156" s="228" t="str">
        <f t="shared" si="35"/>
        <v/>
      </c>
      <c r="B156" s="256">
        <v>151</v>
      </c>
      <c r="C156" s="266" t="str">
        <f>VLOOKUP($B156,'3、工程合同'!$D:$AL,2,0)</f>
        <v>YRKJGC-170037</v>
      </c>
      <c r="D156" s="267" t="str">
        <f>VLOOKUP($B156,'3、工程合同'!$D:$AL,3,0)</f>
        <v>工程合同</v>
      </c>
      <c r="E156" s="267">
        <f>VLOOKUP($B156,'3、工程合同'!$D:$AL,4,0)</f>
        <v>2017060075</v>
      </c>
      <c r="F156" s="268">
        <f>VLOOKUP($B156,'3、工程合同'!$D:$AL,5,0)</f>
        <v>42934</v>
      </c>
      <c r="G156" s="269">
        <f>VLOOKUP($B156,'3、工程合同'!$D:$AL,6,0)</f>
        <v>13447582</v>
      </c>
      <c r="H156" s="269" t="str">
        <f>VLOOKUP($B156,'3、工程合同'!$D:$AL,7,0)</f>
        <v>B型结构壁管一批</v>
      </c>
      <c r="I156" s="269" t="str">
        <f>VLOOKUP($B156,'3、工程合同'!$D:$AL,8,0)</f>
        <v>福建纳川管材科技股份有限公司</v>
      </c>
      <c r="J156" s="290">
        <f>VLOOKUP($B156,'3、工程合同'!$D:$AL,9,0)</f>
        <v>0</v>
      </c>
      <c r="K156" s="291" t="str">
        <f>VLOOKUP($B156,'3、工程合同'!$D:$AL,10,0)</f>
        <v>6个月承兑汇票</v>
      </c>
      <c r="L156" s="292" t="str">
        <f>VLOOKUP($B156,'3、工程合同'!$D:$AL,11,0)</f>
        <v>合同签署后15工作日内，乙方开具合同总价的10%履约保函，有效期1年；10%的预付款保函后的15天内，支付10%预付款</v>
      </c>
      <c r="M156" s="293">
        <f>VLOOKUP($B156,'3、工程合同'!$D:$AL,12,0)</f>
        <v>1344758.2</v>
      </c>
      <c r="N156" s="293">
        <f>VLOOKUP($B156,'3、工程合同'!$D:$AL,13,0)</f>
        <v>1344758.2</v>
      </c>
      <c r="O156" s="290" t="str">
        <f>VLOOKUP($B156,'3、工程合同'!$D:$AL,14,0)</f>
        <v>甲方收到货物，经验收合格，收到17%专票后支付当月实际货款的80%（每个月10号前支付）</v>
      </c>
      <c r="P156" s="293">
        <f>VLOOKUP($B156,'3、工程合同'!$D:$AL,15,0)</f>
        <v>10758065.6</v>
      </c>
      <c r="Q156" s="293">
        <f>VLOOKUP($B156,'3、工程合同'!$D:$AL,16,0)</f>
        <v>0</v>
      </c>
      <c r="R156" s="290" t="str">
        <f>VLOOKUP($B156,'3、工程合同'!$D:$AL,17,0)</f>
        <v>10%质保金，自验收合格，满12月或货到现场18个月支付</v>
      </c>
      <c r="S156" s="293">
        <f>VLOOKUP($B156,'3、工程合同'!$D:$AL,18,0)</f>
        <v>1344758.2</v>
      </c>
      <c r="T156" s="293">
        <f>VLOOKUP($B156,'3、工程合同'!$D:$AL,19,0)</f>
        <v>0</v>
      </c>
      <c r="U156" s="290">
        <f>VLOOKUP($B156,'3、工程合同'!$D:$AL,20,0)</f>
        <v>0</v>
      </c>
      <c r="V156" s="293">
        <f>VLOOKUP($B156,'3、工程合同'!$D:$AL,21,0)</f>
        <v>0</v>
      </c>
      <c r="W156" s="293">
        <f>VLOOKUP($B156,'3、工程合同'!$D:$AL,22,0)</f>
        <v>0</v>
      </c>
      <c r="X156" s="290">
        <f>VLOOKUP($B156,'3、工程合同'!$D:$AL,23,0)</f>
        <v>0</v>
      </c>
      <c r="Y156" s="293">
        <f>VLOOKUP($B156,'3、工程合同'!$D:$AL,24,0)</f>
        <v>0</v>
      </c>
      <c r="Z156" s="293">
        <f>VLOOKUP($B156,'3、工程合同'!$D:$AL,25,0)</f>
        <v>0</v>
      </c>
      <c r="AA156" s="290">
        <f>VLOOKUP($B156,'3、工程合同'!$D:$AL,26,0)</f>
        <v>0</v>
      </c>
      <c r="AB156" s="293">
        <f>VLOOKUP($B156,'3、工程合同'!$D:$AL,27,0)</f>
        <v>0</v>
      </c>
      <c r="AC156" s="293">
        <f>VLOOKUP($B156,'3、工程合同'!$D:$AL,28,0)</f>
        <v>0</v>
      </c>
      <c r="AD156" s="290">
        <f>VLOOKUP($B156,'3、工程合同'!$D:$AL,29,0)</f>
        <v>0</v>
      </c>
      <c r="AE156" s="293">
        <f>VLOOKUP($B156,'3、工程合同'!$D:$AL,30,0)</f>
        <v>0</v>
      </c>
      <c r="AF156" s="293">
        <f>VLOOKUP($B156,'3、工程合同'!$D:$AL,31,0)</f>
        <v>0</v>
      </c>
      <c r="AG156" s="293">
        <f>VLOOKUP($B156,'3、工程合同'!$D:$AL,32,0)</f>
        <v>0</v>
      </c>
      <c r="AH156" s="293">
        <f>VLOOKUP($B156,'3、工程合同'!$D:$AL,33,0)</f>
        <v>0</v>
      </c>
      <c r="AI156" s="312">
        <f>VLOOKUP($B156,'3、工程合同'!$D:$AL,34,0)</f>
        <v>0</v>
      </c>
      <c r="AJ156" s="309">
        <f t="shared" si="46"/>
        <v>1344758.2</v>
      </c>
      <c r="AK156" s="289">
        <f t="shared" si="47"/>
        <v>12102823.8</v>
      </c>
      <c r="AL156" s="310">
        <f t="shared" si="48"/>
        <v>0.1</v>
      </c>
      <c r="AM156" s="289">
        <f t="shared" si="49"/>
        <v>13447582</v>
      </c>
      <c r="AN156" s="311" t="str">
        <f t="shared" si="50"/>
        <v>数据正确</v>
      </c>
    </row>
    <row r="157" customHeight="1" spans="1:40">
      <c r="A157" s="228" t="str">
        <f t="shared" si="35"/>
        <v/>
      </c>
      <c r="B157" s="261">
        <v>152</v>
      </c>
      <c r="C157" s="266" t="str">
        <f>VLOOKUP($B157,'3、工程合同'!$D:$AL,2,0)</f>
        <v>YRKJ-2017GC-SGHT003</v>
      </c>
      <c r="D157" s="267" t="str">
        <f>VLOOKUP($B157,'3、工程合同'!$D:$AL,3,0)</f>
        <v>工程合同</v>
      </c>
      <c r="E157" s="267" t="str">
        <f>VLOOKUP($B157,'3、工程合同'!$D:$AL,4,0)</f>
        <v>-</v>
      </c>
      <c r="F157" s="268">
        <f>VLOOKUP($B157,'3、工程合同'!$D:$AL,5,0)</f>
        <v>42824</v>
      </c>
      <c r="G157" s="269">
        <f>VLOOKUP($B157,'3、工程合同'!$D:$AL,6,0)</f>
        <v>1750000</v>
      </c>
      <c r="H157" s="269" t="str">
        <f>VLOOKUP($B157,'3、工程合同'!$D:$AL,7,0)</f>
        <v>桩基工程第II标段（水泥搅拌桩）单价包干28元</v>
      </c>
      <c r="I157" s="269" t="str">
        <f>VLOOKUP($B157,'3、工程合同'!$D:$AL,8,0)</f>
        <v>福建省岩田基础工程技术有限公司</v>
      </c>
      <c r="J157" s="290">
        <f>VLOOKUP($B157,'3、工程合同'!$D:$AL,9,0)</f>
        <v>0</v>
      </c>
      <c r="K157" s="291" t="str">
        <f>VLOOKUP($B157,'3、工程合同'!$D:$AL,10,0)</f>
        <v>6个月承兑汇票，费率1.5%</v>
      </c>
      <c r="L157" s="292" t="str">
        <f>VLOOKUP($B157,'3、工程合同'!$D:$AL,11,0)</f>
        <v>无预付款，按月支付进度款，支付至验收完成工程对应价的80%，履约保证金9万，验收合格后3个月退还</v>
      </c>
      <c r="M157" s="293">
        <f>VLOOKUP($B157,'3、工程合同'!$D:$AL,12,0)</f>
        <v>1400000</v>
      </c>
      <c r="N157" s="293">
        <f>VLOOKUP($B157,'3、工程合同'!$D:$AL,13,0)</f>
        <v>0</v>
      </c>
      <c r="O157" s="290" t="str">
        <f>VLOOKUP($B157,'3、工程合同'!$D:$AL,14,0)</f>
        <v>工程竣工验收合格后付清余款</v>
      </c>
      <c r="P157" s="293">
        <f>VLOOKUP($B157,'3、工程合同'!$D:$AL,15,0)</f>
        <v>350000</v>
      </c>
      <c r="Q157" s="293">
        <f>VLOOKUP($B157,'3、工程合同'!$D:$AL,16,0)</f>
        <v>0</v>
      </c>
      <c r="R157" s="290">
        <f>VLOOKUP($B157,'3、工程合同'!$D:$AL,17,0)</f>
        <v>0</v>
      </c>
      <c r="S157" s="293">
        <f>VLOOKUP($B157,'3、工程合同'!$D:$AL,18,0)</f>
        <v>0</v>
      </c>
      <c r="T157" s="293">
        <f>VLOOKUP($B157,'3、工程合同'!$D:$AL,19,0)</f>
        <v>0</v>
      </c>
      <c r="U157" s="290">
        <f>VLOOKUP($B157,'3、工程合同'!$D:$AL,20,0)</f>
        <v>0</v>
      </c>
      <c r="V157" s="293">
        <f>VLOOKUP($B157,'3、工程合同'!$D:$AL,21,0)</f>
        <v>0</v>
      </c>
      <c r="W157" s="293">
        <f>VLOOKUP($B157,'3、工程合同'!$D:$AL,22,0)</f>
        <v>0</v>
      </c>
      <c r="X157" s="290">
        <f>VLOOKUP($B157,'3、工程合同'!$D:$AL,23,0)</f>
        <v>0</v>
      </c>
      <c r="Y157" s="293">
        <f>VLOOKUP($B157,'3、工程合同'!$D:$AL,24,0)</f>
        <v>0</v>
      </c>
      <c r="Z157" s="293">
        <f>VLOOKUP($B157,'3、工程合同'!$D:$AL,25,0)</f>
        <v>0</v>
      </c>
      <c r="AA157" s="290">
        <f>VLOOKUP($B157,'3、工程合同'!$D:$AL,26,0)</f>
        <v>0</v>
      </c>
      <c r="AB157" s="293">
        <f>VLOOKUP($B157,'3、工程合同'!$D:$AL,27,0)</f>
        <v>0</v>
      </c>
      <c r="AC157" s="293">
        <f>VLOOKUP($B157,'3、工程合同'!$D:$AL,28,0)</f>
        <v>0</v>
      </c>
      <c r="AD157" s="290">
        <f>VLOOKUP($B157,'3、工程合同'!$D:$AL,29,0)</f>
        <v>0</v>
      </c>
      <c r="AE157" s="293">
        <f>VLOOKUP($B157,'3、工程合同'!$D:$AL,30,0)</f>
        <v>0</v>
      </c>
      <c r="AF157" s="293">
        <f>VLOOKUP($B157,'3、工程合同'!$D:$AL,31,0)</f>
        <v>0</v>
      </c>
      <c r="AG157" s="293">
        <f>VLOOKUP($B157,'3、工程合同'!$D:$AL,32,0)</f>
        <v>0</v>
      </c>
      <c r="AH157" s="293">
        <f>VLOOKUP($B157,'3、工程合同'!$D:$AL,33,0)</f>
        <v>0</v>
      </c>
      <c r="AI157" s="312">
        <f>VLOOKUP($B157,'3、工程合同'!$D:$AL,34,0)</f>
        <v>0</v>
      </c>
      <c r="AJ157" s="309">
        <f t="shared" si="46"/>
        <v>0</v>
      </c>
      <c r="AK157" s="289">
        <f t="shared" si="47"/>
        <v>1750000</v>
      </c>
      <c r="AL157" s="310">
        <f t="shared" si="48"/>
        <v>0</v>
      </c>
      <c r="AM157" s="289">
        <f t="shared" si="49"/>
        <v>1750000</v>
      </c>
      <c r="AN157" s="311" t="str">
        <f t="shared" si="50"/>
        <v>数据正确</v>
      </c>
    </row>
    <row r="158" customHeight="1" spans="1:40">
      <c r="A158" s="228" t="str">
        <f t="shared" si="35"/>
        <v/>
      </c>
      <c r="B158" s="261">
        <v>153</v>
      </c>
      <c r="C158" s="266" t="str">
        <f>VLOOKUP($B158,'3、工程合同'!$D:$AL,2,0)</f>
        <v>YRKJ-2017GC-SGHT006</v>
      </c>
      <c r="D158" s="267" t="str">
        <f>VLOOKUP($B158,'3、工程合同'!$D:$AL,3,0)</f>
        <v>工程合同</v>
      </c>
      <c r="E158" s="267" t="str">
        <f>VLOOKUP($B158,'3、工程合同'!$D:$AL,4,0)</f>
        <v>-</v>
      </c>
      <c r="F158" s="268">
        <f>VLOOKUP($B158,'3、工程合同'!$D:$AL,5,0)</f>
        <v>42838</v>
      </c>
      <c r="G158" s="269">
        <f>VLOOKUP($B158,'3、工程合同'!$D:$AL,6,0)</f>
        <v>487605</v>
      </c>
      <c r="H158" s="269" t="str">
        <f>VLOOKUP($B158,'3、工程合同'!$D:$AL,7,0)</f>
        <v>桩基检测I标段工程</v>
      </c>
      <c r="I158" s="269" t="str">
        <f>VLOOKUP($B158,'3、工程合同'!$D:$AL,8,0)</f>
        <v>福建省永正工程质量检测有限公司</v>
      </c>
      <c r="J158" s="290">
        <f>VLOOKUP($B158,'3、工程合同'!$D:$AL,9,0)</f>
        <v>0</v>
      </c>
      <c r="K158" s="291" t="str">
        <f>VLOOKUP($B158,'3、工程合同'!$D:$AL,10,0)</f>
        <v>6个月承兑汇票</v>
      </c>
      <c r="L158" s="292" t="str">
        <f>VLOOKUP($B158,'3、工程合同'!$D:$AL,11,0)</f>
        <v>无预付款，按月支付进度款，支付至验收完成工程对应价的80%，履约保证金9万，验收合格后3个月退还</v>
      </c>
      <c r="M158" s="293">
        <f>VLOOKUP($B158,'3、工程合同'!$D:$AL,12,0)</f>
        <v>292563</v>
      </c>
      <c r="N158" s="293">
        <f>VLOOKUP($B158,'3、工程合同'!$D:$AL,13,0)</f>
        <v>0</v>
      </c>
      <c r="O158" s="290" t="str">
        <f>VLOOKUP($B158,'3、工程合同'!$D:$AL,14,0)</f>
        <v>提供正式的检测报告后，支付至合同的80%</v>
      </c>
      <c r="P158" s="293">
        <f>VLOOKUP($B158,'3、工程合同'!$D:$AL,15,0)</f>
        <v>97521</v>
      </c>
      <c r="Q158" s="293">
        <f>VLOOKUP($B158,'3、工程合同'!$D:$AL,16,0)</f>
        <v>0</v>
      </c>
      <c r="R158" s="290" t="str">
        <f>VLOOKUP($B158,'3、工程合同'!$D:$AL,17,0)</f>
        <v>经招标人内部审计后，支付至95%</v>
      </c>
      <c r="S158" s="293">
        <f>VLOOKUP($B158,'3、工程合同'!$D:$AL,18,0)</f>
        <v>73140.75</v>
      </c>
      <c r="T158" s="293">
        <f>VLOOKUP($B158,'3、工程合同'!$D:$AL,19,0)</f>
        <v>0</v>
      </c>
      <c r="U158" s="290" t="str">
        <f>VLOOKUP($B158,'3、工程合同'!$D:$AL,20,0)</f>
        <v>项目竣工验收资料归档后支付尾款</v>
      </c>
      <c r="V158" s="293">
        <f>VLOOKUP($B158,'3、工程合同'!$D:$AL,21,0)</f>
        <v>24380.25</v>
      </c>
      <c r="W158" s="293">
        <f>VLOOKUP($B158,'3、工程合同'!$D:$AL,22,0)</f>
        <v>0</v>
      </c>
      <c r="X158" s="290">
        <f>VLOOKUP($B158,'3、工程合同'!$D:$AL,23,0)</f>
        <v>0</v>
      </c>
      <c r="Y158" s="293">
        <f>VLOOKUP($B158,'3、工程合同'!$D:$AL,24,0)</f>
        <v>0</v>
      </c>
      <c r="Z158" s="293">
        <f>VLOOKUP($B158,'3、工程合同'!$D:$AL,25,0)</f>
        <v>0</v>
      </c>
      <c r="AA158" s="290">
        <f>VLOOKUP($B158,'3、工程合同'!$D:$AL,26,0)</f>
        <v>0</v>
      </c>
      <c r="AB158" s="293">
        <f>VLOOKUP($B158,'3、工程合同'!$D:$AL,27,0)</f>
        <v>0</v>
      </c>
      <c r="AC158" s="293">
        <f>VLOOKUP($B158,'3、工程合同'!$D:$AL,28,0)</f>
        <v>0</v>
      </c>
      <c r="AD158" s="290">
        <f>VLOOKUP($B158,'3、工程合同'!$D:$AL,29,0)</f>
        <v>0</v>
      </c>
      <c r="AE158" s="293">
        <f>VLOOKUP($B158,'3、工程合同'!$D:$AL,30,0)</f>
        <v>0</v>
      </c>
      <c r="AF158" s="293">
        <f>VLOOKUP($B158,'3、工程合同'!$D:$AL,31,0)</f>
        <v>0</v>
      </c>
      <c r="AG158" s="293">
        <f>VLOOKUP($B158,'3、工程合同'!$D:$AL,32,0)</f>
        <v>0</v>
      </c>
      <c r="AH158" s="293">
        <f>VLOOKUP($B158,'3、工程合同'!$D:$AL,33,0)</f>
        <v>0</v>
      </c>
      <c r="AI158" s="312">
        <f>VLOOKUP($B158,'3、工程合同'!$D:$AL,34,0)</f>
        <v>0</v>
      </c>
      <c r="AJ158" s="309">
        <f t="shared" si="46"/>
        <v>0</v>
      </c>
      <c r="AK158" s="289">
        <f t="shared" si="47"/>
        <v>487605</v>
      </c>
      <c r="AL158" s="310">
        <f t="shared" si="48"/>
        <v>0</v>
      </c>
      <c r="AM158" s="289">
        <f t="shared" si="49"/>
        <v>487605</v>
      </c>
      <c r="AN158" s="311" t="str">
        <f t="shared" si="50"/>
        <v>数据正确</v>
      </c>
    </row>
    <row r="159" s="228" customFormat="1" customHeight="1" spans="1:40">
      <c r="A159" s="228" t="str">
        <f t="shared" si="35"/>
        <v/>
      </c>
      <c r="B159" s="256">
        <v>154</v>
      </c>
      <c r="C159" s="266" t="str">
        <f>VLOOKUP($B159,'3、工程合同'!$D:$AL,2,0)</f>
        <v>YRKJ-2017GC-SGHT008</v>
      </c>
      <c r="D159" s="267" t="str">
        <f>VLOOKUP($B159,'3、工程合同'!$D:$AL,3,0)</f>
        <v>工程合同</v>
      </c>
      <c r="E159" s="267" t="str">
        <f>VLOOKUP($B159,'3、工程合同'!$D:$AL,4,0)</f>
        <v>-</v>
      </c>
      <c r="F159" s="268">
        <f>VLOOKUP($B159,'3、工程合同'!$D:$AL,5,0)</f>
        <v>42896</v>
      </c>
      <c r="G159" s="269">
        <f>VLOOKUP($B159,'3、工程合同'!$D:$AL,6,0)</f>
        <v>57000000</v>
      </c>
      <c r="H159" s="269" t="str">
        <f>VLOOKUP($B159,'3、工程合同'!$D:$AL,7,0)</f>
        <v>厂前区土建工程施工(I标段）</v>
      </c>
      <c r="I159" s="269" t="str">
        <f>VLOOKUP($B159,'3、工程合同'!$D:$AL,8,0)</f>
        <v>中国化学工程第三建设有限公司</v>
      </c>
      <c r="J159" s="290">
        <f>VLOOKUP($B159,'3、工程合同'!$D:$AL,9,0)</f>
        <v>0</v>
      </c>
      <c r="K159" s="291" t="str">
        <f>VLOOKUP($B159,'3、工程合同'!$D:$AL,10,0)</f>
        <v>6个月承兑汇票</v>
      </c>
      <c r="L159" s="292" t="str">
        <f>VLOOKUP($B159,'3、工程合同'!$D:$AL,11,0)</f>
        <v>按工程进度款支付80%</v>
      </c>
      <c r="M159" s="293">
        <f>VLOOKUP($B159,'3、工程合同'!$D:$AL,12,0)</f>
        <v>1954393</v>
      </c>
      <c r="N159" s="293">
        <f>VLOOKUP($B159,'3、工程合同'!$D:$AL,13,0)</f>
        <v>1563000</v>
      </c>
      <c r="O159" s="290" t="str">
        <f>VLOOKUP($B159,'3、工程合同'!$D:$AL,14,0)</f>
        <v>按工程进度款支付80%</v>
      </c>
      <c r="P159" s="293">
        <f>VLOOKUP($B159,'3、工程合同'!$D:$AL,15,0)</f>
        <v>3919004</v>
      </c>
      <c r="Q159" s="293">
        <f>VLOOKUP($B159,'3、工程合同'!$D:$AL,16,0)</f>
        <v>3135000</v>
      </c>
      <c r="R159" s="290" t="str">
        <f>VLOOKUP($B159,'3、工程合同'!$D:$AL,17,0)</f>
        <v>按工程进度款支付80%</v>
      </c>
      <c r="S159" s="293">
        <f>VLOOKUP($B159,'3、工程合同'!$D:$AL,18,0)</f>
        <v>0</v>
      </c>
      <c r="T159" s="293">
        <f>VLOOKUP($B159,'3、工程合同'!$D:$AL,19,0)</f>
        <v>0</v>
      </c>
      <c r="U159" s="290" t="str">
        <f>VLOOKUP($B159,'3、工程合同'!$D:$AL,20,0)</f>
        <v>按工程进度款支付80%</v>
      </c>
      <c r="V159" s="293">
        <f>VLOOKUP($B159,'3、工程合同'!$D:$AL,21,0)</f>
        <v>0</v>
      </c>
      <c r="W159" s="293">
        <f>VLOOKUP($B159,'3、工程合同'!$D:$AL,22,0)</f>
        <v>0</v>
      </c>
      <c r="X159" s="290" t="str">
        <f>VLOOKUP($B159,'3、工程合同'!$D:$AL,23,0)</f>
        <v>按工程进度款支付80%</v>
      </c>
      <c r="Y159" s="293">
        <f>VLOOKUP($B159,'3、工程合同'!$D:$AL,24,0)</f>
        <v>0</v>
      </c>
      <c r="Z159" s="293">
        <f>VLOOKUP($B159,'3、工程合同'!$D:$AL,25,0)</f>
        <v>0</v>
      </c>
      <c r="AA159" s="290" t="str">
        <f>VLOOKUP($B159,'3、工程合同'!$D:$AL,26,0)</f>
        <v>按工程进度款支付80%</v>
      </c>
      <c r="AB159" s="293">
        <f>VLOOKUP($B159,'3、工程合同'!$D:$AL,27,0)</f>
        <v>0</v>
      </c>
      <c r="AC159" s="293">
        <f>VLOOKUP($B159,'3、工程合同'!$D:$AL,28,0)</f>
        <v>0</v>
      </c>
      <c r="AD159" s="290" t="str">
        <f>VLOOKUP($B159,'3、工程合同'!$D:$AL,29,0)</f>
        <v>按工程进度款支付80%</v>
      </c>
      <c r="AE159" s="293">
        <f>VLOOKUP($B159,'3、工程合同'!$D:$AL,30,0)</f>
        <v>0</v>
      </c>
      <c r="AF159" s="293">
        <f>VLOOKUP($B159,'3、工程合同'!$D:$AL,31,0)</f>
        <v>0</v>
      </c>
      <c r="AG159" s="293" t="str">
        <f>VLOOKUP($B159,'3、工程合同'!$D:$AL,32,0)</f>
        <v>尾款</v>
      </c>
      <c r="AH159" s="293">
        <f>VLOOKUP($B159,'3、工程合同'!$D:$AL,33,0)</f>
        <v>51126603</v>
      </c>
      <c r="AI159" s="312">
        <f>VLOOKUP($B159,'3、工程合同'!$D:$AL,34,0)</f>
        <v>0</v>
      </c>
      <c r="AJ159" s="309">
        <f t="shared" si="46"/>
        <v>4698000</v>
      </c>
      <c r="AK159" s="289">
        <f t="shared" si="47"/>
        <v>52302000</v>
      </c>
      <c r="AL159" s="310">
        <f t="shared" si="48"/>
        <v>0.082421052631579</v>
      </c>
      <c r="AM159" s="289">
        <f t="shared" si="49"/>
        <v>57000000</v>
      </c>
      <c r="AN159" s="311" t="str">
        <f t="shared" si="50"/>
        <v>数据正确</v>
      </c>
    </row>
    <row r="160" customHeight="1" spans="1:40">
      <c r="A160" s="228" t="str">
        <f t="shared" si="35"/>
        <v>已完毕</v>
      </c>
      <c r="B160" s="261">
        <v>155</v>
      </c>
      <c r="C160" s="266" t="str">
        <f>VLOOKUP($B160,'3、工程合同'!$D:$AL,2,0)</f>
        <v>YRKJGC-170031</v>
      </c>
      <c r="D160" s="267" t="str">
        <f>VLOOKUP($B160,'3、工程合同'!$D:$AL,3,0)</f>
        <v>工程合同</v>
      </c>
      <c r="E160" s="267">
        <f>VLOOKUP($B160,'3、工程合同'!$D:$AL,4,0)</f>
        <v>2017060075</v>
      </c>
      <c r="F160" s="268">
        <f>VLOOKUP($B160,'3、工程合同'!$D:$AL,5,0)</f>
        <v>42921</v>
      </c>
      <c r="G160" s="269">
        <f>VLOOKUP($B160,'3、工程合同'!$D:$AL,6,0)</f>
        <v>44560</v>
      </c>
      <c r="H160" s="269" t="str">
        <f>VLOOKUP($B160,'3、工程合同'!$D:$AL,7,0)</f>
        <v>玻璃钢管（44米*1012.73元/米）</v>
      </c>
      <c r="I160" s="269" t="str">
        <f>VLOOKUP($B160,'3、工程合同'!$D:$AL,8,0)</f>
        <v>山东金光集团有限公司</v>
      </c>
      <c r="J160" s="290">
        <f>VLOOKUP($B160,'3、工程合同'!$D:$AL,9,0)</f>
        <v>0</v>
      </c>
      <c r="K160" s="291" t="str">
        <f>VLOOKUP($B160,'3、工程合同'!$D:$AL,10,0)</f>
        <v>电汇</v>
      </c>
      <c r="L160" s="292" t="str">
        <f>VLOOKUP($B160,'3、工程合同'!$D:$AL,11,0)</f>
        <v>甲方收到货、发票后，10-15个工作日全额付清</v>
      </c>
      <c r="M160" s="293">
        <f>VLOOKUP($B160,'3、工程合同'!$D:$AL,12,0)</f>
        <v>44560</v>
      </c>
      <c r="N160" s="293">
        <f>VLOOKUP($B160,'3、工程合同'!$D:$AL,13,0)</f>
        <v>44560</v>
      </c>
      <c r="O160" s="290">
        <f>VLOOKUP($B160,'3、工程合同'!$D:$AL,14,0)</f>
        <v>0</v>
      </c>
      <c r="P160" s="293">
        <f>VLOOKUP($B160,'3、工程合同'!$D:$AL,15,0)</f>
        <v>0</v>
      </c>
      <c r="Q160" s="293">
        <f>VLOOKUP($B160,'3、工程合同'!$D:$AL,16,0)</f>
        <v>0</v>
      </c>
      <c r="R160" s="290">
        <f>VLOOKUP($B160,'3、工程合同'!$D:$AL,17,0)</f>
        <v>0</v>
      </c>
      <c r="S160" s="293">
        <f>VLOOKUP($B160,'3、工程合同'!$D:$AL,18,0)</f>
        <v>0</v>
      </c>
      <c r="T160" s="293">
        <f>VLOOKUP($B160,'3、工程合同'!$D:$AL,19,0)</f>
        <v>0</v>
      </c>
      <c r="U160" s="290">
        <f>VLOOKUP($B160,'3、工程合同'!$D:$AL,20,0)</f>
        <v>0</v>
      </c>
      <c r="V160" s="293">
        <f>VLOOKUP($B160,'3、工程合同'!$D:$AL,21,0)</f>
        <v>0</v>
      </c>
      <c r="W160" s="293">
        <f>VLOOKUP($B160,'3、工程合同'!$D:$AL,22,0)</f>
        <v>0</v>
      </c>
      <c r="X160" s="290">
        <f>VLOOKUP($B160,'3、工程合同'!$D:$AL,23,0)</f>
        <v>0</v>
      </c>
      <c r="Y160" s="293">
        <f>VLOOKUP($B160,'3、工程合同'!$D:$AL,24,0)</f>
        <v>0</v>
      </c>
      <c r="Z160" s="293">
        <f>VLOOKUP($B160,'3、工程合同'!$D:$AL,25,0)</f>
        <v>0</v>
      </c>
      <c r="AA160" s="290">
        <f>VLOOKUP($B160,'3、工程合同'!$D:$AL,26,0)</f>
        <v>0</v>
      </c>
      <c r="AB160" s="293">
        <f>VLOOKUP($B160,'3、工程合同'!$D:$AL,27,0)</f>
        <v>0</v>
      </c>
      <c r="AC160" s="293">
        <f>VLOOKUP($B160,'3、工程合同'!$D:$AL,28,0)</f>
        <v>0</v>
      </c>
      <c r="AD160" s="290">
        <f>VLOOKUP($B160,'3、工程合同'!$D:$AL,29,0)</f>
        <v>0</v>
      </c>
      <c r="AE160" s="293">
        <f>VLOOKUP($B160,'3、工程合同'!$D:$AL,30,0)</f>
        <v>0</v>
      </c>
      <c r="AF160" s="293">
        <f>VLOOKUP($B160,'3、工程合同'!$D:$AL,31,0)</f>
        <v>0</v>
      </c>
      <c r="AG160" s="293">
        <f>VLOOKUP($B160,'3、工程合同'!$D:$AL,32,0)</f>
        <v>0</v>
      </c>
      <c r="AH160" s="293">
        <f>VLOOKUP($B160,'3、工程合同'!$D:$AL,33,0)</f>
        <v>0</v>
      </c>
      <c r="AI160" s="312">
        <f>VLOOKUP($B160,'3、工程合同'!$D:$AL,34,0)</f>
        <v>0</v>
      </c>
      <c r="AJ160" s="309">
        <f t="shared" si="46"/>
        <v>44560</v>
      </c>
      <c r="AK160" s="289">
        <f t="shared" si="47"/>
        <v>0</v>
      </c>
      <c r="AL160" s="310">
        <f t="shared" si="48"/>
        <v>1</v>
      </c>
      <c r="AM160" s="289">
        <f t="shared" si="49"/>
        <v>44560</v>
      </c>
      <c r="AN160" s="311" t="str">
        <f t="shared" si="50"/>
        <v>数据正确</v>
      </c>
    </row>
    <row r="161" s="228" customFormat="1" customHeight="1" spans="1:40">
      <c r="A161" s="228" t="str">
        <f t="shared" si="35"/>
        <v/>
      </c>
      <c r="B161" s="261">
        <v>156</v>
      </c>
      <c r="C161" s="266" t="str">
        <f>VLOOKUP($B161,'3、工程合同'!$D:$AL,2,0)</f>
        <v>YRKJ-2017GC-SGHT008SGHT009</v>
      </c>
      <c r="D161" s="267" t="str">
        <f>VLOOKUP($B161,'3、工程合同'!$D:$AL,3,0)</f>
        <v>工程合同</v>
      </c>
      <c r="E161" s="267" t="str">
        <f>VLOOKUP($B161,'3、工程合同'!$D:$AL,4,0)</f>
        <v>-</v>
      </c>
      <c r="F161" s="268">
        <f>VLOOKUP($B161,'3、工程合同'!$D:$AL,5,0)</f>
        <v>42886</v>
      </c>
      <c r="G161" s="269">
        <f>VLOOKUP($B161,'3、工程合同'!$D:$AL,6,0)</f>
        <v>57000000</v>
      </c>
      <c r="H161" s="269" t="str">
        <f>VLOOKUP($B161,'3、工程合同'!$D:$AL,7,0)</f>
        <v>厂前区土建工程施工(II标段）</v>
      </c>
      <c r="I161" s="269" t="str">
        <f>VLOOKUP($B161,'3、工程合同'!$D:$AL,8,0)</f>
        <v>中国化学工程第十一建设有限公司</v>
      </c>
      <c r="J161" s="290">
        <f>VLOOKUP($B161,'3、工程合同'!$D:$AL,9,0)</f>
        <v>0</v>
      </c>
      <c r="K161" s="291" t="str">
        <f>VLOOKUP($B161,'3、工程合同'!$D:$AL,10,0)</f>
        <v>6个月承兑汇票</v>
      </c>
      <c r="L161" s="292" t="str">
        <f>VLOOKUP($B161,'3、工程合同'!$D:$AL,11,0)</f>
        <v>按工程进度款支付80%</v>
      </c>
      <c r="M161" s="293">
        <f>VLOOKUP($B161,'3、工程合同'!$D:$AL,12,0)</f>
        <v>3105356.04</v>
      </c>
      <c r="N161" s="293">
        <f>VLOOKUP($B161,'3、工程合同'!$D:$AL,13,0)</f>
        <v>2484000.002</v>
      </c>
      <c r="O161" s="290" t="str">
        <f>VLOOKUP($B161,'3、工程合同'!$D:$AL,14,0)</f>
        <v>按工程进度款支付80%</v>
      </c>
      <c r="P161" s="293">
        <f>VLOOKUP($B161,'3、工程合同'!$D:$AL,15,0)</f>
        <v>0</v>
      </c>
      <c r="Q161" s="293">
        <f>VLOOKUP($B161,'3、工程合同'!$D:$AL,16,0)</f>
        <v>0</v>
      </c>
      <c r="R161" s="290" t="str">
        <f>VLOOKUP($B161,'3、工程合同'!$D:$AL,17,0)</f>
        <v>按工程进度款支付80%</v>
      </c>
      <c r="S161" s="293">
        <f>VLOOKUP($B161,'3、工程合同'!$D:$AL,18,0)</f>
        <v>0</v>
      </c>
      <c r="T161" s="293">
        <f>VLOOKUP($B161,'3、工程合同'!$D:$AL,19,0)</f>
        <v>0</v>
      </c>
      <c r="U161" s="290" t="str">
        <f>VLOOKUP($B161,'3、工程合同'!$D:$AL,20,0)</f>
        <v>按工程进度款支付80%</v>
      </c>
      <c r="V161" s="293">
        <f>VLOOKUP($B161,'3、工程合同'!$D:$AL,21,0)</f>
        <v>0</v>
      </c>
      <c r="W161" s="293">
        <f>VLOOKUP($B161,'3、工程合同'!$D:$AL,22,0)</f>
        <v>0</v>
      </c>
      <c r="X161" s="290" t="str">
        <f>VLOOKUP($B161,'3、工程合同'!$D:$AL,23,0)</f>
        <v>按工程进度款支付80%</v>
      </c>
      <c r="Y161" s="293">
        <f>VLOOKUP($B161,'3、工程合同'!$D:$AL,24,0)</f>
        <v>0</v>
      </c>
      <c r="Z161" s="293">
        <f>VLOOKUP($B161,'3、工程合同'!$D:$AL,25,0)</f>
        <v>0</v>
      </c>
      <c r="AA161" s="290" t="str">
        <f>VLOOKUP($B161,'3、工程合同'!$D:$AL,26,0)</f>
        <v>按工程进度款支付80%</v>
      </c>
      <c r="AB161" s="293">
        <f>VLOOKUP($B161,'3、工程合同'!$D:$AL,27,0)</f>
        <v>0</v>
      </c>
      <c r="AC161" s="293">
        <f>VLOOKUP($B161,'3、工程合同'!$D:$AL,28,0)</f>
        <v>0</v>
      </c>
      <c r="AD161" s="290" t="str">
        <f>VLOOKUP($B161,'3、工程合同'!$D:$AL,29,0)</f>
        <v>按工程进度款支付80%</v>
      </c>
      <c r="AE161" s="293">
        <f>VLOOKUP($B161,'3、工程合同'!$D:$AL,30,0)</f>
        <v>0</v>
      </c>
      <c r="AF161" s="293">
        <f>VLOOKUP($B161,'3、工程合同'!$D:$AL,31,0)</f>
        <v>0</v>
      </c>
      <c r="AG161" s="293" t="str">
        <f>VLOOKUP($B161,'3、工程合同'!$D:$AL,32,0)</f>
        <v>尾款</v>
      </c>
      <c r="AH161" s="293">
        <f>VLOOKUP($B161,'3、工程合同'!$D:$AL,33,0)</f>
        <v>53894643.96</v>
      </c>
      <c r="AI161" s="312">
        <f>VLOOKUP($B161,'3、工程合同'!$D:$AL,34,0)</f>
        <v>0</v>
      </c>
      <c r="AJ161" s="309">
        <f t="shared" si="46"/>
        <v>2484000.002</v>
      </c>
      <c r="AK161" s="289">
        <f t="shared" si="47"/>
        <v>54515999.998</v>
      </c>
      <c r="AL161" s="310">
        <f t="shared" si="48"/>
        <v>0.0435789474035088</v>
      </c>
      <c r="AM161" s="289">
        <f t="shared" si="49"/>
        <v>57000000</v>
      </c>
      <c r="AN161" s="311" t="str">
        <f t="shared" si="50"/>
        <v>数据正确</v>
      </c>
    </row>
    <row r="162" customHeight="1" spans="1:40">
      <c r="A162" s="228" t="str">
        <f t="shared" si="35"/>
        <v/>
      </c>
      <c r="B162" s="256">
        <v>157</v>
      </c>
      <c r="C162" s="266" t="str">
        <f>VLOOKUP($B162,'3、工程合同'!$D:$AL,2,0)</f>
        <v>YRKJ-2017GC-SGHT010</v>
      </c>
      <c r="D162" s="267" t="str">
        <f>VLOOKUP($B162,'3、工程合同'!$D:$AL,3,0)</f>
        <v>工程合同</v>
      </c>
      <c r="E162" s="267" t="str">
        <f>VLOOKUP($B162,'3、工程合同'!$D:$AL,4,0)</f>
        <v>-</v>
      </c>
      <c r="F162" s="268">
        <f>VLOOKUP($B162,'3、工程合同'!$D:$AL,5,0)</f>
        <v>42901</v>
      </c>
      <c r="G162" s="269">
        <f>VLOOKUP($B162,'3、工程合同'!$D:$AL,6,0)</f>
        <v>200000</v>
      </c>
      <c r="H162" s="269" t="str">
        <f>VLOOKUP($B162,'3、工程合同'!$D:$AL,7,0)</f>
        <v>零星临时道路工程(工程施工框架协议）</v>
      </c>
      <c r="I162" s="269" t="str">
        <f>VLOOKUP($B162,'3、工程合同'!$D:$AL,8,0)</f>
        <v>福建省福清市嘉盛建设工程有限公司</v>
      </c>
      <c r="J162" s="290">
        <f>VLOOKUP($B162,'3、工程合同'!$D:$AL,9,0)</f>
        <v>0</v>
      </c>
      <c r="K162" s="291" t="str">
        <f>VLOOKUP($B162,'3、工程合同'!$D:$AL,10,0)</f>
        <v>电汇</v>
      </c>
      <c r="L162" s="292" t="str">
        <f>VLOOKUP($B162,'3、工程合同'!$D:$AL,11,0)</f>
        <v>工程竣工验收合格后经一审和二审审核完成后，提供11%发屁后付工程款95%</v>
      </c>
      <c r="M162" s="293">
        <f>VLOOKUP($B162,'3、工程合同'!$D:$AL,12,0)</f>
        <v>190000</v>
      </c>
      <c r="N162" s="293">
        <f>VLOOKUP($B162,'3、工程合同'!$D:$AL,13,0)</f>
        <v>0</v>
      </c>
      <c r="O162" s="290" t="str">
        <f>VLOOKUP($B162,'3、工程合同'!$D:$AL,14,0)</f>
        <v>5%质保金，6个月后工程无质量问题退还</v>
      </c>
      <c r="P162" s="293">
        <f>VLOOKUP($B162,'3、工程合同'!$D:$AL,15,0)</f>
        <v>10000</v>
      </c>
      <c r="Q162" s="293">
        <f>VLOOKUP($B162,'3、工程合同'!$D:$AL,16,0)</f>
        <v>0</v>
      </c>
      <c r="R162" s="290">
        <f>VLOOKUP($B162,'3、工程合同'!$D:$AL,17,0)</f>
        <v>0</v>
      </c>
      <c r="S162" s="293">
        <f>VLOOKUP($B162,'3、工程合同'!$D:$AL,18,0)</f>
        <v>0</v>
      </c>
      <c r="T162" s="293">
        <f>VLOOKUP($B162,'3、工程合同'!$D:$AL,19,0)</f>
        <v>0</v>
      </c>
      <c r="U162" s="290">
        <f>VLOOKUP($B162,'3、工程合同'!$D:$AL,20,0)</f>
        <v>0</v>
      </c>
      <c r="V162" s="293">
        <f>VLOOKUP($B162,'3、工程合同'!$D:$AL,21,0)</f>
        <v>0</v>
      </c>
      <c r="W162" s="293">
        <f>VLOOKUP($B162,'3、工程合同'!$D:$AL,22,0)</f>
        <v>0</v>
      </c>
      <c r="X162" s="290">
        <f>VLOOKUP($B162,'3、工程合同'!$D:$AL,23,0)</f>
        <v>0</v>
      </c>
      <c r="Y162" s="293">
        <f>VLOOKUP($B162,'3、工程合同'!$D:$AL,24,0)</f>
        <v>0</v>
      </c>
      <c r="Z162" s="293">
        <f>VLOOKUP($B162,'3、工程合同'!$D:$AL,25,0)</f>
        <v>0</v>
      </c>
      <c r="AA162" s="290">
        <f>VLOOKUP($B162,'3、工程合同'!$D:$AL,26,0)</f>
        <v>0</v>
      </c>
      <c r="AB162" s="293">
        <f>VLOOKUP($B162,'3、工程合同'!$D:$AL,27,0)</f>
        <v>0</v>
      </c>
      <c r="AC162" s="293">
        <f>VLOOKUP($B162,'3、工程合同'!$D:$AL,28,0)</f>
        <v>0</v>
      </c>
      <c r="AD162" s="290">
        <f>VLOOKUP($B162,'3、工程合同'!$D:$AL,29,0)</f>
        <v>0</v>
      </c>
      <c r="AE162" s="293">
        <f>VLOOKUP($B162,'3、工程合同'!$D:$AL,30,0)</f>
        <v>0</v>
      </c>
      <c r="AF162" s="293">
        <f>VLOOKUP($B162,'3、工程合同'!$D:$AL,31,0)</f>
        <v>0</v>
      </c>
      <c r="AG162" s="293">
        <f>VLOOKUP($B162,'3、工程合同'!$D:$AL,32,0)</f>
        <v>0</v>
      </c>
      <c r="AH162" s="293">
        <f>VLOOKUP($B162,'3、工程合同'!$D:$AL,33,0)</f>
        <v>0</v>
      </c>
      <c r="AI162" s="312">
        <f>VLOOKUP($B162,'3、工程合同'!$D:$AL,34,0)</f>
        <v>0</v>
      </c>
      <c r="AJ162" s="309">
        <f t="shared" si="46"/>
        <v>0</v>
      </c>
      <c r="AK162" s="289">
        <f t="shared" si="47"/>
        <v>200000</v>
      </c>
      <c r="AL162" s="310">
        <f t="shared" si="48"/>
        <v>0</v>
      </c>
      <c r="AM162" s="289">
        <f t="shared" si="49"/>
        <v>200000</v>
      </c>
      <c r="AN162" s="311" t="str">
        <f t="shared" si="50"/>
        <v>数据正确</v>
      </c>
    </row>
    <row r="163" customHeight="1" spans="1:40">
      <c r="A163" s="228" t="str">
        <f t="shared" si="35"/>
        <v>已完毕</v>
      </c>
      <c r="B163" s="261">
        <v>158</v>
      </c>
      <c r="C163" s="266" t="str">
        <f>VLOOKUP($B163,'3、工程合同'!$D:$AL,2,0)</f>
        <v>YRKJ-2017GC-SGHT011</v>
      </c>
      <c r="D163" s="267" t="str">
        <f>VLOOKUP($B163,'3、工程合同'!$D:$AL,3,0)</f>
        <v>工程合同</v>
      </c>
      <c r="E163" s="267" t="str">
        <f>VLOOKUP($B163,'3、工程合同'!$D:$AL,4,0)</f>
        <v>-</v>
      </c>
      <c r="F163" s="268">
        <f>VLOOKUP($B163,'3、工程合同'!$D:$AL,5,0)</f>
        <v>42896</v>
      </c>
      <c r="G163" s="269">
        <f>VLOOKUP($B163,'3、工程合同'!$D:$AL,6,0)</f>
        <v>60000</v>
      </c>
      <c r="H163" s="269" t="str">
        <f>VLOOKUP($B163,'3、工程合同'!$D:$AL,7,0)</f>
        <v>租赁一台履带式液压单斗挖掘机施工</v>
      </c>
      <c r="I163" s="269" t="str">
        <f>VLOOKUP($B163,'3、工程合同'!$D:$AL,8,0)</f>
        <v>泉州宏福工程机械租赁有限公司</v>
      </c>
      <c r="J163" s="290">
        <f>VLOOKUP($B163,'3、工程合同'!$D:$AL,9,0)</f>
        <v>0</v>
      </c>
      <c r="K163" s="291" t="str">
        <f>VLOOKUP($B163,'3、工程合同'!$D:$AL,10,0)</f>
        <v>电汇</v>
      </c>
      <c r="L163" s="292" t="str">
        <f>VLOOKUP($B163,'3、工程合同'!$D:$AL,11,0)</f>
        <v>完成施工任务后，收到3%专票，15个工作日后一次性支付</v>
      </c>
      <c r="M163" s="293">
        <f>VLOOKUP($B163,'3、工程合同'!$D:$AL,12,0)</f>
        <v>60000</v>
      </c>
      <c r="N163" s="293">
        <f>VLOOKUP($B163,'3、工程合同'!$D:$AL,13,0)</f>
        <v>60000</v>
      </c>
      <c r="O163" s="290">
        <f>VLOOKUP($B163,'3、工程合同'!$D:$AL,14,0)</f>
        <v>0</v>
      </c>
      <c r="P163" s="293">
        <f>VLOOKUP($B163,'3、工程合同'!$D:$AL,15,0)</f>
        <v>0</v>
      </c>
      <c r="Q163" s="293">
        <f>VLOOKUP($B163,'3、工程合同'!$D:$AL,16,0)</f>
        <v>0</v>
      </c>
      <c r="R163" s="290">
        <f>VLOOKUP($B163,'3、工程合同'!$D:$AL,17,0)</f>
        <v>0</v>
      </c>
      <c r="S163" s="293">
        <f>VLOOKUP($B163,'3、工程合同'!$D:$AL,18,0)</f>
        <v>0</v>
      </c>
      <c r="T163" s="293">
        <f>VLOOKUP($B163,'3、工程合同'!$D:$AL,19,0)</f>
        <v>0</v>
      </c>
      <c r="U163" s="290">
        <f>VLOOKUP($B163,'3、工程合同'!$D:$AL,20,0)</f>
        <v>0</v>
      </c>
      <c r="V163" s="293">
        <f>VLOOKUP($B163,'3、工程合同'!$D:$AL,21,0)</f>
        <v>0</v>
      </c>
      <c r="W163" s="293">
        <f>VLOOKUP($B163,'3、工程合同'!$D:$AL,22,0)</f>
        <v>0</v>
      </c>
      <c r="X163" s="290">
        <f>VLOOKUP($B163,'3、工程合同'!$D:$AL,23,0)</f>
        <v>0</v>
      </c>
      <c r="Y163" s="293">
        <f>VLOOKUP($B163,'3、工程合同'!$D:$AL,24,0)</f>
        <v>0</v>
      </c>
      <c r="Z163" s="293">
        <f>VLOOKUP($B163,'3、工程合同'!$D:$AL,25,0)</f>
        <v>0</v>
      </c>
      <c r="AA163" s="290">
        <f>VLOOKUP($B163,'3、工程合同'!$D:$AL,26,0)</f>
        <v>0</v>
      </c>
      <c r="AB163" s="293">
        <f>VLOOKUP($B163,'3、工程合同'!$D:$AL,27,0)</f>
        <v>0</v>
      </c>
      <c r="AC163" s="293">
        <f>VLOOKUP($B163,'3、工程合同'!$D:$AL,28,0)</f>
        <v>0</v>
      </c>
      <c r="AD163" s="290">
        <f>VLOOKUP($B163,'3、工程合同'!$D:$AL,29,0)</f>
        <v>0</v>
      </c>
      <c r="AE163" s="293">
        <f>VLOOKUP($B163,'3、工程合同'!$D:$AL,30,0)</f>
        <v>0</v>
      </c>
      <c r="AF163" s="293">
        <f>VLOOKUP($B163,'3、工程合同'!$D:$AL,31,0)</f>
        <v>0</v>
      </c>
      <c r="AG163" s="293">
        <f>VLOOKUP($B163,'3、工程合同'!$D:$AL,32,0)</f>
        <v>0</v>
      </c>
      <c r="AH163" s="293">
        <f>VLOOKUP($B163,'3、工程合同'!$D:$AL,33,0)</f>
        <v>0</v>
      </c>
      <c r="AI163" s="312">
        <f>VLOOKUP($B163,'3、工程合同'!$D:$AL,34,0)</f>
        <v>0</v>
      </c>
      <c r="AJ163" s="309">
        <f t="shared" si="46"/>
        <v>60000</v>
      </c>
      <c r="AK163" s="289">
        <f t="shared" si="47"/>
        <v>0</v>
      </c>
      <c r="AL163" s="310">
        <f t="shared" si="48"/>
        <v>1</v>
      </c>
      <c r="AM163" s="289">
        <f t="shared" si="49"/>
        <v>60000</v>
      </c>
      <c r="AN163" s="311" t="str">
        <f t="shared" si="50"/>
        <v>数据正确</v>
      </c>
    </row>
    <row r="164" customHeight="1" spans="1:40">
      <c r="A164" s="228" t="str">
        <f t="shared" si="35"/>
        <v>已完毕</v>
      </c>
      <c r="B164" s="261">
        <v>159</v>
      </c>
      <c r="C164" s="262" t="str">
        <f>VLOOKUP($B164,'2、设备合同'!$D:$AK,2,0)</f>
        <v>YRKJEQ-170002-1</v>
      </c>
      <c r="D164" s="263" t="str">
        <f>VLOOKUP($B164,'2、设备合同'!$D:$AK,3,0)</f>
        <v>设备合同</v>
      </c>
      <c r="E164" s="263">
        <f>VLOOKUP($B164,'2、设备合同'!$D:$AK,4,0)</f>
        <v>2016070031</v>
      </c>
      <c r="F164" s="264">
        <f>VLOOKUP($B164,'2、设备合同'!$D:$AK,5,0)</f>
        <v>42750</v>
      </c>
      <c r="G164" s="265">
        <f>VLOOKUP($B164,'2、设备合同'!$D:$AK,6,0)</f>
        <v>3683570.798</v>
      </c>
      <c r="H164" s="265" t="str">
        <f>VLOOKUP($B164,'2、设备合同'!$D:$AK,7,0)</f>
        <v>2台离心机</v>
      </c>
      <c r="I164" s="265" t="str">
        <f>VLOOKUP($B164,'2、设备合同'!$D:$AK,8,0)</f>
        <v>锦江（香港）有限公司</v>
      </c>
      <c r="J164" s="286">
        <f>VLOOKUP($B164,'2、设备合同'!$D:$AK,9,0)</f>
        <v>0</v>
      </c>
      <c r="K164" s="287" t="str">
        <f>VLOOKUP($B164,'2、设备合同'!$D:$AK,10,0)</f>
        <v>电汇/信用证</v>
      </c>
      <c r="L164" s="288" t="str">
        <f>VLOOKUP($B164,'2、设备合同'!$D:$AK,11,0)</f>
        <v>合同签署2个工作周内，支付20%预付款，电汇</v>
      </c>
      <c r="M164" s="289">
        <f>VLOOKUP($B164,'2、设备合同'!$D:$AK,12,0)</f>
        <v>736714.1596</v>
      </c>
      <c r="N164" s="289">
        <f>VLOOKUP($B164,'2、设备合同'!$D:$AK,13,0)</f>
        <v>736714.1596</v>
      </c>
      <c r="O164" s="286" t="str">
        <f>VLOOKUP($B164,'2、设备合同'!$D:$AK,14,0)</f>
        <v>开出货运单据后支付80%，信用证</v>
      </c>
      <c r="P164" s="289">
        <f>VLOOKUP($B164,'2、设备合同'!$D:$AK,15,0)</f>
        <v>2946856.6384</v>
      </c>
      <c r="Q164" s="289">
        <f>VLOOKUP($B164,'2、设备合同'!$D:$AK,16,0)</f>
        <v>2946856.6384</v>
      </c>
      <c r="R164" s="286">
        <f>VLOOKUP($B164,'2、设备合同'!$D:$AK,17,0)</f>
        <v>0</v>
      </c>
      <c r="S164" s="289">
        <f>VLOOKUP($B164,'2、设备合同'!$D:$AK,18,0)</f>
        <v>0</v>
      </c>
      <c r="T164" s="289">
        <f>VLOOKUP($B164,'2、设备合同'!$D:$AK,19,0)</f>
        <v>0</v>
      </c>
      <c r="U164" s="286">
        <f>VLOOKUP($B164,'2、设备合同'!$D:$AK,20,0)</f>
        <v>0</v>
      </c>
      <c r="V164" s="289">
        <f>VLOOKUP($B164,'2、设备合同'!$D:$AK,21,0)</f>
        <v>0</v>
      </c>
      <c r="W164" s="289">
        <f>VLOOKUP($B164,'2、设备合同'!$D:$AK,22,0)</f>
        <v>0</v>
      </c>
      <c r="X164" s="286">
        <f>VLOOKUP($B164,'2、设备合同'!$D:$AK,23,0)</f>
        <v>0</v>
      </c>
      <c r="Y164" s="289">
        <f>VLOOKUP($B164,'2、设备合同'!$D:$AK,24,0)</f>
        <v>0</v>
      </c>
      <c r="Z164" s="289">
        <f>VLOOKUP($B164,'2、设备合同'!$D:$AK,25,0)</f>
        <v>0</v>
      </c>
      <c r="AA164" s="286">
        <f>VLOOKUP($B164,'2、设备合同'!$D:$AK,26,0)</f>
        <v>0</v>
      </c>
      <c r="AB164" s="289">
        <f>VLOOKUP($B164,'2、设备合同'!$D:$AK,27,0)</f>
        <v>0</v>
      </c>
      <c r="AC164" s="289">
        <f>VLOOKUP($B164,'2、设备合同'!$D:$AK,28,0)</f>
        <v>0</v>
      </c>
      <c r="AD164" s="286">
        <f>VLOOKUP($B164,'2、设备合同'!$D:$AK,29,0)</f>
        <v>0</v>
      </c>
      <c r="AE164" s="289">
        <f>VLOOKUP($B164,'2、设备合同'!$D:$AK,30,0)</f>
        <v>0</v>
      </c>
      <c r="AF164" s="289">
        <f>VLOOKUP($B164,'2、设备合同'!$D:$AK,31,0)</f>
        <v>0</v>
      </c>
      <c r="AG164" s="289">
        <f>VLOOKUP($B164,'2、设备合同'!$D:$AK,32,0)</f>
        <v>0</v>
      </c>
      <c r="AH164" s="289">
        <f>VLOOKUP($B164,'2、设备合同'!$D:$AK,33,0)</f>
        <v>0</v>
      </c>
      <c r="AI164" s="308">
        <f>VLOOKUP($B164,'2、设备合同'!$D:$AK,34,0)</f>
        <v>0</v>
      </c>
      <c r="AJ164" s="309">
        <f t="shared" si="46"/>
        <v>3683570.798</v>
      </c>
      <c r="AK164" s="289">
        <f t="shared" si="47"/>
        <v>0</v>
      </c>
      <c r="AL164" s="310">
        <f t="shared" si="48"/>
        <v>1</v>
      </c>
      <c r="AM164" s="289">
        <f t="shared" si="49"/>
        <v>3683570.798</v>
      </c>
      <c r="AN164" s="311" t="str">
        <f t="shared" si="50"/>
        <v>数据正确</v>
      </c>
    </row>
    <row r="165" s="228" customFormat="1" customHeight="1" spans="1:40">
      <c r="A165" s="228" t="str">
        <f t="shared" si="35"/>
        <v/>
      </c>
      <c r="B165" s="256">
        <v>160</v>
      </c>
      <c r="C165" s="262" t="str">
        <f>VLOOKUP($B165,'2、设备合同'!$D:$AK,2,0)</f>
        <v>JMFJYR20170707</v>
      </c>
      <c r="D165" s="263" t="str">
        <f>VLOOKUP($B165,'2、设备合同'!$D:$AK,3,0)</f>
        <v>设备合同</v>
      </c>
      <c r="E165" s="263">
        <f>VLOOKUP($B165,'2、设备合同'!$D:$AK,4,0)</f>
        <v>0</v>
      </c>
      <c r="F165" s="264">
        <f>VLOOKUP($B165,'2、设备合同'!$D:$AK,5,0)</f>
        <v>42923</v>
      </c>
      <c r="G165" s="265">
        <f>VLOOKUP($B165,'2、设备合同'!$D:$AK,6,0)</f>
        <v>60000000</v>
      </c>
      <c r="H165" s="265" t="str">
        <f>VLOOKUP($B165,'2、设备合同'!$D:$AK,7,0)</f>
        <v>贵金属海绵钯300KG</v>
      </c>
      <c r="I165" s="265" t="str">
        <f>VLOOKUP($B165,'2、设备合同'!$D:$AK,8,0)</f>
        <v>庄信万丰（上海）催化剂有限公司</v>
      </c>
      <c r="J165" s="286">
        <f>VLOOKUP($B165,'2、设备合同'!$D:$AK,9,0)</f>
        <v>0</v>
      </c>
      <c r="K165" s="287" t="str">
        <f>VLOOKUP($B165,'2、设备合同'!$D:$AK,10,0)</f>
        <v>电汇</v>
      </c>
      <c r="L165" s="288" t="str">
        <f>VLOOKUP($B165,'2、设备合同'!$D:$AK,11,0)</f>
        <v>首个定价日前支付200万元定金</v>
      </c>
      <c r="M165" s="289">
        <f>VLOOKUP($B165,'2、设备合同'!$D:$AK,12,0)</f>
        <v>2000000</v>
      </c>
      <c r="N165" s="289">
        <f>VLOOKUP($B165,'2、设备合同'!$D:$AK,13,0)</f>
        <v>2000000</v>
      </c>
      <c r="O165" s="286" t="str">
        <f>VLOOKUP($B165,'2、设备合同'!$D:$AK,14,0)</f>
        <v>按期间支付货款</v>
      </c>
      <c r="P165" s="289">
        <f>VLOOKUP($B165,'2、设备合同'!$D:$AK,15,0)</f>
        <v>58000000</v>
      </c>
      <c r="Q165" s="289">
        <f>VLOOKUP($B165,'2、设备合同'!$D:$AK,16,0)</f>
        <v>0</v>
      </c>
      <c r="R165" s="286">
        <f>VLOOKUP($B165,'2、设备合同'!$D:$AK,17,0)</f>
        <v>0</v>
      </c>
      <c r="S165" s="289">
        <f>VLOOKUP($B165,'2、设备合同'!$D:$AK,18,0)</f>
        <v>0</v>
      </c>
      <c r="T165" s="289">
        <f>VLOOKUP($B165,'2、设备合同'!$D:$AK,19,0)</f>
        <v>0</v>
      </c>
      <c r="U165" s="286">
        <f>VLOOKUP($B165,'2、设备合同'!$D:$AK,20,0)</f>
        <v>0</v>
      </c>
      <c r="V165" s="289">
        <f>VLOOKUP($B165,'2、设备合同'!$D:$AK,21,0)</f>
        <v>0</v>
      </c>
      <c r="W165" s="289">
        <f>VLOOKUP($B165,'2、设备合同'!$D:$AK,22,0)</f>
        <v>0</v>
      </c>
      <c r="X165" s="286">
        <f>VLOOKUP($B165,'2、设备合同'!$D:$AK,23,0)</f>
        <v>0</v>
      </c>
      <c r="Y165" s="289">
        <f>VLOOKUP($B165,'2、设备合同'!$D:$AK,24,0)</f>
        <v>0</v>
      </c>
      <c r="Z165" s="289">
        <f>VLOOKUP($B165,'2、设备合同'!$D:$AK,25,0)</f>
        <v>0</v>
      </c>
      <c r="AA165" s="286">
        <f>VLOOKUP($B165,'2、设备合同'!$D:$AK,26,0)</f>
        <v>0</v>
      </c>
      <c r="AB165" s="289">
        <f>VLOOKUP($B165,'2、设备合同'!$D:$AK,27,0)</f>
        <v>0</v>
      </c>
      <c r="AC165" s="289">
        <f>VLOOKUP($B165,'2、设备合同'!$D:$AK,28,0)</f>
        <v>0</v>
      </c>
      <c r="AD165" s="286">
        <f>VLOOKUP($B165,'2、设备合同'!$D:$AK,29,0)</f>
        <v>0</v>
      </c>
      <c r="AE165" s="289">
        <f>VLOOKUP($B165,'2、设备合同'!$D:$AK,30,0)</f>
        <v>0</v>
      </c>
      <c r="AF165" s="289">
        <f>VLOOKUP($B165,'2、设备合同'!$D:$AK,31,0)</f>
        <v>0</v>
      </c>
      <c r="AG165" s="289">
        <f>VLOOKUP($B165,'2、设备合同'!$D:$AK,32,0)</f>
        <v>0</v>
      </c>
      <c r="AH165" s="289">
        <f>VLOOKUP($B165,'2、设备合同'!$D:$AK,33,0)</f>
        <v>0</v>
      </c>
      <c r="AI165" s="308">
        <f>VLOOKUP($B165,'2、设备合同'!$D:$AK,34,0)</f>
        <v>0</v>
      </c>
      <c r="AJ165" s="309">
        <f t="shared" si="46"/>
        <v>2000000</v>
      </c>
      <c r="AK165" s="289">
        <f t="shared" si="47"/>
        <v>58000000</v>
      </c>
      <c r="AL165" s="310">
        <f t="shared" si="48"/>
        <v>0.0333333333333333</v>
      </c>
      <c r="AM165" s="289">
        <f t="shared" si="49"/>
        <v>60000000</v>
      </c>
      <c r="AN165" s="311" t="str">
        <f t="shared" si="50"/>
        <v>数据正确</v>
      </c>
    </row>
    <row r="166" customHeight="1" spans="1:40">
      <c r="A166" s="228" t="str">
        <f t="shared" si="35"/>
        <v>已完毕</v>
      </c>
      <c r="B166" s="261">
        <v>161</v>
      </c>
      <c r="C166" s="266" t="str">
        <f>VLOOKUP($B166,'3、工程合同'!$D:$AL,2,0)</f>
        <v>YRKJGC-170017</v>
      </c>
      <c r="D166" s="267" t="str">
        <f>VLOOKUP($B166,'3、工程合同'!$D:$AL,3,0)</f>
        <v>工程合同</v>
      </c>
      <c r="E166" s="267">
        <f>VLOOKUP($B166,'3、工程合同'!$D:$AL,4,0)</f>
        <v>0</v>
      </c>
      <c r="F166" s="268">
        <f>VLOOKUP($B166,'3、工程合同'!$D:$AL,5,0)</f>
        <v>42854</v>
      </c>
      <c r="G166" s="269">
        <f>VLOOKUP($B166,'3、工程合同'!$D:$AL,6,0)</f>
        <v>0.001</v>
      </c>
      <c r="H166" s="269" t="str">
        <f>VLOOKUP($B166,'3、工程合同'!$D:$AL,7,0)</f>
        <v>工程报装和供气合同</v>
      </c>
      <c r="I166" s="269" t="str">
        <f>VLOOKUP($B166,'3、工程合同'!$D:$AL,8,0)</f>
        <v>旷远能源股份有限公司</v>
      </c>
      <c r="J166" s="290">
        <f>VLOOKUP($B166,'3、工程合同'!$D:$AL,9,0)</f>
        <v>0</v>
      </c>
      <c r="K166" s="291" t="str">
        <f>VLOOKUP($B166,'3、工程合同'!$D:$AL,10,0)</f>
        <v>电汇</v>
      </c>
      <c r="L166" s="292" t="str">
        <f>VLOOKUP($B166,'3、工程合同'!$D:$AL,11,0)</f>
        <v>-</v>
      </c>
      <c r="M166" s="293">
        <f>VLOOKUP($B166,'3、工程合同'!$D:$AL,12,0)</f>
        <v>0.001</v>
      </c>
      <c r="N166" s="293">
        <f>VLOOKUP($B166,'3、工程合同'!$D:$AL,13,0)</f>
        <v>0.001</v>
      </c>
      <c r="O166" s="290">
        <f>VLOOKUP($B166,'3、工程合同'!$D:$AL,14,0)</f>
        <v>0</v>
      </c>
      <c r="P166" s="293">
        <f>VLOOKUP($B166,'3、工程合同'!$D:$AL,15,0)</f>
        <v>0</v>
      </c>
      <c r="Q166" s="293">
        <f>VLOOKUP($B166,'3、工程合同'!$D:$AL,16,0)</f>
        <v>0</v>
      </c>
      <c r="R166" s="290">
        <f>VLOOKUP($B166,'3、工程合同'!$D:$AL,17,0)</f>
        <v>0</v>
      </c>
      <c r="S166" s="293">
        <f>VLOOKUP($B166,'3、工程合同'!$D:$AL,18,0)</f>
        <v>0</v>
      </c>
      <c r="T166" s="293">
        <f>VLOOKUP($B166,'3、工程合同'!$D:$AL,19,0)</f>
        <v>0</v>
      </c>
      <c r="U166" s="290">
        <f>VLOOKUP($B166,'3、工程合同'!$D:$AL,20,0)</f>
        <v>0</v>
      </c>
      <c r="V166" s="293">
        <f>VLOOKUP($B166,'3、工程合同'!$D:$AL,21,0)</f>
        <v>0</v>
      </c>
      <c r="W166" s="293">
        <f>VLOOKUP($B166,'3、工程合同'!$D:$AL,22,0)</f>
        <v>0</v>
      </c>
      <c r="X166" s="290">
        <f>VLOOKUP($B166,'3、工程合同'!$D:$AL,23,0)</f>
        <v>0</v>
      </c>
      <c r="Y166" s="293">
        <f>VLOOKUP($B166,'3、工程合同'!$D:$AL,24,0)</f>
        <v>0</v>
      </c>
      <c r="Z166" s="293">
        <f>VLOOKUP($B166,'3、工程合同'!$D:$AL,25,0)</f>
        <v>0</v>
      </c>
      <c r="AA166" s="290">
        <f>VLOOKUP($B166,'3、工程合同'!$D:$AL,26,0)</f>
        <v>0</v>
      </c>
      <c r="AB166" s="293">
        <f>VLOOKUP($B166,'3、工程合同'!$D:$AL,27,0)</f>
        <v>0</v>
      </c>
      <c r="AC166" s="293">
        <f>VLOOKUP($B166,'3、工程合同'!$D:$AL,28,0)</f>
        <v>0</v>
      </c>
      <c r="AD166" s="290">
        <f>VLOOKUP($B166,'3、工程合同'!$D:$AL,29,0)</f>
        <v>0</v>
      </c>
      <c r="AE166" s="293">
        <f>VLOOKUP($B166,'3、工程合同'!$D:$AL,30,0)</f>
        <v>0</v>
      </c>
      <c r="AF166" s="293">
        <f>VLOOKUP($B166,'3、工程合同'!$D:$AL,31,0)</f>
        <v>0</v>
      </c>
      <c r="AG166" s="293">
        <f>VLOOKUP($B166,'3、工程合同'!$D:$AL,32,0)</f>
        <v>0</v>
      </c>
      <c r="AH166" s="293">
        <f>VLOOKUP($B166,'3、工程合同'!$D:$AL,33,0)</f>
        <v>0</v>
      </c>
      <c r="AI166" s="312">
        <f>VLOOKUP($B166,'3、工程合同'!$D:$AL,34,0)</f>
        <v>0</v>
      </c>
      <c r="AJ166" s="309">
        <f t="shared" si="46"/>
        <v>0.001</v>
      </c>
      <c r="AK166" s="289">
        <f t="shared" si="47"/>
        <v>0</v>
      </c>
      <c r="AL166" s="310">
        <f t="shared" si="48"/>
        <v>1</v>
      </c>
      <c r="AM166" s="289">
        <f t="shared" si="49"/>
        <v>0.001</v>
      </c>
      <c r="AN166" s="311" t="str">
        <f t="shared" si="50"/>
        <v>数据正确</v>
      </c>
    </row>
    <row r="167" customHeight="1" spans="1:40">
      <c r="A167" s="228" t="str">
        <f t="shared" ref="A167:A200" si="51">IF(AL167=100%,"已完毕","")</f>
        <v/>
      </c>
      <c r="B167" s="261">
        <v>162</v>
      </c>
      <c r="C167" s="266" t="str">
        <f>VLOOKUP($B167,'3、工程合同'!$D:$AL,2,0)</f>
        <v>YRKJ-2017GC-JLHT0001</v>
      </c>
      <c r="D167" s="267" t="str">
        <f>VLOOKUP($B167,'3、工程合同'!$D:$AL,3,0)</f>
        <v>工程合同</v>
      </c>
      <c r="E167" s="267">
        <f>VLOOKUP($B167,'3、工程合同'!$D:$AL,4,0)</f>
        <v>0</v>
      </c>
      <c r="F167" s="268">
        <f>VLOOKUP($B167,'3、工程合同'!$D:$AL,5,0)</f>
        <v>42795</v>
      </c>
      <c r="G167" s="269">
        <f>VLOOKUP($B167,'3、工程合同'!$D:$AL,6,0)</f>
        <v>665000</v>
      </c>
      <c r="H167" s="269" t="str">
        <f>VLOOKUP($B167,'3、工程合同'!$D:$AL,7,0)</f>
        <v>厂前区项目土建工程监理</v>
      </c>
      <c r="I167" s="269" t="str">
        <f>VLOOKUP($B167,'3、工程合同'!$D:$AL,8,0)</f>
        <v>上海协同工程咨询有限公司</v>
      </c>
      <c r="J167" s="290">
        <f>VLOOKUP($B167,'3、工程合同'!$D:$AL,9,0)</f>
        <v>0</v>
      </c>
      <c r="K167" s="291" t="str">
        <f>VLOOKUP($B167,'3、工程合同'!$D:$AL,10,0)</f>
        <v>6个月承兑汇票/电汇下浮3%</v>
      </c>
      <c r="L167" s="292" t="str">
        <f>VLOOKUP($B167,'3、工程合同'!$D:$AL,11,0)</f>
        <v>建筑物基础承台完20%</v>
      </c>
      <c r="M167" s="293">
        <f>VLOOKUP($B167,'3、工程合同'!$D:$AL,12,0)</f>
        <v>106400</v>
      </c>
      <c r="N167" s="293">
        <f>VLOOKUP($B167,'3、工程合同'!$D:$AL,13,0)</f>
        <v>0</v>
      </c>
      <c r="O167" s="290" t="str">
        <f>VLOOKUP($B167,'3、工程合同'!$D:$AL,14,0)</f>
        <v>建筑物主体结构施工完20%</v>
      </c>
      <c r="P167" s="293">
        <f>VLOOKUP($B167,'3、工程合同'!$D:$AL,15,0)</f>
        <v>106400</v>
      </c>
      <c r="Q167" s="293">
        <f>VLOOKUP($B167,'3、工程合同'!$D:$AL,16,0)</f>
        <v>106400</v>
      </c>
      <c r="R167" s="290" t="str">
        <f>VLOOKUP($B167,'3、工程合同'!$D:$AL,17,0)</f>
        <v>建筑物装饰工程施工完20%</v>
      </c>
      <c r="S167" s="293">
        <f>VLOOKUP($B167,'3、工程合同'!$D:$AL,18,0)</f>
        <v>106400</v>
      </c>
      <c r="T167" s="293">
        <f>VLOOKUP($B167,'3、工程合同'!$D:$AL,19,0)</f>
        <v>0</v>
      </c>
      <c r="U167" s="290" t="str">
        <f>VLOOKUP($B167,'3、工程合同'!$D:$AL,20,0)</f>
        <v>公用工程、配套工程及总图工程完20%</v>
      </c>
      <c r="V167" s="293">
        <f>VLOOKUP($B167,'3、工程合同'!$D:$AL,21,0)</f>
        <v>106400</v>
      </c>
      <c r="W167" s="293">
        <f>VLOOKUP($B167,'3、工程合同'!$D:$AL,22,0)</f>
        <v>0</v>
      </c>
      <c r="X167" s="290" t="str">
        <f>VLOOKUP($B167,'3、工程合同'!$D:$AL,23,0)</f>
        <v>建筑物中间交接验收完20%</v>
      </c>
      <c r="Y167" s="293">
        <f>VLOOKUP($B167,'3、工程合同'!$D:$AL,24,0)</f>
        <v>53200</v>
      </c>
      <c r="Z167" s="293">
        <f>VLOOKUP($B167,'3、工程合同'!$D:$AL,25,0)</f>
        <v>0</v>
      </c>
      <c r="AA167" s="290" t="str">
        <f>VLOOKUP($B167,'3、工程合同'!$D:$AL,26,0)</f>
        <v>竣工完成（保函竣工资料完成）</v>
      </c>
      <c r="AB167" s="293">
        <f>VLOOKUP($B167,'3、工程合同'!$D:$AL,27,0)</f>
        <v>53200</v>
      </c>
      <c r="AC167" s="293">
        <f>VLOOKUP($B167,'3、工程合同'!$D:$AL,28,0)</f>
        <v>0</v>
      </c>
      <c r="AD167" s="290" t="str">
        <f>VLOOKUP($B167,'3、工程合同'!$D:$AL,29,0)</f>
        <v>工程竣工验收合格并完成交接手续后支付尾款</v>
      </c>
      <c r="AE167" s="293">
        <f>VLOOKUP($B167,'3、工程合同'!$D:$AL,30,0)</f>
        <v>133000</v>
      </c>
      <c r="AF167" s="293">
        <f>VLOOKUP($B167,'3、工程合同'!$D:$AL,31,0)</f>
        <v>0</v>
      </c>
      <c r="AG167" s="293">
        <f>VLOOKUP($B167,'3、工程合同'!$D:$AL,32,0)</f>
        <v>0</v>
      </c>
      <c r="AH167" s="293">
        <f>VLOOKUP($B167,'3、工程合同'!$D:$AL,33,0)</f>
        <v>0</v>
      </c>
      <c r="AI167" s="312">
        <f>VLOOKUP($B167,'3、工程合同'!$D:$AL,34,0)</f>
        <v>0</v>
      </c>
      <c r="AJ167" s="309">
        <f t="shared" si="46"/>
        <v>106400</v>
      </c>
      <c r="AK167" s="289">
        <f t="shared" si="47"/>
        <v>558600</v>
      </c>
      <c r="AL167" s="310">
        <f t="shared" si="48"/>
        <v>0.16</v>
      </c>
      <c r="AM167" s="289">
        <f t="shared" si="49"/>
        <v>665000</v>
      </c>
      <c r="AN167" s="311" t="str">
        <f t="shared" si="50"/>
        <v>数据正确</v>
      </c>
    </row>
    <row r="168" customHeight="1" spans="1:40">
      <c r="A168" s="228" t="str">
        <f t="shared" si="51"/>
        <v/>
      </c>
      <c r="B168" s="256">
        <v>163</v>
      </c>
      <c r="C168" s="262" t="str">
        <f>VLOOKUP($B168,'1、EPC合同'!$D:$AK,2,0)</f>
        <v>YRKJEPC-170005</v>
      </c>
      <c r="D168" s="263" t="str">
        <f>VLOOKUP($B168,'1、EPC合同'!$D:$AK,3,0)</f>
        <v>EPC合同</v>
      </c>
      <c r="E168" s="263">
        <f>VLOOKUP($B168,'1、EPC合同'!$D:$AK,4,0)</f>
        <v>2017010039</v>
      </c>
      <c r="F168" s="264">
        <f>VLOOKUP($B168,'1、EPC合同'!$D:$AK,5,0)</f>
        <v>42849</v>
      </c>
      <c r="G168" s="265">
        <f>VLOOKUP($B168,'1、EPC合同'!$D:$AK,6,0)</f>
        <v>35900000</v>
      </c>
      <c r="H168" s="265" t="str">
        <f>VLOOKUP($B168,'1、EPC合同'!$D:$AK,7,0)</f>
        <v>甲醇制氢装置EPC</v>
      </c>
      <c r="I168" s="265" t="str">
        <f>VLOOKUP($B168,'1、EPC合同'!$D:$AK,8,0)</f>
        <v>长岭炼化岳阳工程设计有限公司/四川同盛科技有限责任公司/中国化学工程第四建设有限公司</v>
      </c>
      <c r="J168" s="286" t="str">
        <f>VLOOKUP($B168,'1、EPC合同'!$D:$AK,9,0)</f>
        <v>甲醇制氢装置</v>
      </c>
      <c r="K168" s="287" t="str">
        <f>VLOOKUP($B168,'1、EPC合同'!$D:$AK,10,0)</f>
        <v>6个月承兑汇汇票</v>
      </c>
      <c r="L168" s="288" t="str">
        <f>VLOOKUP($B168,'1、EPC合同'!$D:$AK,11,0)</f>
        <v>-</v>
      </c>
      <c r="M168" s="289">
        <f>VLOOKUP($B168,'1、EPC合同'!$D:$AK,12,0)</f>
        <v>2954746.3</v>
      </c>
      <c r="N168" s="289">
        <f>VLOOKUP($B168,'1、EPC合同'!$D:$AK,13,0)</f>
        <v>0</v>
      </c>
      <c r="O168" s="286" t="str">
        <f>VLOOKUP($B168,'1、EPC合同'!$D:$AK,14,0)</f>
        <v>-</v>
      </c>
      <c r="P168" s="289">
        <f>VLOOKUP($B168,'1、EPC合同'!$D:$AK,15,0)</f>
        <v>8864238.9</v>
      </c>
      <c r="Q168" s="289">
        <f>VLOOKUP($B168,'1、EPC合同'!$D:$AK,16,0)</f>
        <v>0</v>
      </c>
      <c r="R168" s="286" t="str">
        <f>VLOOKUP($B168,'1、EPC合同'!$D:$AK,17,0)</f>
        <v>-</v>
      </c>
      <c r="S168" s="289">
        <f>VLOOKUP($B168,'1、EPC合同'!$D:$AK,18,0)</f>
        <v>11165267.95</v>
      </c>
      <c r="T168" s="289">
        <f>VLOOKUP($B168,'1、EPC合同'!$D:$AK,19,0)</f>
        <v>0</v>
      </c>
      <c r="U168" s="286" t="str">
        <f>VLOOKUP($B168,'1、EPC合同'!$D:$AK,20,0)</f>
        <v>-</v>
      </c>
      <c r="V168" s="289">
        <f>VLOOKUP($B168,'1、EPC合同'!$D:$AK,21,0)</f>
        <v>2145746.85</v>
      </c>
      <c r="W168" s="289">
        <f>VLOOKUP($B168,'1、EPC合同'!$D:$AK,22,0)</f>
        <v>0</v>
      </c>
      <c r="X168" s="286" t="str">
        <f>VLOOKUP($B168,'1、EPC合同'!$D:$AK,23,0)</f>
        <v>-</v>
      </c>
      <c r="Y168" s="289">
        <f>VLOOKUP($B168,'1、EPC合同'!$D:$AK,24,0)</f>
        <v>3590000</v>
      </c>
      <c r="Z168" s="289">
        <f>VLOOKUP($B168,'1、EPC合同'!$D:$AK,25,0)</f>
        <v>0</v>
      </c>
      <c r="AA168" s="286" t="str">
        <f>VLOOKUP($B168,'1、EPC合同'!$D:$AK,26,0)</f>
        <v>-</v>
      </c>
      <c r="AB168" s="289">
        <f>VLOOKUP($B168,'1、EPC合同'!$D:$AK,27,0)</f>
        <v>3590000</v>
      </c>
      <c r="AC168" s="289">
        <f>VLOOKUP($B168,'1、EPC合同'!$D:$AK,28,0)</f>
        <v>0</v>
      </c>
      <c r="AD168" s="286" t="str">
        <f>VLOOKUP($B168,'1、EPC合同'!$D:$AK,29,0)</f>
        <v>-</v>
      </c>
      <c r="AE168" s="289">
        <f>VLOOKUP($B168,'1、EPC合同'!$D:$AK,30,0)</f>
        <v>1795000</v>
      </c>
      <c r="AF168" s="289">
        <f>VLOOKUP($B168,'1、EPC合同'!$D:$AK,31,0)</f>
        <v>0</v>
      </c>
      <c r="AG168" s="289" t="str">
        <f>VLOOKUP($B168,'1、EPC合同'!$D:$AK,32,0)</f>
        <v>-</v>
      </c>
      <c r="AH168" s="289">
        <f>VLOOKUP($B168,'1、EPC合同'!$D:$AK,33,0)</f>
        <v>1795000</v>
      </c>
      <c r="AI168" s="308">
        <f>VLOOKUP($B168,'1、EPC合同'!$D:$AK,34,0)</f>
        <v>0</v>
      </c>
      <c r="AJ168" s="309">
        <f t="shared" si="46"/>
        <v>0</v>
      </c>
      <c r="AK168" s="289">
        <f t="shared" si="47"/>
        <v>35900000</v>
      </c>
      <c r="AL168" s="310">
        <f t="shared" si="48"/>
        <v>0</v>
      </c>
      <c r="AM168" s="289">
        <f t="shared" si="49"/>
        <v>35900000</v>
      </c>
      <c r="AN168" s="311" t="str">
        <f t="shared" si="50"/>
        <v>数据正确</v>
      </c>
    </row>
    <row r="169" customHeight="1" spans="1:40">
      <c r="A169" s="228" t="str">
        <f t="shared" si="51"/>
        <v/>
      </c>
      <c r="B169" s="261">
        <v>164</v>
      </c>
      <c r="C169" s="262" t="str">
        <f>VLOOKUP($B169,'2、设备合同'!$D:$AK,2,0)</f>
        <v>YRKJEQ-170061</v>
      </c>
      <c r="D169" s="263" t="str">
        <f>VLOOKUP($B169,'2、设备合同'!$D:$AK,3,0)</f>
        <v>设备合同</v>
      </c>
      <c r="E169" s="263">
        <f>VLOOKUP($B169,'2、设备合同'!$D:$AK,4,0)</f>
        <v>2017060050</v>
      </c>
      <c r="F169" s="264">
        <f>VLOOKUP($B169,'2、设备合同'!$D:$AK,5,0)</f>
        <v>42944</v>
      </c>
      <c r="G169" s="265">
        <f>VLOOKUP($B169,'2、设备合同'!$D:$AK,6,0)</f>
        <v>7930000</v>
      </c>
      <c r="H169" s="265" t="str">
        <f>VLOOKUP($B169,'2、设备合同'!$D:$AK,7,0)</f>
        <v>4台水合反应器 环己醇第一第二反应器</v>
      </c>
      <c r="I169" s="265" t="str">
        <f>VLOOKUP($B169,'2、设备合同'!$D:$AK,8,0)</f>
        <v>龙杰机械装备（太仓）有限公司</v>
      </c>
      <c r="J169" s="286" t="str">
        <f>VLOOKUP($B169,'2、设备合同'!$D:$AK,9,0)</f>
        <v>环己酮装置</v>
      </c>
      <c r="K169" s="287" t="str">
        <f>VLOOKUP($B169,'2、设备合同'!$D:$AK,10,0)</f>
        <v>6个月承兑汇票/电汇下浮3%</v>
      </c>
      <c r="L169" s="288" t="str">
        <f>VLOOKUP($B169,'2、设备合同'!$D:$AK,11,0)</f>
        <v>甲方收到乙方合同的20%预付款保函以及本合同20%的财务收据后15个工作日，支付20%货款。</v>
      </c>
      <c r="M169" s="289">
        <f>VLOOKUP($B169,'2、设备合同'!$D:$AK,12,0)</f>
        <v>1586000</v>
      </c>
      <c r="N169" s="289">
        <f>VLOOKUP($B169,'2、设备合同'!$D:$AK,13,0)</f>
        <v>1586000</v>
      </c>
      <c r="O169" s="286" t="str">
        <f>VLOOKUP($B169,'2、设备合同'!$D:$AK,14,0)</f>
        <v>甲方到乙方现场确认无误后，收到17%等额专票，15个工作日内支付40%发货款</v>
      </c>
      <c r="P169" s="289">
        <f>VLOOKUP($B169,'2、设备合同'!$D:$AK,15,0)</f>
        <v>3172000</v>
      </c>
      <c r="Q169" s="289">
        <f>VLOOKUP($B169,'2、设备合同'!$D:$AK,16,0)</f>
        <v>0</v>
      </c>
      <c r="R169" s="286" t="str">
        <f>VLOOKUP($B169,'2、设备合同'!$D:$AK,17,0)</f>
        <v>甲方收到核定的调试合格报告及全额的专票后15个工作日，支付30%调试款</v>
      </c>
      <c r="S169" s="289">
        <f>VLOOKUP($B169,'2、设备合同'!$D:$AK,18,0)</f>
        <v>2379000</v>
      </c>
      <c r="T169" s="289">
        <f>VLOOKUP($B169,'2、设备合同'!$D:$AK,19,0)</f>
        <v>0</v>
      </c>
      <c r="U169" s="286" t="str">
        <f>VLOOKUP($B169,'2、设备合同'!$D:$AK,20,0)</f>
        <v>本合同的10%为质量保函，验收合格后18个月或货到现场24个月后，甲方退还乙方</v>
      </c>
      <c r="V169" s="289">
        <f>VLOOKUP($B169,'2、设备合同'!$D:$AK,21,0)</f>
        <v>793000</v>
      </c>
      <c r="W169" s="289">
        <f>VLOOKUP($B169,'2、设备合同'!$D:$AK,22,0)</f>
        <v>0</v>
      </c>
      <c r="X169" s="286">
        <f>VLOOKUP($B169,'2、设备合同'!$D:$AK,23,0)</f>
        <v>0</v>
      </c>
      <c r="Y169" s="289">
        <f>VLOOKUP($B169,'2、设备合同'!$D:$AK,24,0)</f>
        <v>0</v>
      </c>
      <c r="Z169" s="289">
        <f>VLOOKUP($B169,'2、设备合同'!$D:$AK,25,0)</f>
        <v>0</v>
      </c>
      <c r="AA169" s="286">
        <f>VLOOKUP($B169,'2、设备合同'!$D:$AK,26,0)</f>
        <v>0</v>
      </c>
      <c r="AB169" s="289">
        <f>VLOOKUP($B169,'2、设备合同'!$D:$AK,27,0)</f>
        <v>0</v>
      </c>
      <c r="AC169" s="289">
        <f>VLOOKUP($B169,'2、设备合同'!$D:$AK,28,0)</f>
        <v>0</v>
      </c>
      <c r="AD169" s="286">
        <f>VLOOKUP($B169,'2、设备合同'!$D:$AK,29,0)</f>
        <v>0</v>
      </c>
      <c r="AE169" s="289">
        <f>VLOOKUP($B169,'2、设备合同'!$D:$AK,30,0)</f>
        <v>0</v>
      </c>
      <c r="AF169" s="289">
        <f>VLOOKUP($B169,'2、设备合同'!$D:$AK,31,0)</f>
        <v>0</v>
      </c>
      <c r="AG169" s="289">
        <f>VLOOKUP($B169,'2、设备合同'!$D:$AK,32,0)</f>
        <v>0</v>
      </c>
      <c r="AH169" s="289">
        <f>VLOOKUP($B169,'2、设备合同'!$D:$AK,33,0)</f>
        <v>0</v>
      </c>
      <c r="AI169" s="308">
        <f>VLOOKUP($B169,'2、设备合同'!$D:$AK,34,0)</f>
        <v>0</v>
      </c>
      <c r="AJ169" s="309">
        <f t="shared" si="46"/>
        <v>1586000</v>
      </c>
      <c r="AK169" s="289">
        <f t="shared" si="47"/>
        <v>6344000</v>
      </c>
      <c r="AL169" s="310">
        <f t="shared" si="48"/>
        <v>0.2</v>
      </c>
      <c r="AM169" s="289">
        <f t="shared" si="49"/>
        <v>7930000</v>
      </c>
      <c r="AN169" s="311" t="str">
        <f t="shared" si="50"/>
        <v>数据正确</v>
      </c>
    </row>
    <row r="170" customHeight="1" spans="1:40">
      <c r="A170" s="228" t="str">
        <f t="shared" si="51"/>
        <v/>
      </c>
      <c r="B170" s="261">
        <v>165</v>
      </c>
      <c r="C170" s="262" t="str">
        <f>VLOOKUP($B170,'2、设备合同'!$D:$AK,2,0)</f>
        <v>YRKJEQ-170060</v>
      </c>
      <c r="D170" s="263" t="str">
        <f>VLOOKUP($B170,'2、设备合同'!$D:$AK,3,0)</f>
        <v>设备合同</v>
      </c>
      <c r="E170" s="263">
        <f>VLOOKUP($B170,'2、设备合同'!$D:$AK,4,0)</f>
        <v>2017060049</v>
      </c>
      <c r="F170" s="264">
        <f>VLOOKUP($B170,'2、设备合同'!$D:$AK,5,0)</f>
        <v>42944</v>
      </c>
      <c r="G170" s="265">
        <f>VLOOKUP($B170,'2、设备合同'!$D:$AK,6,0)</f>
        <v>12350000</v>
      </c>
      <c r="H170" s="265" t="str">
        <f>VLOOKUP($B170,'2、设备合同'!$D:$AK,7,0)</f>
        <v>18台非标容器（蒸发塔、再沸塔）</v>
      </c>
      <c r="I170" s="265" t="str">
        <f>VLOOKUP($B170,'2、设备合同'!$D:$AK,8,0)</f>
        <v>龙杰机械装备（太仓）有限公司</v>
      </c>
      <c r="J170" s="286" t="str">
        <f>VLOOKUP($B170,'2、设备合同'!$D:$AK,9,0)</f>
        <v>己内酰胺装置</v>
      </c>
      <c r="K170" s="287" t="str">
        <f>VLOOKUP($B170,'2、设备合同'!$D:$AK,10,0)</f>
        <v>6个月承兑汇票/电汇金额1200万元</v>
      </c>
      <c r="L170" s="288" t="str">
        <f>VLOOKUP($B170,'2、设备合同'!$D:$AK,11,0)</f>
        <v>甲方收到乙方合同的20%预付款保函以及本合同20%的财务收据后15个工作日，支付20%货款。</v>
      </c>
      <c r="M170" s="289">
        <f>VLOOKUP($B170,'2、设备合同'!$D:$AK,12,0)</f>
        <v>2470000</v>
      </c>
      <c r="N170" s="289">
        <f>VLOOKUP($B170,'2、设备合同'!$D:$AK,13,0)</f>
        <v>2470000</v>
      </c>
      <c r="O170" s="286" t="str">
        <f>VLOOKUP($B170,'2、设备合同'!$D:$AK,14,0)</f>
        <v>甲方到乙方现场确认无误后，收到17%等额专票，15个工作日内支付40%发货款</v>
      </c>
      <c r="P170" s="289">
        <f>VLOOKUP($B170,'2、设备合同'!$D:$AK,15,0)</f>
        <v>4940000</v>
      </c>
      <c r="Q170" s="289">
        <f>VLOOKUP($B170,'2、设备合同'!$D:$AK,16,0)</f>
        <v>0</v>
      </c>
      <c r="R170" s="286" t="str">
        <f>VLOOKUP($B170,'2、设备合同'!$D:$AK,17,0)</f>
        <v>甲方收到核定的调试合格报告及全额的专票后15个工作日，支付30%调试款</v>
      </c>
      <c r="S170" s="289">
        <f>VLOOKUP($B170,'2、设备合同'!$D:$AK,18,0)</f>
        <v>3705000</v>
      </c>
      <c r="T170" s="289">
        <f>VLOOKUP($B170,'2、设备合同'!$D:$AK,19,0)</f>
        <v>0</v>
      </c>
      <c r="U170" s="286" t="str">
        <f>VLOOKUP($B170,'2、设备合同'!$D:$AK,20,0)</f>
        <v>本合同的10%为质量保函，验收合格后18个月或货到现场24个月后，甲方退还乙方</v>
      </c>
      <c r="V170" s="289">
        <f>VLOOKUP($B170,'2、设备合同'!$D:$AK,21,0)</f>
        <v>1235000</v>
      </c>
      <c r="W170" s="289">
        <f>VLOOKUP($B170,'2、设备合同'!$D:$AK,22,0)</f>
        <v>0</v>
      </c>
      <c r="X170" s="286">
        <f>VLOOKUP($B170,'2、设备合同'!$D:$AK,23,0)</f>
        <v>0</v>
      </c>
      <c r="Y170" s="289">
        <f>VLOOKUP($B170,'2、设备合同'!$D:$AK,24,0)</f>
        <v>0</v>
      </c>
      <c r="Z170" s="289">
        <f>VLOOKUP($B170,'2、设备合同'!$D:$AK,25,0)</f>
        <v>0</v>
      </c>
      <c r="AA170" s="286">
        <f>VLOOKUP($B170,'2、设备合同'!$D:$AK,26,0)</f>
        <v>0</v>
      </c>
      <c r="AB170" s="289">
        <f>VLOOKUP($B170,'2、设备合同'!$D:$AK,27,0)</f>
        <v>0</v>
      </c>
      <c r="AC170" s="289">
        <f>VLOOKUP($B170,'2、设备合同'!$D:$AK,28,0)</f>
        <v>0</v>
      </c>
      <c r="AD170" s="286">
        <f>VLOOKUP($B170,'2、设备合同'!$D:$AK,29,0)</f>
        <v>0</v>
      </c>
      <c r="AE170" s="289">
        <f>VLOOKUP($B170,'2、设备合同'!$D:$AK,30,0)</f>
        <v>0</v>
      </c>
      <c r="AF170" s="289">
        <f>VLOOKUP($B170,'2、设备合同'!$D:$AK,31,0)</f>
        <v>0</v>
      </c>
      <c r="AG170" s="289">
        <f>VLOOKUP($B170,'2、设备合同'!$D:$AK,32,0)</f>
        <v>0</v>
      </c>
      <c r="AH170" s="289">
        <f>VLOOKUP($B170,'2、设备合同'!$D:$AK,33,0)</f>
        <v>0</v>
      </c>
      <c r="AI170" s="308">
        <f>VLOOKUP($B170,'2、设备合同'!$D:$AK,34,0)</f>
        <v>0</v>
      </c>
      <c r="AJ170" s="309">
        <f t="shared" si="46"/>
        <v>2470000</v>
      </c>
      <c r="AK170" s="289">
        <f t="shared" si="47"/>
        <v>9880000</v>
      </c>
      <c r="AL170" s="310">
        <f t="shared" si="48"/>
        <v>0.2</v>
      </c>
      <c r="AM170" s="289">
        <f t="shared" si="49"/>
        <v>12350000</v>
      </c>
      <c r="AN170" s="311" t="str">
        <f t="shared" si="50"/>
        <v>数据正确</v>
      </c>
    </row>
    <row r="171" customHeight="1" spans="1:40">
      <c r="A171" s="228" t="str">
        <f t="shared" si="51"/>
        <v/>
      </c>
      <c r="B171" s="256">
        <v>166</v>
      </c>
      <c r="C171" s="266" t="str">
        <f>VLOOKUP($B171,'3、工程合同'!$D:$AL,2,0)</f>
        <v>YRKJGC-160007</v>
      </c>
      <c r="D171" s="267" t="str">
        <f>VLOOKUP($B171,'3、工程合同'!$D:$AL,3,0)</f>
        <v>工程合同</v>
      </c>
      <c r="E171" s="267">
        <f>VLOOKUP($B171,'3、工程合同'!$D:$AL,4,0)</f>
        <v>0</v>
      </c>
      <c r="F171" s="268">
        <f>VLOOKUP($B171,'3、工程合同'!$D:$AL,5,0)</f>
        <v>42679</v>
      </c>
      <c r="G171" s="269">
        <f>VLOOKUP($B171,'3、工程合同'!$D:$AL,6,0)</f>
        <v>157705</v>
      </c>
      <c r="H171" s="269" t="str">
        <f>VLOOKUP($B171,'3、工程合同'!$D:$AL,7,0)</f>
        <v>三修车间智能化系统工程承揽</v>
      </c>
      <c r="I171" s="269" t="str">
        <f>VLOOKUP($B171,'3、工程合同'!$D:$AL,8,0)</f>
        <v>莆田市广汇电脑有限公司</v>
      </c>
      <c r="J171" s="290">
        <f>VLOOKUP($B171,'3、工程合同'!$D:$AL,9,0)</f>
        <v>0</v>
      </c>
      <c r="K171" s="291" t="str">
        <f>VLOOKUP($B171,'3、工程合同'!$D:$AL,10,0)</f>
        <v>6个月承兑汇票/电汇按中国银行贷款利率下浮</v>
      </c>
      <c r="L171" s="292" t="str">
        <f>VLOOKUP($B171,'3、工程合同'!$D:$AL,11,0)</f>
        <v>甲方验收合格后，收到100%的增值税发票后支付合同80%的价款</v>
      </c>
      <c r="M171" s="293">
        <f>VLOOKUP($B171,'3、工程合同'!$D:$AL,12,0)</f>
        <v>126164</v>
      </c>
      <c r="N171" s="293">
        <f>VLOOKUP($B171,'3、工程合同'!$D:$AL,13,0)</f>
        <v>126164</v>
      </c>
      <c r="O171" s="290" t="str">
        <f>VLOOKUP($B171,'3、工程合同'!$D:$AL,14,0)</f>
        <v>甲方收到竣工图纸，办理交接手续30日内支付10%</v>
      </c>
      <c r="P171" s="293">
        <f>VLOOKUP($B171,'3、工程合同'!$D:$AL,15,0)</f>
        <v>15770.5</v>
      </c>
      <c r="Q171" s="293">
        <f>VLOOKUP($B171,'3、工程合同'!$D:$AL,16,0)</f>
        <v>15770.5</v>
      </c>
      <c r="R171" s="290" t="str">
        <f>VLOOKUP($B171,'3、工程合同'!$D:$AL,17,0)</f>
        <v>质量保证金10%，验收合格1年后退还</v>
      </c>
      <c r="S171" s="293">
        <f>VLOOKUP($B171,'3、工程合同'!$D:$AL,18,0)</f>
        <v>15770.5</v>
      </c>
      <c r="T171" s="293">
        <f>VLOOKUP($B171,'3、工程合同'!$D:$AL,19,0)</f>
        <v>0</v>
      </c>
      <c r="U171" s="290">
        <f>VLOOKUP($B171,'3、工程合同'!$D:$AL,20,0)</f>
        <v>0</v>
      </c>
      <c r="V171" s="293">
        <f>VLOOKUP($B171,'3、工程合同'!$D:$AL,21,0)</f>
        <v>0</v>
      </c>
      <c r="W171" s="293">
        <f>VLOOKUP($B171,'3、工程合同'!$D:$AL,22,0)</f>
        <v>0</v>
      </c>
      <c r="X171" s="290">
        <f>VLOOKUP($B171,'3、工程合同'!$D:$AL,23,0)</f>
        <v>0</v>
      </c>
      <c r="Y171" s="293">
        <f>VLOOKUP($B171,'3、工程合同'!$D:$AL,24,0)</f>
        <v>0</v>
      </c>
      <c r="Z171" s="293">
        <f>VLOOKUP($B171,'3、工程合同'!$D:$AL,25,0)</f>
        <v>0</v>
      </c>
      <c r="AA171" s="290">
        <f>VLOOKUP($B171,'3、工程合同'!$D:$AL,26,0)</f>
        <v>0</v>
      </c>
      <c r="AB171" s="293">
        <f>VLOOKUP($B171,'3、工程合同'!$D:$AL,27,0)</f>
        <v>0</v>
      </c>
      <c r="AC171" s="293">
        <f>VLOOKUP($B171,'3、工程合同'!$D:$AL,28,0)</f>
        <v>0</v>
      </c>
      <c r="AD171" s="290">
        <f>VLOOKUP($B171,'3、工程合同'!$D:$AL,29,0)</f>
        <v>0</v>
      </c>
      <c r="AE171" s="293">
        <f>VLOOKUP($B171,'3、工程合同'!$D:$AL,30,0)</f>
        <v>0</v>
      </c>
      <c r="AF171" s="293">
        <f>VLOOKUP($B171,'3、工程合同'!$D:$AL,31,0)</f>
        <v>0</v>
      </c>
      <c r="AG171" s="293">
        <f>VLOOKUP($B171,'3、工程合同'!$D:$AL,32,0)</f>
        <v>0</v>
      </c>
      <c r="AH171" s="293">
        <f>VLOOKUP($B171,'3、工程合同'!$D:$AL,33,0)</f>
        <v>0</v>
      </c>
      <c r="AI171" s="312">
        <f>VLOOKUP($B171,'3、工程合同'!$D:$AL,34,0)</f>
        <v>0</v>
      </c>
      <c r="AJ171" s="309">
        <f t="shared" si="46"/>
        <v>141934.5</v>
      </c>
      <c r="AK171" s="289">
        <f t="shared" si="47"/>
        <v>15770.5</v>
      </c>
      <c r="AL171" s="310">
        <f t="shared" si="48"/>
        <v>0.9</v>
      </c>
      <c r="AM171" s="289">
        <f t="shared" si="49"/>
        <v>157705</v>
      </c>
      <c r="AN171" s="311" t="str">
        <f t="shared" si="50"/>
        <v>数据正确</v>
      </c>
    </row>
    <row r="172" s="228" customFormat="1" customHeight="1" spans="1:40">
      <c r="A172" s="228" t="str">
        <f t="shared" si="51"/>
        <v/>
      </c>
      <c r="B172" s="261">
        <v>167</v>
      </c>
      <c r="C172" s="262" t="str">
        <f>VLOOKUP($B172,'2、设备合同'!$D:$AK,2,0)</f>
        <v>YRKJEQ-170020</v>
      </c>
      <c r="D172" s="263" t="str">
        <f>VLOOKUP($B172,'2、设备合同'!$D:$AK,3,0)</f>
        <v>设备合同</v>
      </c>
      <c r="E172" s="263">
        <f>VLOOKUP($B172,'2、设备合同'!$D:$AK,4,0)</f>
        <v>2017040024</v>
      </c>
      <c r="F172" s="264">
        <f>VLOOKUP($B172,'2、设备合同'!$D:$AK,5,0)</f>
        <v>42870</v>
      </c>
      <c r="G172" s="265">
        <f>VLOOKUP($B172,'2、设备合同'!$D:$AK,6,0)</f>
        <v>110000</v>
      </c>
      <c r="H172" s="265" t="str">
        <f>VLOOKUP($B172,'2、设备合同'!$D:$AK,7,0)</f>
        <v>1台不可拆螺旋板式换热器</v>
      </c>
      <c r="I172" s="265" t="str">
        <f>VLOOKUP($B172,'2、设备合同'!$D:$AK,8,0)</f>
        <v>兰州兰洛炼化高新装备股份有限公司</v>
      </c>
      <c r="J172" s="286">
        <f>VLOOKUP($B172,'2、设备合同'!$D:$AK,9,0)</f>
        <v>0</v>
      </c>
      <c r="K172" s="287" t="str">
        <f>VLOOKUP($B172,'2、设备合同'!$D:$AK,10,0)</f>
        <v>6个月承兑汇票/电汇不下浮</v>
      </c>
      <c r="L172" s="288" t="str">
        <f>VLOOKUP($B172,'2、设备合同'!$D:$AK,11,0)</f>
        <v>甲方收到乙方100%专票，初步到货验收合格后15个工作日，支付70%货款（乙方支付的1万元保证金退回）</v>
      </c>
      <c r="M172" s="289">
        <f>VLOOKUP($B172,'2、设备合同'!$D:$AK,12,0)</f>
        <v>77000</v>
      </c>
      <c r="N172" s="289">
        <f>VLOOKUP($B172,'2、设备合同'!$D:$AK,13,0)</f>
        <v>0</v>
      </c>
      <c r="O172" s="286" t="str">
        <f>VLOOKUP($B172,'2、设备合同'!$D:$AK,14,0)</f>
        <v>甲方在开车验收合格后支付20%验收合格款</v>
      </c>
      <c r="P172" s="289">
        <f>VLOOKUP($B172,'2、设备合同'!$D:$AK,15,0)</f>
        <v>22000</v>
      </c>
      <c r="Q172" s="289">
        <f>VLOOKUP($B172,'2、设备合同'!$D:$AK,16,0)</f>
        <v>0</v>
      </c>
      <c r="R172" s="286" t="str">
        <f>VLOOKUP($B172,'2、设备合同'!$D:$AK,17,0)</f>
        <v>质量保证金10%，验收合格12个月或到货现场18个月支付</v>
      </c>
      <c r="S172" s="289">
        <f>VLOOKUP($B172,'2、设备合同'!$D:$AK,18,0)</f>
        <v>11000</v>
      </c>
      <c r="T172" s="289">
        <f>VLOOKUP($B172,'2、设备合同'!$D:$AK,19,0)</f>
        <v>0</v>
      </c>
      <c r="U172" s="286">
        <f>VLOOKUP($B172,'2、设备合同'!$D:$AK,20,0)</f>
        <v>0</v>
      </c>
      <c r="V172" s="289">
        <f>VLOOKUP($B172,'2、设备合同'!$D:$AK,21,0)</f>
        <v>0</v>
      </c>
      <c r="W172" s="289">
        <f>VLOOKUP($B172,'2、设备合同'!$D:$AK,22,0)</f>
        <v>0</v>
      </c>
      <c r="X172" s="286">
        <f>VLOOKUP($B172,'2、设备合同'!$D:$AK,23,0)</f>
        <v>0</v>
      </c>
      <c r="Y172" s="289">
        <f>VLOOKUP($B172,'2、设备合同'!$D:$AK,24,0)</f>
        <v>0</v>
      </c>
      <c r="Z172" s="289">
        <f>VLOOKUP($B172,'2、设备合同'!$D:$AK,25,0)</f>
        <v>0</v>
      </c>
      <c r="AA172" s="286">
        <f>VLOOKUP($B172,'2、设备合同'!$D:$AK,26,0)</f>
        <v>0</v>
      </c>
      <c r="AB172" s="289">
        <f>VLOOKUP($B172,'2、设备合同'!$D:$AK,27,0)</f>
        <v>0</v>
      </c>
      <c r="AC172" s="289">
        <f>VLOOKUP($B172,'2、设备合同'!$D:$AK,28,0)</f>
        <v>0</v>
      </c>
      <c r="AD172" s="286">
        <f>VLOOKUP($B172,'2、设备合同'!$D:$AK,29,0)</f>
        <v>0</v>
      </c>
      <c r="AE172" s="289">
        <f>VLOOKUP($B172,'2、设备合同'!$D:$AK,30,0)</f>
        <v>0</v>
      </c>
      <c r="AF172" s="289">
        <f>VLOOKUP($B172,'2、设备合同'!$D:$AK,31,0)</f>
        <v>0</v>
      </c>
      <c r="AG172" s="289">
        <f>VLOOKUP($B172,'2、设备合同'!$D:$AK,32,0)</f>
        <v>0</v>
      </c>
      <c r="AH172" s="289">
        <f>VLOOKUP($B172,'2、设备合同'!$D:$AK,33,0)</f>
        <v>0</v>
      </c>
      <c r="AI172" s="308">
        <f>VLOOKUP($B172,'2、设备合同'!$D:$AK,34,0)</f>
        <v>0</v>
      </c>
      <c r="AJ172" s="309">
        <f t="shared" si="46"/>
        <v>0</v>
      </c>
      <c r="AK172" s="289">
        <f t="shared" si="47"/>
        <v>110000</v>
      </c>
      <c r="AL172" s="310">
        <f t="shared" si="48"/>
        <v>0</v>
      </c>
      <c r="AM172" s="289">
        <f t="shared" si="49"/>
        <v>110000</v>
      </c>
      <c r="AN172" s="311" t="str">
        <f t="shared" si="50"/>
        <v>数据正确</v>
      </c>
    </row>
    <row r="173" customHeight="1" spans="1:40">
      <c r="A173" s="228" t="str">
        <f t="shared" si="51"/>
        <v/>
      </c>
      <c r="B173" s="261">
        <v>168</v>
      </c>
      <c r="C173" s="262" t="str">
        <f>VLOOKUP($B173,'2、设备合同'!$D:$AK,2,0)</f>
        <v>YRKJEQ-170039</v>
      </c>
      <c r="D173" s="263" t="str">
        <f>VLOOKUP($B173,'2、设备合同'!$D:$AK,3,0)</f>
        <v>设备合同</v>
      </c>
      <c r="E173" s="263">
        <f>VLOOKUP($B173,'2、设备合同'!$D:$AK,4,0)</f>
        <v>2017050048</v>
      </c>
      <c r="F173" s="264">
        <f>VLOOKUP($B173,'2、设备合同'!$D:$AK,5,0)</f>
        <v>42913</v>
      </c>
      <c r="G173" s="265">
        <f>VLOOKUP($B173,'2、设备合同'!$D:$AK,6,0)</f>
        <v>3650000</v>
      </c>
      <c r="H173" s="265" t="str">
        <f>VLOOKUP($B173,'2、设备合同'!$D:$AK,7,0)</f>
        <v>93台离心泵</v>
      </c>
      <c r="I173" s="265" t="str">
        <f>VLOOKUP($B173,'2、设备合同'!$D:$AK,8,0)</f>
        <v>昆明嘉和科技股份有限公司</v>
      </c>
      <c r="J173" s="286">
        <f>VLOOKUP($B173,'2、设备合同'!$D:$AK,9,0)</f>
        <v>0</v>
      </c>
      <c r="K173" s="287" t="str">
        <f>VLOOKUP($B173,'2、设备合同'!$D:$AK,10,0)</f>
        <v>6个月承兑汇票/电汇按358万元算</v>
      </c>
      <c r="L173" s="288" t="str">
        <f>VLOOKUP($B173,'2、设备合同'!$D:$AK,11,0)</f>
        <v>甲方接到货物后，收到乙方提供的20%预付款保函，并收到等额的专票后支付20%货款。乙方提供10%履约保函</v>
      </c>
      <c r="M173" s="289">
        <f>VLOOKUP($B173,'2、设备合同'!$D:$AK,12,0)</f>
        <v>730000</v>
      </c>
      <c r="N173" s="289">
        <f>VLOOKUP($B173,'2、设备合同'!$D:$AK,13,0)</f>
        <v>0</v>
      </c>
      <c r="O173" s="286" t="str">
        <f>VLOOKUP($B173,'2、设备合同'!$D:$AK,14,0)</f>
        <v>甲方到乙方现场确认无误后，收到17%等额专票，15个工作日内支付40%发货款</v>
      </c>
      <c r="P173" s="289">
        <f>VLOOKUP($B173,'2、设备合同'!$D:$AK,15,0)</f>
        <v>1460000</v>
      </c>
      <c r="Q173" s="289">
        <f>VLOOKUP($B173,'2、设备合同'!$D:$AK,16,0)</f>
        <v>0</v>
      </c>
      <c r="R173" s="286" t="str">
        <f>VLOOKUP($B173,'2、设备合同'!$D:$AK,17,0)</f>
        <v>甲方收到核定的调试合格报告及全额的专票后15个工作日，支付30%调试款</v>
      </c>
      <c r="S173" s="289">
        <f>VLOOKUP($B173,'2、设备合同'!$D:$AK,18,0)</f>
        <v>1095000</v>
      </c>
      <c r="T173" s="289">
        <f>VLOOKUP($B173,'2、设备合同'!$D:$AK,19,0)</f>
        <v>0</v>
      </c>
      <c r="U173" s="286" t="str">
        <f>VLOOKUP($B173,'2、设备合同'!$D:$AK,20,0)</f>
        <v>本合同的10%为质量保函，验收合格后18个月或货到现场24个月后，甲方退还乙方</v>
      </c>
      <c r="V173" s="289">
        <f>VLOOKUP($B173,'2、设备合同'!$D:$AK,21,0)</f>
        <v>365000</v>
      </c>
      <c r="W173" s="289">
        <f>VLOOKUP($B173,'2、设备合同'!$D:$AK,22,0)</f>
        <v>0</v>
      </c>
      <c r="X173" s="286">
        <f>VLOOKUP($B173,'2、设备合同'!$D:$AK,23,0)</f>
        <v>0</v>
      </c>
      <c r="Y173" s="289">
        <f>VLOOKUP($B173,'2、设备合同'!$D:$AK,24,0)</f>
        <v>0</v>
      </c>
      <c r="Z173" s="289">
        <f>VLOOKUP($B173,'2、设备合同'!$D:$AK,25,0)</f>
        <v>0</v>
      </c>
      <c r="AA173" s="286">
        <f>VLOOKUP($B173,'2、设备合同'!$D:$AK,26,0)</f>
        <v>0</v>
      </c>
      <c r="AB173" s="289">
        <f>VLOOKUP($B173,'2、设备合同'!$D:$AK,27,0)</f>
        <v>0</v>
      </c>
      <c r="AC173" s="289">
        <f>VLOOKUP($B173,'2、设备合同'!$D:$AK,28,0)</f>
        <v>0</v>
      </c>
      <c r="AD173" s="286">
        <f>VLOOKUP($B173,'2、设备合同'!$D:$AK,29,0)</f>
        <v>0</v>
      </c>
      <c r="AE173" s="289">
        <f>VLOOKUP($B173,'2、设备合同'!$D:$AK,30,0)</f>
        <v>0</v>
      </c>
      <c r="AF173" s="289">
        <f>VLOOKUP($B173,'2、设备合同'!$D:$AK,31,0)</f>
        <v>0</v>
      </c>
      <c r="AG173" s="289">
        <f>VLOOKUP($B173,'2、设备合同'!$D:$AK,32,0)</f>
        <v>0</v>
      </c>
      <c r="AH173" s="289">
        <f>VLOOKUP($B173,'2、设备合同'!$D:$AK,33,0)</f>
        <v>0</v>
      </c>
      <c r="AI173" s="308">
        <f>VLOOKUP($B173,'2、设备合同'!$D:$AK,34,0)</f>
        <v>0</v>
      </c>
      <c r="AJ173" s="309">
        <f t="shared" si="46"/>
        <v>0</v>
      </c>
      <c r="AK173" s="289">
        <f t="shared" si="47"/>
        <v>3650000</v>
      </c>
      <c r="AL173" s="310">
        <f t="shared" si="48"/>
        <v>0</v>
      </c>
      <c r="AM173" s="289">
        <f t="shared" si="49"/>
        <v>3650000</v>
      </c>
      <c r="AN173" s="311" t="str">
        <f t="shared" si="50"/>
        <v>数据正确</v>
      </c>
    </row>
    <row r="174" customHeight="1" spans="1:40">
      <c r="A174" s="228" t="str">
        <f t="shared" si="51"/>
        <v/>
      </c>
      <c r="B174" s="256">
        <v>169</v>
      </c>
      <c r="C174" s="262" t="str">
        <f>VLOOKUP($B174,'2、设备合同'!$D:$AK,2,0)</f>
        <v>YRKJEQ-170044</v>
      </c>
      <c r="D174" s="263" t="str">
        <f>VLOOKUP($B174,'2、设备合同'!$D:$AK,3,0)</f>
        <v>设备合同</v>
      </c>
      <c r="E174" s="263">
        <f>VLOOKUP($B174,'2、设备合同'!$D:$AK,4,0)</f>
        <v>2017060025</v>
      </c>
      <c r="F174" s="264">
        <f>VLOOKUP($B174,'2、设备合同'!$D:$AK,5,0)</f>
        <v>42920</v>
      </c>
      <c r="G174" s="265">
        <f>VLOOKUP($B174,'2、设备合同'!$D:$AK,6,0)</f>
        <v>170000</v>
      </c>
      <c r="H174" s="265" t="str">
        <f>VLOOKUP($B174,'2、设备合同'!$D:$AK,7,0)</f>
        <v>起重设备（葫芦7台）</v>
      </c>
      <c r="I174" s="265" t="str">
        <f>VLOOKUP($B174,'2、设备合同'!$D:$AK,8,0)</f>
        <v>河南豫中起重集团有限公司</v>
      </c>
      <c r="J174" s="286">
        <f>VLOOKUP($B174,'2、设备合同'!$D:$AK,9,0)</f>
        <v>0</v>
      </c>
      <c r="K174" s="287" t="str">
        <f>VLOOKUP($B174,'2、设备合同'!$D:$AK,10,0)</f>
        <v>6个月承兑汇票/接受反向贴息</v>
      </c>
      <c r="L174" s="288" t="str">
        <f>VLOOKUP($B174,'2、设备合同'!$D:$AK,11,0)</f>
        <v>甲方收到乙方100%专票，初步到货验收合格后15个工作日，支付70%货款</v>
      </c>
      <c r="M174" s="289">
        <f>VLOOKUP($B174,'2、设备合同'!$D:$AK,12,0)</f>
        <v>119000</v>
      </c>
      <c r="N174" s="289">
        <f>VLOOKUP($B174,'2、设备合同'!$D:$AK,13,0)</f>
        <v>0</v>
      </c>
      <c r="O174" s="286" t="str">
        <f>VLOOKUP($B174,'2、设备合同'!$D:$AK,14,0)</f>
        <v>甲方在开车验收合格后支付20%验收合格款</v>
      </c>
      <c r="P174" s="289">
        <f>VLOOKUP($B174,'2、设备合同'!$D:$AK,15,0)</f>
        <v>34000</v>
      </c>
      <c r="Q174" s="289">
        <f>VLOOKUP($B174,'2、设备合同'!$D:$AK,16,0)</f>
        <v>0</v>
      </c>
      <c r="R174" s="286" t="str">
        <f>VLOOKUP($B174,'2、设备合同'!$D:$AK,17,0)</f>
        <v>质量保证金10%，验收合格12个月或到货现场18个月支付</v>
      </c>
      <c r="S174" s="289">
        <f>VLOOKUP($B174,'2、设备合同'!$D:$AK,18,0)</f>
        <v>17000</v>
      </c>
      <c r="T174" s="289">
        <f>VLOOKUP($B174,'2、设备合同'!$D:$AK,19,0)</f>
        <v>0</v>
      </c>
      <c r="U174" s="286">
        <f>VLOOKUP($B174,'2、设备合同'!$D:$AK,20,0)</f>
        <v>0</v>
      </c>
      <c r="V174" s="289">
        <f>VLOOKUP($B174,'2、设备合同'!$D:$AK,21,0)</f>
        <v>0</v>
      </c>
      <c r="W174" s="289">
        <f>VLOOKUP($B174,'2、设备合同'!$D:$AK,22,0)</f>
        <v>0</v>
      </c>
      <c r="X174" s="286">
        <f>VLOOKUP($B174,'2、设备合同'!$D:$AK,23,0)</f>
        <v>0</v>
      </c>
      <c r="Y174" s="289">
        <f>VLOOKUP($B174,'2、设备合同'!$D:$AK,24,0)</f>
        <v>0</v>
      </c>
      <c r="Z174" s="289">
        <f>VLOOKUP($B174,'2、设备合同'!$D:$AK,25,0)</f>
        <v>0</v>
      </c>
      <c r="AA174" s="286">
        <f>VLOOKUP($B174,'2、设备合同'!$D:$AK,26,0)</f>
        <v>0</v>
      </c>
      <c r="AB174" s="289">
        <f>VLOOKUP($B174,'2、设备合同'!$D:$AK,27,0)</f>
        <v>0</v>
      </c>
      <c r="AC174" s="289">
        <f>VLOOKUP($B174,'2、设备合同'!$D:$AK,28,0)</f>
        <v>0</v>
      </c>
      <c r="AD174" s="286">
        <f>VLOOKUP($B174,'2、设备合同'!$D:$AK,29,0)</f>
        <v>0</v>
      </c>
      <c r="AE174" s="289">
        <f>VLOOKUP($B174,'2、设备合同'!$D:$AK,30,0)</f>
        <v>0</v>
      </c>
      <c r="AF174" s="289">
        <f>VLOOKUP($B174,'2、设备合同'!$D:$AK,31,0)</f>
        <v>0</v>
      </c>
      <c r="AG174" s="289">
        <f>VLOOKUP($B174,'2、设备合同'!$D:$AK,32,0)</f>
        <v>0</v>
      </c>
      <c r="AH174" s="289">
        <f>VLOOKUP($B174,'2、设备合同'!$D:$AK,33,0)</f>
        <v>0</v>
      </c>
      <c r="AI174" s="308">
        <f>VLOOKUP($B174,'2、设备合同'!$D:$AK,34,0)</f>
        <v>0</v>
      </c>
      <c r="AJ174" s="309">
        <f t="shared" si="46"/>
        <v>0</v>
      </c>
      <c r="AK174" s="289">
        <f t="shared" si="47"/>
        <v>170000</v>
      </c>
      <c r="AL174" s="310">
        <f t="shared" si="48"/>
        <v>0</v>
      </c>
      <c r="AM174" s="289">
        <f t="shared" si="49"/>
        <v>170000</v>
      </c>
      <c r="AN174" s="311" t="str">
        <f t="shared" si="50"/>
        <v>数据正确</v>
      </c>
    </row>
    <row r="175" customHeight="1" spans="1:40">
      <c r="A175" s="228" t="str">
        <f t="shared" si="51"/>
        <v/>
      </c>
      <c r="B175" s="261">
        <v>170</v>
      </c>
      <c r="C175" s="262" t="str">
        <f>VLOOKUP($B175,'2、设备合同'!$D:$AK,2,0)</f>
        <v>YRKJEQ-170047</v>
      </c>
      <c r="D175" s="263" t="str">
        <f>VLOOKUP($B175,'2、设备合同'!$D:$AK,3,0)</f>
        <v>设备合同</v>
      </c>
      <c r="E175" s="263">
        <f>VLOOKUP($B175,'2、设备合同'!$D:$AK,4,0)</f>
        <v>2017040041</v>
      </c>
      <c r="F175" s="264">
        <f>VLOOKUP($B175,'2、设备合同'!$D:$AK,5,0)</f>
        <v>42926</v>
      </c>
      <c r="G175" s="265">
        <f>VLOOKUP($B175,'2、设备合同'!$D:$AK,6,0)</f>
        <v>235000</v>
      </c>
      <c r="H175" s="265" t="str">
        <f>VLOOKUP($B175,'2、设备合同'!$D:$AK,7,0)</f>
        <v>4台罗茨风机</v>
      </c>
      <c r="I175" s="265" t="str">
        <f>VLOOKUP($B175,'2、设备合同'!$D:$AK,8,0)</f>
        <v>山东省章丘鼓风机股份有限公司</v>
      </c>
      <c r="J175" s="286">
        <f>VLOOKUP($B175,'2、设备合同'!$D:$AK,9,0)</f>
        <v>0</v>
      </c>
      <c r="K175" s="287" t="str">
        <f>VLOOKUP($B175,'2、设备合同'!$D:$AK,10,0)</f>
        <v>6个月承兑汇票/不接受反向贴息</v>
      </c>
      <c r="L175" s="288" t="str">
        <f>VLOOKUP($B175,'2、设备合同'!$D:$AK,11,0)</f>
        <v>甲方收到乙方30%的预付款保函以及本合同的30%专票（17%）后15个工作日支付30%货款</v>
      </c>
      <c r="M175" s="289">
        <f>VLOOKUP($B175,'2、设备合同'!$D:$AK,12,0)</f>
        <v>70500</v>
      </c>
      <c r="N175" s="289">
        <f>VLOOKUP($B175,'2、设备合同'!$D:$AK,13,0)</f>
        <v>70500</v>
      </c>
      <c r="O175" s="286" t="str">
        <f>VLOOKUP($B175,'2、设备合同'!$D:$AK,14,0)</f>
        <v>甲方在乙方现场确认无误，且受到乙方70%的专票后，15个工作日内支付60%的货款</v>
      </c>
      <c r="P175" s="289">
        <f>VLOOKUP($B175,'2、设备合同'!$D:$AK,15,0)</f>
        <v>141000</v>
      </c>
      <c r="Q175" s="289">
        <f>VLOOKUP($B175,'2、设备合同'!$D:$AK,16,0)</f>
        <v>0</v>
      </c>
      <c r="R175" s="286" t="str">
        <f>VLOOKUP($B175,'2、设备合同'!$D:$AK,17,0)</f>
        <v>质量保证金10%，验收合格12个月或到货现场18个月支付</v>
      </c>
      <c r="S175" s="289">
        <f>VLOOKUP($B175,'2、设备合同'!$D:$AK,18,0)</f>
        <v>23500</v>
      </c>
      <c r="T175" s="289">
        <f>VLOOKUP($B175,'2、设备合同'!$D:$AK,19,0)</f>
        <v>0</v>
      </c>
      <c r="U175" s="286">
        <f>VLOOKUP($B175,'2、设备合同'!$D:$AK,20,0)</f>
        <v>0</v>
      </c>
      <c r="V175" s="289">
        <f>VLOOKUP($B175,'2、设备合同'!$D:$AK,21,0)</f>
        <v>0</v>
      </c>
      <c r="W175" s="289">
        <f>VLOOKUP($B175,'2、设备合同'!$D:$AK,22,0)</f>
        <v>0</v>
      </c>
      <c r="X175" s="286">
        <f>VLOOKUP($B175,'2、设备合同'!$D:$AK,23,0)</f>
        <v>0</v>
      </c>
      <c r="Y175" s="289">
        <f>VLOOKUP($B175,'2、设备合同'!$D:$AK,24,0)</f>
        <v>0</v>
      </c>
      <c r="Z175" s="289">
        <f>VLOOKUP($B175,'2、设备合同'!$D:$AK,25,0)</f>
        <v>0</v>
      </c>
      <c r="AA175" s="286">
        <f>VLOOKUP($B175,'2、设备合同'!$D:$AK,26,0)</f>
        <v>0</v>
      </c>
      <c r="AB175" s="289">
        <f>VLOOKUP($B175,'2、设备合同'!$D:$AK,27,0)</f>
        <v>0</v>
      </c>
      <c r="AC175" s="289">
        <f>VLOOKUP($B175,'2、设备合同'!$D:$AK,28,0)</f>
        <v>0</v>
      </c>
      <c r="AD175" s="286">
        <f>VLOOKUP($B175,'2、设备合同'!$D:$AK,29,0)</f>
        <v>0</v>
      </c>
      <c r="AE175" s="289">
        <f>VLOOKUP($B175,'2、设备合同'!$D:$AK,30,0)</f>
        <v>0</v>
      </c>
      <c r="AF175" s="289">
        <f>VLOOKUP($B175,'2、设备合同'!$D:$AK,31,0)</f>
        <v>0</v>
      </c>
      <c r="AG175" s="289">
        <f>VLOOKUP($B175,'2、设备合同'!$D:$AK,32,0)</f>
        <v>0</v>
      </c>
      <c r="AH175" s="289">
        <f>VLOOKUP($B175,'2、设备合同'!$D:$AK,33,0)</f>
        <v>0</v>
      </c>
      <c r="AI175" s="308">
        <f>VLOOKUP($B175,'2、设备合同'!$D:$AK,34,0)</f>
        <v>0</v>
      </c>
      <c r="AJ175" s="309">
        <f t="shared" si="46"/>
        <v>70500</v>
      </c>
      <c r="AK175" s="289">
        <f t="shared" si="47"/>
        <v>164500</v>
      </c>
      <c r="AL175" s="310">
        <f t="shared" si="48"/>
        <v>0.3</v>
      </c>
      <c r="AM175" s="289">
        <f t="shared" si="49"/>
        <v>235000</v>
      </c>
      <c r="AN175" s="311" t="str">
        <f t="shared" si="50"/>
        <v>数据正确</v>
      </c>
    </row>
    <row r="176" s="228" customFormat="1" customHeight="1" spans="1:40">
      <c r="A176" s="228" t="str">
        <f t="shared" si="51"/>
        <v/>
      </c>
      <c r="B176" s="261">
        <v>171</v>
      </c>
      <c r="C176" s="262" t="str">
        <f>VLOOKUP($B176,'2、设备合同'!$D:$AK,2,0)</f>
        <v>YRKJEQ-170050</v>
      </c>
      <c r="D176" s="263" t="str">
        <f>VLOOKUP($B176,'2、设备合同'!$D:$AK,3,0)</f>
        <v>设备合同</v>
      </c>
      <c r="E176" s="263">
        <f>VLOOKUP($B176,'2、设备合同'!$D:$AK,4,0)</f>
        <v>2017060030</v>
      </c>
      <c r="F176" s="264">
        <f>VLOOKUP($B176,'2、设备合同'!$D:$AK,5,0)</f>
        <v>42936</v>
      </c>
      <c r="G176" s="265">
        <f>VLOOKUP($B176,'2、设备合同'!$D:$AK,6,0)</f>
        <v>1550000</v>
      </c>
      <c r="H176" s="265" t="str">
        <f>VLOOKUP($B176,'2、设备合同'!$D:$AK,7,0)</f>
        <v>气动角阀</v>
      </c>
      <c r="I176" s="265" t="str">
        <f>VLOOKUP($B176,'2、设备合同'!$D:$AK,8,0)</f>
        <v>萨姆森控制设备（中国）有限公司</v>
      </c>
      <c r="J176" s="286">
        <f>VLOOKUP($B176,'2、设备合同'!$D:$AK,9,0)</f>
        <v>0</v>
      </c>
      <c r="K176" s="287" t="str">
        <f>VLOOKUP($B176,'2、设备合同'!$D:$AK,10,0)</f>
        <v>6个月承兑汇票/电汇无说明</v>
      </c>
      <c r="L176" s="288" t="str">
        <f>VLOOKUP($B176,'2、设备合同'!$D:$AK,11,0)</f>
        <v>甲方收到乙方20%的预付款保函以及本合同的20%专票（17%）后15个工作日支付20%货款</v>
      </c>
      <c r="M176" s="289">
        <f>VLOOKUP($B176,'2、设备合同'!$D:$AK,12,0)</f>
        <v>310000</v>
      </c>
      <c r="N176" s="289">
        <f>VLOOKUP($B176,'2、设备合同'!$D:$AK,13,0)</f>
        <v>310000</v>
      </c>
      <c r="O176" s="286" t="str">
        <f>VLOOKUP($B176,'2、设备合同'!$D:$AK,14,0)</f>
        <v>甲方到乙方现场确认无误后，收到17%等额专票，15个工作日内支付40%发货款</v>
      </c>
      <c r="P176" s="289">
        <f>VLOOKUP($B176,'2、设备合同'!$D:$AK,15,0)</f>
        <v>620000</v>
      </c>
      <c r="Q176" s="289">
        <f>VLOOKUP($B176,'2、设备合同'!$D:$AK,16,0)</f>
        <v>0</v>
      </c>
      <c r="R176" s="286" t="str">
        <f>VLOOKUP($B176,'2、设备合同'!$D:$AK,17,0)</f>
        <v>甲方收到核定的调试合格报告及全额的专票后15个工作日，支付40%调试款（10%质量保函）</v>
      </c>
      <c r="S176" s="289">
        <f>VLOOKUP($B176,'2、设备合同'!$D:$AK,18,0)</f>
        <v>620000</v>
      </c>
      <c r="T176" s="289">
        <f>VLOOKUP($B176,'2、设备合同'!$D:$AK,19,0)</f>
        <v>0</v>
      </c>
      <c r="U176" s="286">
        <f>VLOOKUP($B176,'2、设备合同'!$D:$AK,20,0)</f>
        <v>0</v>
      </c>
      <c r="V176" s="289">
        <f>VLOOKUP($B176,'2、设备合同'!$D:$AK,21,0)</f>
        <v>0</v>
      </c>
      <c r="W176" s="289">
        <f>VLOOKUP($B176,'2、设备合同'!$D:$AK,22,0)</f>
        <v>0</v>
      </c>
      <c r="X176" s="286">
        <f>VLOOKUP($B176,'2、设备合同'!$D:$AK,23,0)</f>
        <v>0</v>
      </c>
      <c r="Y176" s="289">
        <f>VLOOKUP($B176,'2、设备合同'!$D:$AK,24,0)</f>
        <v>0</v>
      </c>
      <c r="Z176" s="289">
        <f>VLOOKUP($B176,'2、设备合同'!$D:$AK,25,0)</f>
        <v>0</v>
      </c>
      <c r="AA176" s="286">
        <f>VLOOKUP($B176,'2、设备合同'!$D:$AK,26,0)</f>
        <v>0</v>
      </c>
      <c r="AB176" s="289">
        <f>VLOOKUP($B176,'2、设备合同'!$D:$AK,27,0)</f>
        <v>0</v>
      </c>
      <c r="AC176" s="289">
        <f>VLOOKUP($B176,'2、设备合同'!$D:$AK,28,0)</f>
        <v>0</v>
      </c>
      <c r="AD176" s="286">
        <f>VLOOKUP($B176,'2、设备合同'!$D:$AK,29,0)</f>
        <v>0</v>
      </c>
      <c r="AE176" s="289">
        <f>VLOOKUP($B176,'2、设备合同'!$D:$AK,30,0)</f>
        <v>0</v>
      </c>
      <c r="AF176" s="289">
        <f>VLOOKUP($B176,'2、设备合同'!$D:$AK,31,0)</f>
        <v>0</v>
      </c>
      <c r="AG176" s="289">
        <f>VLOOKUP($B176,'2、设备合同'!$D:$AK,32,0)</f>
        <v>0</v>
      </c>
      <c r="AH176" s="289">
        <f>VLOOKUP($B176,'2、设备合同'!$D:$AK,33,0)</f>
        <v>0</v>
      </c>
      <c r="AI176" s="308">
        <f>VLOOKUP($B176,'2、设备合同'!$D:$AK,34,0)</f>
        <v>0</v>
      </c>
      <c r="AJ176" s="309">
        <f t="shared" si="46"/>
        <v>310000</v>
      </c>
      <c r="AK176" s="289">
        <f t="shared" si="47"/>
        <v>1240000</v>
      </c>
      <c r="AL176" s="310">
        <f t="shared" si="48"/>
        <v>0.2</v>
      </c>
      <c r="AM176" s="289">
        <f t="shared" si="49"/>
        <v>1550000</v>
      </c>
      <c r="AN176" s="311" t="str">
        <f t="shared" si="50"/>
        <v>数据正确</v>
      </c>
    </row>
    <row r="177" s="228" customFormat="1" customHeight="1" spans="1:40">
      <c r="A177" s="228" t="str">
        <f t="shared" si="51"/>
        <v/>
      </c>
      <c r="B177" s="256">
        <v>172</v>
      </c>
      <c r="C177" s="262" t="str">
        <f>VLOOKUP($B177,'2、设备合同'!$D:$AK,2,0)</f>
        <v>YRKJEQ-170052</v>
      </c>
      <c r="D177" s="263" t="str">
        <f>VLOOKUP($B177,'2、设备合同'!$D:$AK,3,0)</f>
        <v>设备合同</v>
      </c>
      <c r="E177" s="263">
        <f>VLOOKUP($B177,'2、设备合同'!$D:$AK,4,0)</f>
        <v>2017060024</v>
      </c>
      <c r="F177" s="264">
        <f>VLOOKUP($B177,'2、设备合同'!$D:$AK,5,0)</f>
        <v>42947</v>
      </c>
      <c r="G177" s="265">
        <f>VLOOKUP($B177,'2、设备合同'!$D:$AK,6,0)</f>
        <v>14200000</v>
      </c>
      <c r="H177" s="265" t="str">
        <f>VLOOKUP($B177,'2、设备合同'!$D:$AK,7,0)</f>
        <v>废气、废液焚烧装置1套</v>
      </c>
      <c r="I177" s="265" t="str">
        <f>VLOOKUP($B177,'2、设备合同'!$D:$AK,8,0)</f>
        <v>天津晟成环境技术发展有限公司</v>
      </c>
      <c r="J177" s="286">
        <f>VLOOKUP($B177,'2、设备合同'!$D:$AK,9,0)</f>
        <v>0</v>
      </c>
      <c r="K177" s="287" t="str">
        <f>VLOOKUP($B177,'2、设备合同'!$D:$AK,10,0)</f>
        <v>6个月承兑汇票/电汇下浮3%</v>
      </c>
      <c r="L177" s="288" t="str">
        <f>VLOOKUP($B177,'2、设备合同'!$D:$AK,11,0)</f>
        <v>甲方授权人到乙方清点并检查货物合格后，签发发货同意书，收到60%专票后15个工作日，支付60%发货款</v>
      </c>
      <c r="M177" s="289">
        <f>VLOOKUP($B177,'2、设备合同'!$D:$AK,12,0)</f>
        <v>8520000</v>
      </c>
      <c r="N177" s="289">
        <f>VLOOKUP($B177,'2、设备合同'!$D:$AK,13,0)</f>
        <v>0</v>
      </c>
      <c r="O177" s="286" t="str">
        <f>VLOOKUP($B177,'2、设备合同'!$D:$AK,14,0)</f>
        <v>甲方核定的调试合格报告及足额的发票后支付30%的验收款</v>
      </c>
      <c r="P177" s="289">
        <f>VLOOKUP($B177,'2、设备合同'!$D:$AK,15,0)</f>
        <v>4260000</v>
      </c>
      <c r="Q177" s="289">
        <f>VLOOKUP($B177,'2、设备合同'!$D:$AK,16,0)</f>
        <v>0</v>
      </c>
      <c r="R177" s="286" t="str">
        <f>VLOOKUP($B177,'2、设备合同'!$D:$AK,17,0)</f>
        <v>质量保证金10%，验收合格12个月或到货现场18个月支付</v>
      </c>
      <c r="S177" s="289">
        <f>VLOOKUP($B177,'2、设备合同'!$D:$AK,18,0)</f>
        <v>1420000</v>
      </c>
      <c r="T177" s="289">
        <f>VLOOKUP($B177,'2、设备合同'!$D:$AK,19,0)</f>
        <v>0</v>
      </c>
      <c r="U177" s="286">
        <f>VLOOKUP($B177,'2、设备合同'!$D:$AK,20,0)</f>
        <v>0</v>
      </c>
      <c r="V177" s="289">
        <f>VLOOKUP($B177,'2、设备合同'!$D:$AK,21,0)</f>
        <v>0</v>
      </c>
      <c r="W177" s="289">
        <f>VLOOKUP($B177,'2、设备合同'!$D:$AK,22,0)</f>
        <v>0</v>
      </c>
      <c r="X177" s="286">
        <f>VLOOKUP($B177,'2、设备合同'!$D:$AK,23,0)</f>
        <v>0</v>
      </c>
      <c r="Y177" s="289">
        <f>VLOOKUP($B177,'2、设备合同'!$D:$AK,24,0)</f>
        <v>0</v>
      </c>
      <c r="Z177" s="289">
        <f>VLOOKUP($B177,'2、设备合同'!$D:$AK,25,0)</f>
        <v>0</v>
      </c>
      <c r="AA177" s="286">
        <f>VLOOKUP($B177,'2、设备合同'!$D:$AK,26,0)</f>
        <v>0</v>
      </c>
      <c r="AB177" s="289">
        <f>VLOOKUP($B177,'2、设备合同'!$D:$AK,27,0)</f>
        <v>0</v>
      </c>
      <c r="AC177" s="289">
        <f>VLOOKUP($B177,'2、设备合同'!$D:$AK,28,0)</f>
        <v>0</v>
      </c>
      <c r="AD177" s="286">
        <f>VLOOKUP($B177,'2、设备合同'!$D:$AK,29,0)</f>
        <v>0</v>
      </c>
      <c r="AE177" s="289">
        <f>VLOOKUP($B177,'2、设备合同'!$D:$AK,30,0)</f>
        <v>0</v>
      </c>
      <c r="AF177" s="289">
        <f>VLOOKUP($B177,'2、设备合同'!$D:$AK,31,0)</f>
        <v>0</v>
      </c>
      <c r="AG177" s="289">
        <f>VLOOKUP($B177,'2、设备合同'!$D:$AK,32,0)</f>
        <v>0</v>
      </c>
      <c r="AH177" s="289">
        <f>VLOOKUP($B177,'2、设备合同'!$D:$AK,33,0)</f>
        <v>0</v>
      </c>
      <c r="AI177" s="308">
        <f>VLOOKUP($B177,'2、设备合同'!$D:$AK,34,0)</f>
        <v>0</v>
      </c>
      <c r="AJ177" s="309">
        <f t="shared" si="46"/>
        <v>0</v>
      </c>
      <c r="AK177" s="289">
        <f t="shared" si="47"/>
        <v>14200000</v>
      </c>
      <c r="AL177" s="310">
        <f t="shared" si="48"/>
        <v>0</v>
      </c>
      <c r="AM177" s="289">
        <f t="shared" si="49"/>
        <v>14200000</v>
      </c>
      <c r="AN177" s="311" t="str">
        <f t="shared" si="50"/>
        <v>数据正确</v>
      </c>
    </row>
    <row r="178" customHeight="1" spans="1:40">
      <c r="A178" s="228" t="str">
        <f t="shared" si="51"/>
        <v/>
      </c>
      <c r="B178" s="261">
        <v>173</v>
      </c>
      <c r="C178" s="262" t="str">
        <f>VLOOKUP($B178,'2、设备合同'!$D:$AK,2,0)</f>
        <v>YRKJEQ-170059</v>
      </c>
      <c r="D178" s="263" t="str">
        <f>VLOOKUP($B178,'2、设备合同'!$D:$AK,3,0)</f>
        <v>设备合同</v>
      </c>
      <c r="E178" s="263">
        <f>VLOOKUP($B178,'2、设备合同'!$D:$AK,4,0)</f>
        <v>2017060071</v>
      </c>
      <c r="F178" s="264">
        <f>VLOOKUP($B178,'2、设备合同'!$D:$AK,5,0)</f>
        <v>42944</v>
      </c>
      <c r="G178" s="265">
        <f>VLOOKUP($B178,'2、设备合同'!$D:$AK,6,0)</f>
        <v>180000</v>
      </c>
      <c r="H178" s="265" t="str">
        <f>VLOOKUP($B178,'2、设备合同'!$D:$AK,7,0)</f>
        <v>板式换热器3套</v>
      </c>
      <c r="I178" s="265" t="str">
        <f>VLOOKUP($B178,'2、设备合同'!$D:$AK,8,0)</f>
        <v>阿法拉伐（上海）技术有限公司</v>
      </c>
      <c r="J178" s="286" t="str">
        <f>VLOOKUP($B178,'2、设备合同'!$D:$AK,9,0)</f>
        <v>环己酮装置</v>
      </c>
      <c r="K178" s="287" t="str">
        <f>VLOOKUP($B178,'2、设备合同'!$D:$AK,10,0)</f>
        <v>电汇</v>
      </c>
      <c r="L178" s="288" t="str">
        <f>VLOOKUP($B178,'2、设备合同'!$D:$AK,11,0)</f>
        <v>甲方接到货物后，收到乙方提供的20%预付款保函，并收到等额的专票后支付20%货款。乙方提供20%履约保函</v>
      </c>
      <c r="M178" s="289">
        <f>VLOOKUP($B178,'2、设备合同'!$D:$AK,12,0)</f>
        <v>36000</v>
      </c>
      <c r="N178" s="289">
        <f>VLOOKUP($B178,'2、设备合同'!$D:$AK,13,0)</f>
        <v>0</v>
      </c>
      <c r="O178" s="286" t="str">
        <f>VLOOKUP($B178,'2、设备合同'!$D:$AK,14,0)</f>
        <v>甲方到乙方现场确认无误后，收到17%全额专票，15个工作日内支付80%发货款</v>
      </c>
      <c r="P178" s="289">
        <f>VLOOKUP($B178,'2、设备合同'!$D:$AK,15,0)</f>
        <v>144000</v>
      </c>
      <c r="Q178" s="289">
        <f>VLOOKUP($B178,'2、设备合同'!$D:$AK,16,0)</f>
        <v>0</v>
      </c>
      <c r="R178" s="286">
        <f>VLOOKUP($B178,'2、设备合同'!$D:$AK,17,0)</f>
        <v>0</v>
      </c>
      <c r="S178" s="289">
        <f>VLOOKUP($B178,'2、设备合同'!$D:$AK,18,0)</f>
        <v>0</v>
      </c>
      <c r="T178" s="289">
        <f>VLOOKUP($B178,'2、设备合同'!$D:$AK,19,0)</f>
        <v>0</v>
      </c>
      <c r="U178" s="286">
        <f>VLOOKUP($B178,'2、设备合同'!$D:$AK,20,0)</f>
        <v>0</v>
      </c>
      <c r="V178" s="289">
        <f>VLOOKUP($B178,'2、设备合同'!$D:$AK,21,0)</f>
        <v>0</v>
      </c>
      <c r="W178" s="289">
        <f>VLOOKUP($B178,'2、设备合同'!$D:$AK,22,0)</f>
        <v>0</v>
      </c>
      <c r="X178" s="286">
        <f>VLOOKUP($B178,'2、设备合同'!$D:$AK,23,0)</f>
        <v>0</v>
      </c>
      <c r="Y178" s="289">
        <f>VLOOKUP($B178,'2、设备合同'!$D:$AK,24,0)</f>
        <v>0</v>
      </c>
      <c r="Z178" s="289">
        <f>VLOOKUP($B178,'2、设备合同'!$D:$AK,25,0)</f>
        <v>0</v>
      </c>
      <c r="AA178" s="286">
        <f>VLOOKUP($B178,'2、设备合同'!$D:$AK,26,0)</f>
        <v>0</v>
      </c>
      <c r="AB178" s="289">
        <f>VLOOKUP($B178,'2、设备合同'!$D:$AK,27,0)</f>
        <v>0</v>
      </c>
      <c r="AC178" s="289">
        <f>VLOOKUP($B178,'2、设备合同'!$D:$AK,28,0)</f>
        <v>0</v>
      </c>
      <c r="AD178" s="286">
        <f>VLOOKUP($B178,'2、设备合同'!$D:$AK,29,0)</f>
        <v>0</v>
      </c>
      <c r="AE178" s="289">
        <f>VLOOKUP($B178,'2、设备合同'!$D:$AK,30,0)</f>
        <v>0</v>
      </c>
      <c r="AF178" s="289">
        <f>VLOOKUP($B178,'2、设备合同'!$D:$AK,31,0)</f>
        <v>0</v>
      </c>
      <c r="AG178" s="289">
        <f>VLOOKUP($B178,'2、设备合同'!$D:$AK,32,0)</f>
        <v>0</v>
      </c>
      <c r="AH178" s="289">
        <f>VLOOKUP($B178,'2、设备合同'!$D:$AK,33,0)</f>
        <v>0</v>
      </c>
      <c r="AI178" s="308">
        <f>VLOOKUP($B178,'2、设备合同'!$D:$AK,34,0)</f>
        <v>0</v>
      </c>
      <c r="AJ178" s="309">
        <f t="shared" si="46"/>
        <v>0</v>
      </c>
      <c r="AK178" s="289">
        <f t="shared" si="47"/>
        <v>180000</v>
      </c>
      <c r="AL178" s="310">
        <f t="shared" si="48"/>
        <v>0</v>
      </c>
      <c r="AM178" s="289">
        <f t="shared" si="49"/>
        <v>180000</v>
      </c>
      <c r="AN178" s="311" t="str">
        <f t="shared" si="50"/>
        <v>数据正确</v>
      </c>
    </row>
    <row r="179" customHeight="1" spans="1:40">
      <c r="A179" s="228" t="str">
        <f t="shared" si="51"/>
        <v/>
      </c>
      <c r="B179" s="261">
        <v>174</v>
      </c>
      <c r="C179" s="262" t="str">
        <f>VLOOKUP($B179,'2、设备合同'!$D:$AK,2,0)</f>
        <v>YRKJEQ-170062</v>
      </c>
      <c r="D179" s="263" t="str">
        <f>VLOOKUP($B179,'2、设备合同'!$D:$AK,3,0)</f>
        <v>设备合同</v>
      </c>
      <c r="E179" s="263">
        <f>VLOOKUP($B179,'2、设备合同'!$D:$AK,4,0)</f>
        <v>2017050064</v>
      </c>
      <c r="F179" s="264">
        <f>VLOOKUP($B179,'2、设备合同'!$D:$AK,5,0)</f>
        <v>42942</v>
      </c>
      <c r="G179" s="265">
        <f>VLOOKUP($B179,'2、设备合同'!$D:$AK,6,0)</f>
        <v>400000</v>
      </c>
      <c r="H179" s="265" t="str">
        <f>VLOOKUP($B179,'2、设备合同'!$D:$AK,7,0)</f>
        <v>汽车衡2台</v>
      </c>
      <c r="I179" s="265" t="str">
        <f>VLOOKUP($B179,'2、设备合同'!$D:$AK,8,0)</f>
        <v>福建科达衡器有限公司</v>
      </c>
      <c r="J179" s="286">
        <f>VLOOKUP($B179,'2、设备合同'!$D:$AK,9,0)</f>
        <v>0</v>
      </c>
      <c r="K179" s="287" t="str">
        <f>VLOOKUP($B179,'2、设备合同'!$D:$AK,10,0)</f>
        <v>6个月承兑汇票/接受反向贴息</v>
      </c>
      <c r="L179" s="288" t="str">
        <f>VLOOKUP($B179,'2、设备合同'!$D:$AK,11,0)</f>
        <v>甲方初步验收合格后，收到60%专票，10个工作日支付60%货款</v>
      </c>
      <c r="M179" s="289">
        <f>VLOOKUP($B179,'2、设备合同'!$D:$AK,12,0)</f>
        <v>240000</v>
      </c>
      <c r="N179" s="289">
        <f>VLOOKUP($B179,'2、设备合同'!$D:$AK,13,0)</f>
        <v>0</v>
      </c>
      <c r="O179" s="286" t="str">
        <f>VLOOKUP($B179,'2、设备合同'!$D:$AK,14,0)</f>
        <v>甲方核定的调试合格报告及足额的发票后支付30%的验收款</v>
      </c>
      <c r="P179" s="289">
        <f>VLOOKUP($B179,'2、设备合同'!$D:$AK,15,0)</f>
        <v>120000</v>
      </c>
      <c r="Q179" s="289">
        <f>VLOOKUP($B179,'2、设备合同'!$D:$AK,16,0)</f>
        <v>0</v>
      </c>
      <c r="R179" s="286" t="str">
        <f>VLOOKUP($B179,'2、设备合同'!$D:$AK,17,0)</f>
        <v>质量保证金10%，验收合格12个月或到货现场18个月支付</v>
      </c>
      <c r="S179" s="289">
        <f>VLOOKUP($B179,'2、设备合同'!$D:$AK,18,0)</f>
        <v>40000</v>
      </c>
      <c r="T179" s="289">
        <f>VLOOKUP($B179,'2、设备合同'!$D:$AK,19,0)</f>
        <v>0</v>
      </c>
      <c r="U179" s="286">
        <f>VLOOKUP($B179,'2、设备合同'!$D:$AK,20,0)</f>
        <v>0</v>
      </c>
      <c r="V179" s="289">
        <f>VLOOKUP($B179,'2、设备合同'!$D:$AK,21,0)</f>
        <v>0</v>
      </c>
      <c r="W179" s="289">
        <f>VLOOKUP($B179,'2、设备合同'!$D:$AK,22,0)</f>
        <v>0</v>
      </c>
      <c r="X179" s="286">
        <f>VLOOKUP($B179,'2、设备合同'!$D:$AK,23,0)</f>
        <v>0</v>
      </c>
      <c r="Y179" s="289">
        <f>VLOOKUP($B179,'2、设备合同'!$D:$AK,24,0)</f>
        <v>0</v>
      </c>
      <c r="Z179" s="289">
        <f>VLOOKUP($B179,'2、设备合同'!$D:$AK,25,0)</f>
        <v>0</v>
      </c>
      <c r="AA179" s="286">
        <f>VLOOKUP($B179,'2、设备合同'!$D:$AK,26,0)</f>
        <v>0</v>
      </c>
      <c r="AB179" s="289">
        <f>VLOOKUP($B179,'2、设备合同'!$D:$AK,27,0)</f>
        <v>0</v>
      </c>
      <c r="AC179" s="289">
        <f>VLOOKUP($B179,'2、设备合同'!$D:$AK,28,0)</f>
        <v>0</v>
      </c>
      <c r="AD179" s="286">
        <f>VLOOKUP($B179,'2、设备合同'!$D:$AK,29,0)</f>
        <v>0</v>
      </c>
      <c r="AE179" s="289">
        <f>VLOOKUP($B179,'2、设备合同'!$D:$AK,30,0)</f>
        <v>0</v>
      </c>
      <c r="AF179" s="289">
        <f>VLOOKUP($B179,'2、设备合同'!$D:$AK,31,0)</f>
        <v>0</v>
      </c>
      <c r="AG179" s="289">
        <f>VLOOKUP($B179,'2、设备合同'!$D:$AK,32,0)</f>
        <v>0</v>
      </c>
      <c r="AH179" s="289">
        <f>VLOOKUP($B179,'2、设备合同'!$D:$AK,33,0)</f>
        <v>0</v>
      </c>
      <c r="AI179" s="308">
        <f>VLOOKUP($B179,'2、设备合同'!$D:$AK,34,0)</f>
        <v>0</v>
      </c>
      <c r="AJ179" s="309">
        <f t="shared" si="46"/>
        <v>0</v>
      </c>
      <c r="AK179" s="289">
        <f t="shared" si="47"/>
        <v>400000</v>
      </c>
      <c r="AL179" s="310">
        <f t="shared" si="48"/>
        <v>0</v>
      </c>
      <c r="AM179" s="289">
        <f t="shared" si="49"/>
        <v>400000</v>
      </c>
      <c r="AN179" s="311" t="str">
        <f t="shared" si="50"/>
        <v>数据正确</v>
      </c>
    </row>
    <row r="180" customHeight="1" spans="1:40">
      <c r="A180" s="228" t="str">
        <f t="shared" si="51"/>
        <v/>
      </c>
      <c r="B180" s="256">
        <v>175</v>
      </c>
      <c r="C180" s="262" t="str">
        <f>VLOOKUP($B180,'2、设备合同'!$D:$AK,2,0)</f>
        <v>YRKJEQ-170063</v>
      </c>
      <c r="D180" s="263" t="str">
        <f>VLOOKUP($B180,'2、设备合同'!$D:$AK,3,0)</f>
        <v>设备合同</v>
      </c>
      <c r="E180" s="263">
        <f>VLOOKUP($B180,'2、设备合同'!$D:$AK,4,0)</f>
        <v>2017060027</v>
      </c>
      <c r="F180" s="264">
        <f>VLOOKUP($B180,'2、设备合同'!$D:$AK,5,0)</f>
        <v>42906</v>
      </c>
      <c r="G180" s="265">
        <f>VLOOKUP($B180,'2、设备合同'!$D:$AK,6,0)</f>
        <v>1329837.7</v>
      </c>
      <c r="H180" s="265" t="str">
        <f>VLOOKUP($B180,'2、设备合同'!$D:$AK,7,0)</f>
        <v>釜底角阀12台</v>
      </c>
      <c r="I180" s="265" t="str">
        <f>VLOOKUP($B180,'2、设备合同'!$D:$AK,8,0)</f>
        <v>香港思科特工业技术有限公司</v>
      </c>
      <c r="J180" s="286" t="str">
        <f>VLOOKUP($B180,'2、设备合同'!$D:$AK,9,0)</f>
        <v>环己酮装置</v>
      </c>
      <c r="K180" s="287" t="str">
        <f>VLOOKUP($B180,'2、设备合同'!$D:$AK,10,0)</f>
        <v>信用证</v>
      </c>
      <c r="L180" s="288" t="str">
        <f>VLOOKUP($B180,'2、设备合同'!$D:$AK,11,0)</f>
        <v>甲方收到乙方10%的预付款保函以及本合同的10%履约保函后15个工作日支付10%预付款</v>
      </c>
      <c r="M180" s="289">
        <f>VLOOKUP($B180,'2、设备合同'!$D:$AK,12,0)</f>
        <v>132983.77</v>
      </c>
      <c r="N180" s="289">
        <f>VLOOKUP($B180,'2、设备合同'!$D:$AK,13,0)</f>
        <v>132983.77</v>
      </c>
      <c r="O180" s="286" t="str">
        <f>VLOOKUP($B180,'2、设备合同'!$D:$AK,14,0)</f>
        <v>发货前两个月开证</v>
      </c>
      <c r="P180" s="289">
        <f>VLOOKUP($B180,'2、设备合同'!$D:$AK,15,0)</f>
        <v>1196853.93</v>
      </c>
      <c r="Q180" s="289">
        <f>VLOOKUP($B180,'2、设备合同'!$D:$AK,16,0)</f>
        <v>0</v>
      </c>
      <c r="R180" s="286">
        <f>VLOOKUP($B180,'2、设备合同'!$D:$AK,17,0)</f>
        <v>0</v>
      </c>
      <c r="S180" s="289">
        <f>VLOOKUP($B180,'2、设备合同'!$D:$AK,18,0)</f>
        <v>0</v>
      </c>
      <c r="T180" s="289">
        <f>VLOOKUP($B180,'2、设备合同'!$D:$AK,19,0)</f>
        <v>0</v>
      </c>
      <c r="U180" s="286">
        <f>VLOOKUP($B180,'2、设备合同'!$D:$AK,20,0)</f>
        <v>0</v>
      </c>
      <c r="V180" s="289">
        <f>VLOOKUP($B180,'2、设备合同'!$D:$AK,21,0)</f>
        <v>0</v>
      </c>
      <c r="W180" s="289">
        <f>VLOOKUP($B180,'2、设备合同'!$D:$AK,22,0)</f>
        <v>0</v>
      </c>
      <c r="X180" s="286">
        <f>VLOOKUP($B180,'2、设备合同'!$D:$AK,23,0)</f>
        <v>0</v>
      </c>
      <c r="Y180" s="289">
        <f>VLOOKUP($B180,'2、设备合同'!$D:$AK,24,0)</f>
        <v>0</v>
      </c>
      <c r="Z180" s="289">
        <f>VLOOKUP($B180,'2、设备合同'!$D:$AK,25,0)</f>
        <v>0</v>
      </c>
      <c r="AA180" s="286">
        <f>VLOOKUP($B180,'2、设备合同'!$D:$AK,26,0)</f>
        <v>0</v>
      </c>
      <c r="AB180" s="289">
        <f>VLOOKUP($B180,'2、设备合同'!$D:$AK,27,0)</f>
        <v>0</v>
      </c>
      <c r="AC180" s="289">
        <f>VLOOKUP($B180,'2、设备合同'!$D:$AK,28,0)</f>
        <v>0</v>
      </c>
      <c r="AD180" s="286">
        <f>VLOOKUP($B180,'2、设备合同'!$D:$AK,29,0)</f>
        <v>0</v>
      </c>
      <c r="AE180" s="289">
        <f>VLOOKUP($B180,'2、设备合同'!$D:$AK,30,0)</f>
        <v>0</v>
      </c>
      <c r="AF180" s="289">
        <f>VLOOKUP($B180,'2、设备合同'!$D:$AK,31,0)</f>
        <v>0</v>
      </c>
      <c r="AG180" s="289">
        <f>VLOOKUP($B180,'2、设备合同'!$D:$AK,32,0)</f>
        <v>0</v>
      </c>
      <c r="AH180" s="289">
        <f>VLOOKUP($B180,'2、设备合同'!$D:$AK,33,0)</f>
        <v>0</v>
      </c>
      <c r="AI180" s="308">
        <f>VLOOKUP($B180,'2、设备合同'!$D:$AK,34,0)</f>
        <v>0</v>
      </c>
      <c r="AJ180" s="309">
        <f t="shared" si="46"/>
        <v>132983.77</v>
      </c>
      <c r="AK180" s="289">
        <f t="shared" si="47"/>
        <v>1196853.93</v>
      </c>
      <c r="AL180" s="310">
        <f t="shared" si="48"/>
        <v>0.1</v>
      </c>
      <c r="AM180" s="289">
        <f t="shared" si="49"/>
        <v>1329837.7</v>
      </c>
      <c r="AN180" s="311" t="str">
        <f t="shared" si="50"/>
        <v>数据正确</v>
      </c>
    </row>
    <row r="181" customHeight="1" spans="1:40">
      <c r="A181" s="228" t="str">
        <f t="shared" si="51"/>
        <v/>
      </c>
      <c r="B181" s="261">
        <v>176</v>
      </c>
      <c r="C181" s="262" t="str">
        <f>VLOOKUP($B181,'2、设备合同'!$D:$AK,2,0)</f>
        <v>YRKJEQ-170064</v>
      </c>
      <c r="D181" s="263" t="str">
        <f>VLOOKUP($B181,'2、设备合同'!$D:$AK,3,0)</f>
        <v>设备合同</v>
      </c>
      <c r="E181" s="263">
        <f>VLOOKUP($B181,'2、设备合同'!$D:$AK,4,0)</f>
        <v>2017060086</v>
      </c>
      <c r="F181" s="264">
        <f>VLOOKUP($B181,'2、设备合同'!$D:$AK,5,0)</f>
        <v>42943</v>
      </c>
      <c r="G181" s="265">
        <f>VLOOKUP($B181,'2、设备合同'!$D:$AK,6,0)</f>
        <v>1750000</v>
      </c>
      <c r="H181" s="265" t="str">
        <f>VLOOKUP($B181,'2、设备合同'!$D:$AK,7,0)</f>
        <v>在线分析仪</v>
      </c>
      <c r="I181" s="265" t="str">
        <f>VLOOKUP($B181,'2、设备合同'!$D:$AK,8,0)</f>
        <v>深圳市博控实业有限公司</v>
      </c>
      <c r="J181" s="286">
        <f>VLOOKUP($B181,'2、设备合同'!$D:$AK,9,0)</f>
        <v>0</v>
      </c>
      <c r="K181" s="287" t="str">
        <f>VLOOKUP($B181,'2、设备合同'!$D:$AK,10,0)</f>
        <v>6个月承兑汇票/电汇无说明</v>
      </c>
      <c r="L181" s="288" t="str">
        <f>VLOOKUP($B181,'2、设备合同'!$D:$AK,11,0)</f>
        <v>甲方收到乙方20%的预付款保函以及本合同的20%专票（17%）后15个工作日支付20%货款</v>
      </c>
      <c r="M181" s="289">
        <f>VLOOKUP($B181,'2、设备合同'!$D:$AK,12,0)</f>
        <v>350000</v>
      </c>
      <c r="N181" s="289">
        <f>VLOOKUP($B181,'2、设备合同'!$D:$AK,13,0)</f>
        <v>350000</v>
      </c>
      <c r="O181" s="286" t="str">
        <f>VLOOKUP($B181,'2、设备合同'!$D:$AK,14,0)</f>
        <v>甲方到乙方现场确认无误后，收到17%等额专票，15个工作日内支付40%发货款</v>
      </c>
      <c r="P181" s="289">
        <f>VLOOKUP($B181,'2、设备合同'!$D:$AK,15,0)</f>
        <v>700000</v>
      </c>
      <c r="Q181" s="289">
        <f>VLOOKUP($B181,'2、设备合同'!$D:$AK,16,0)</f>
        <v>0</v>
      </c>
      <c r="R181" s="286" t="str">
        <f>VLOOKUP($B181,'2、设备合同'!$D:$AK,17,0)</f>
        <v>甲方收到核定的调试合格报告及全额的专票后15个工作日，支付30%调试款</v>
      </c>
      <c r="S181" s="289">
        <f>VLOOKUP($B181,'2、设备合同'!$D:$AK,18,0)</f>
        <v>525000</v>
      </c>
      <c r="T181" s="289">
        <f>VLOOKUP($B181,'2、设备合同'!$D:$AK,19,0)</f>
        <v>0</v>
      </c>
      <c r="U181" s="286" t="str">
        <f>VLOOKUP($B181,'2、设备合同'!$D:$AK,20,0)</f>
        <v>本合同的10%为质量保函，验收合格后18个月或货到现场24个月后，甲方退还乙方</v>
      </c>
      <c r="V181" s="289">
        <f>VLOOKUP($B181,'2、设备合同'!$D:$AK,21,0)</f>
        <v>175000</v>
      </c>
      <c r="W181" s="289">
        <f>VLOOKUP($B181,'2、设备合同'!$D:$AK,22,0)</f>
        <v>0</v>
      </c>
      <c r="X181" s="286">
        <f>VLOOKUP($B181,'2、设备合同'!$D:$AK,23,0)</f>
        <v>0</v>
      </c>
      <c r="Y181" s="289">
        <f>VLOOKUP($B181,'2、设备合同'!$D:$AK,24,0)</f>
        <v>0</v>
      </c>
      <c r="Z181" s="289">
        <f>VLOOKUP($B181,'2、设备合同'!$D:$AK,25,0)</f>
        <v>0</v>
      </c>
      <c r="AA181" s="286">
        <f>VLOOKUP($B181,'2、设备合同'!$D:$AK,26,0)</f>
        <v>0</v>
      </c>
      <c r="AB181" s="289">
        <f>VLOOKUP($B181,'2、设备合同'!$D:$AK,27,0)</f>
        <v>0</v>
      </c>
      <c r="AC181" s="289">
        <f>VLOOKUP($B181,'2、设备合同'!$D:$AK,28,0)</f>
        <v>0</v>
      </c>
      <c r="AD181" s="286">
        <f>VLOOKUP($B181,'2、设备合同'!$D:$AK,29,0)</f>
        <v>0</v>
      </c>
      <c r="AE181" s="289">
        <f>VLOOKUP($B181,'2、设备合同'!$D:$AK,30,0)</f>
        <v>0</v>
      </c>
      <c r="AF181" s="289">
        <f>VLOOKUP($B181,'2、设备合同'!$D:$AK,31,0)</f>
        <v>0</v>
      </c>
      <c r="AG181" s="289">
        <f>VLOOKUP($B181,'2、设备合同'!$D:$AK,32,0)</f>
        <v>0</v>
      </c>
      <c r="AH181" s="289">
        <f>VLOOKUP($B181,'2、设备合同'!$D:$AK,33,0)</f>
        <v>0</v>
      </c>
      <c r="AI181" s="308">
        <f>VLOOKUP($B181,'2、设备合同'!$D:$AK,34,0)</f>
        <v>0</v>
      </c>
      <c r="AJ181" s="309">
        <f t="shared" si="46"/>
        <v>350000</v>
      </c>
      <c r="AK181" s="289">
        <f t="shared" si="47"/>
        <v>1400000</v>
      </c>
      <c r="AL181" s="310">
        <f t="shared" si="48"/>
        <v>0.2</v>
      </c>
      <c r="AM181" s="289">
        <f t="shared" si="49"/>
        <v>1750000</v>
      </c>
      <c r="AN181" s="311" t="str">
        <f t="shared" si="50"/>
        <v>数据正确</v>
      </c>
    </row>
    <row r="182" customHeight="1" spans="1:40">
      <c r="A182" s="228" t="str">
        <f t="shared" si="51"/>
        <v>已完毕</v>
      </c>
      <c r="B182" s="261">
        <v>177</v>
      </c>
      <c r="C182" s="266" t="str">
        <f>VLOOKUP($B182,'3、工程合同'!$D:$AL,2,0)</f>
        <v>YRKJGC-170033</v>
      </c>
      <c r="D182" s="267" t="str">
        <f>VLOOKUP($B182,'3、工程合同'!$D:$AL,3,0)</f>
        <v>工程合同</v>
      </c>
      <c r="E182" s="267">
        <f>VLOOKUP($B182,'3、工程合同'!$D:$AL,4,0)</f>
        <v>0</v>
      </c>
      <c r="F182" s="268">
        <f>VLOOKUP($B182,'3、工程合同'!$D:$AL,5,0)</f>
        <v>42924</v>
      </c>
      <c r="G182" s="269">
        <f>VLOOKUP($B182,'3、工程合同'!$D:$AL,6,0)</f>
        <v>0.001</v>
      </c>
      <c r="H182" s="269" t="str">
        <f>VLOOKUP($B182,'3、工程合同'!$D:$AL,7,0)</f>
        <v>CPL项目设备监造技术服务</v>
      </c>
      <c r="I182" s="269" t="str">
        <f>VLOOKUP($B182,'3、工程合同'!$D:$AL,8,0)</f>
        <v>南京三方化工设备监理有限公司</v>
      </c>
      <c r="J182" s="290">
        <f>VLOOKUP($B182,'3、工程合同'!$D:$AL,9,0)</f>
        <v>0</v>
      </c>
      <c r="K182" s="291" t="str">
        <f>VLOOKUP($B182,'3、工程合同'!$D:$AL,10,0)</f>
        <v>电汇</v>
      </c>
      <c r="L182" s="292" t="str">
        <f>VLOOKUP($B182,'3、工程合同'!$D:$AL,11,0)</f>
        <v>每三个月结算一次，依据甲方签字确认考勤表和乙方付款申请单，乙方开具发票，支付90%，余10%乙方提交报告和工作总结，产品验收合格一年后支付</v>
      </c>
      <c r="M182" s="293">
        <f>VLOOKUP($B182,'3、工程合同'!$D:$AL,12,0)</f>
        <v>0.0009</v>
      </c>
      <c r="N182" s="293">
        <f>VLOOKUP($B182,'3、工程合同'!$D:$AL,13,0)</f>
        <v>0.001</v>
      </c>
      <c r="O182" s="290" t="str">
        <f>VLOOKUP($B182,'3、工程合同'!$D:$AL,14,0)</f>
        <v>每三个月结算一次，依据甲方签字确认考勤表和乙方付款申请单，乙方开具发票，支付90%，余10%乙方提交报告和工作总结，产品验收合格一年后支付</v>
      </c>
      <c r="P182" s="293">
        <f>VLOOKUP($B182,'3、工程合同'!$D:$AL,15,0)</f>
        <v>0.0001</v>
      </c>
      <c r="Q182" s="293">
        <f>VLOOKUP($B182,'3、工程合同'!$D:$AL,16,0)</f>
        <v>0</v>
      </c>
      <c r="R182" s="290">
        <f>VLOOKUP($B182,'3、工程合同'!$D:$AL,17,0)</f>
        <v>0</v>
      </c>
      <c r="S182" s="293">
        <f>VLOOKUP($B182,'3、工程合同'!$D:$AL,18,0)</f>
        <v>0</v>
      </c>
      <c r="T182" s="293">
        <f>VLOOKUP($B182,'3、工程合同'!$D:$AL,19,0)</f>
        <v>0</v>
      </c>
      <c r="U182" s="290">
        <f>VLOOKUP($B182,'3、工程合同'!$D:$AL,20,0)</f>
        <v>0</v>
      </c>
      <c r="V182" s="293">
        <f>VLOOKUP($B182,'3、工程合同'!$D:$AL,21,0)</f>
        <v>0</v>
      </c>
      <c r="W182" s="293">
        <f>VLOOKUP($B182,'3、工程合同'!$D:$AL,22,0)</f>
        <v>0</v>
      </c>
      <c r="X182" s="290">
        <f>VLOOKUP($B182,'3、工程合同'!$D:$AL,23,0)</f>
        <v>0</v>
      </c>
      <c r="Y182" s="293">
        <f>VLOOKUP($B182,'3、工程合同'!$D:$AL,24,0)</f>
        <v>0</v>
      </c>
      <c r="Z182" s="293">
        <f>VLOOKUP($B182,'3、工程合同'!$D:$AL,25,0)</f>
        <v>0</v>
      </c>
      <c r="AA182" s="290">
        <f>VLOOKUP($B182,'3、工程合同'!$D:$AL,26,0)</f>
        <v>0</v>
      </c>
      <c r="AB182" s="293">
        <f>VLOOKUP($B182,'3、工程合同'!$D:$AL,27,0)</f>
        <v>0</v>
      </c>
      <c r="AC182" s="293">
        <f>VLOOKUP($B182,'3、工程合同'!$D:$AL,28,0)</f>
        <v>0</v>
      </c>
      <c r="AD182" s="290">
        <f>VLOOKUP($B182,'3、工程合同'!$D:$AL,29,0)</f>
        <v>0</v>
      </c>
      <c r="AE182" s="293">
        <f>VLOOKUP($B182,'3、工程合同'!$D:$AL,30,0)</f>
        <v>0</v>
      </c>
      <c r="AF182" s="293">
        <f>VLOOKUP($B182,'3、工程合同'!$D:$AL,31,0)</f>
        <v>0</v>
      </c>
      <c r="AG182" s="293">
        <f>VLOOKUP($B182,'3、工程合同'!$D:$AL,32,0)</f>
        <v>0</v>
      </c>
      <c r="AH182" s="293">
        <f>VLOOKUP($B182,'3、工程合同'!$D:$AL,33,0)</f>
        <v>0</v>
      </c>
      <c r="AI182" s="312">
        <f>VLOOKUP($B182,'3、工程合同'!$D:$AL,34,0)</f>
        <v>0</v>
      </c>
      <c r="AJ182" s="309">
        <f t="shared" si="46"/>
        <v>0.001</v>
      </c>
      <c r="AK182" s="289">
        <f t="shared" si="47"/>
        <v>0</v>
      </c>
      <c r="AL182" s="310">
        <f t="shared" si="48"/>
        <v>1</v>
      </c>
      <c r="AM182" s="289">
        <f t="shared" si="49"/>
        <v>0.001</v>
      </c>
      <c r="AN182" s="311" t="str">
        <f t="shared" si="50"/>
        <v>数据正确</v>
      </c>
    </row>
    <row r="183" customHeight="1" spans="1:40">
      <c r="A183" s="228" t="str">
        <f t="shared" si="51"/>
        <v>已完毕</v>
      </c>
      <c r="B183" s="256">
        <v>178</v>
      </c>
      <c r="C183" s="266" t="str">
        <f>VLOOKUP($B183,'3、工程合同'!$D:$AL,2,0)</f>
        <v>YRKJGC-170034</v>
      </c>
      <c r="D183" s="267" t="str">
        <f>VLOOKUP($B183,'3、工程合同'!$D:$AL,3,0)</f>
        <v>工程合同</v>
      </c>
      <c r="E183" s="267">
        <f>VLOOKUP($B183,'3、工程合同'!$D:$AL,4,0)</f>
        <v>0</v>
      </c>
      <c r="F183" s="268">
        <f>VLOOKUP($B183,'3、工程合同'!$D:$AL,5,0)</f>
        <v>42928</v>
      </c>
      <c r="G183" s="269">
        <f>VLOOKUP($B183,'3、工程合同'!$D:$AL,6,0)</f>
        <v>0.001</v>
      </c>
      <c r="H183" s="269" t="str">
        <f>VLOOKUP($B183,'3、工程合同'!$D:$AL,7,0)</f>
        <v>CPL项目设备监造技术服务</v>
      </c>
      <c r="I183" s="269" t="str">
        <f>VLOOKUP($B183,'3、工程合同'!$D:$AL,8,0)</f>
        <v>合肥通安工程机械设备监理有限公司</v>
      </c>
      <c r="J183" s="290">
        <f>VLOOKUP($B183,'3、工程合同'!$D:$AL,9,0)</f>
        <v>0</v>
      </c>
      <c r="K183" s="291" t="str">
        <f>VLOOKUP($B183,'3、工程合同'!$D:$AL,10,0)</f>
        <v>电汇</v>
      </c>
      <c r="L183" s="292" t="str">
        <f>VLOOKUP($B183,'3、工程合同'!$D:$AL,11,0)</f>
        <v>每三个月结算一次，依据甲方签字确认考勤表和乙方付款申请单，乙方开具发票，支付90%，余10%乙方提交报告和工作总结，产品验收合格一年后支付</v>
      </c>
      <c r="M183" s="293">
        <f>VLOOKUP($B183,'3、工程合同'!$D:$AL,12,0)</f>
        <v>0.0009</v>
      </c>
      <c r="N183" s="293">
        <f>VLOOKUP($B183,'3、工程合同'!$D:$AL,13,0)</f>
        <v>0.001</v>
      </c>
      <c r="O183" s="290" t="str">
        <f>VLOOKUP($B183,'3、工程合同'!$D:$AL,14,0)</f>
        <v>每三个月结算一次，依据甲方签字确认考勤表和乙方付款申请单，乙方开具发票，支付90%，余10%乙方提交报告和工作总结，产品验收合格一年后支付</v>
      </c>
      <c r="P183" s="293">
        <f>VLOOKUP($B183,'3、工程合同'!$D:$AL,15,0)</f>
        <v>0.0001</v>
      </c>
      <c r="Q183" s="293">
        <f>VLOOKUP($B183,'3、工程合同'!$D:$AL,16,0)</f>
        <v>0</v>
      </c>
      <c r="R183" s="290">
        <f>VLOOKUP($B183,'3、工程合同'!$D:$AL,17,0)</f>
        <v>0</v>
      </c>
      <c r="S183" s="293">
        <f>VLOOKUP($B183,'3、工程合同'!$D:$AL,18,0)</f>
        <v>0</v>
      </c>
      <c r="T183" s="293">
        <f>VLOOKUP($B183,'3、工程合同'!$D:$AL,19,0)</f>
        <v>0</v>
      </c>
      <c r="U183" s="290">
        <f>VLOOKUP($B183,'3、工程合同'!$D:$AL,20,0)</f>
        <v>0</v>
      </c>
      <c r="V183" s="293">
        <f>VLOOKUP($B183,'3、工程合同'!$D:$AL,21,0)</f>
        <v>0</v>
      </c>
      <c r="W183" s="293">
        <f>VLOOKUP($B183,'3、工程合同'!$D:$AL,22,0)</f>
        <v>0</v>
      </c>
      <c r="X183" s="290">
        <f>VLOOKUP($B183,'3、工程合同'!$D:$AL,23,0)</f>
        <v>0</v>
      </c>
      <c r="Y183" s="293">
        <f>VLOOKUP($B183,'3、工程合同'!$D:$AL,24,0)</f>
        <v>0</v>
      </c>
      <c r="Z183" s="293">
        <f>VLOOKUP($B183,'3、工程合同'!$D:$AL,25,0)</f>
        <v>0</v>
      </c>
      <c r="AA183" s="290">
        <f>VLOOKUP($B183,'3、工程合同'!$D:$AL,26,0)</f>
        <v>0</v>
      </c>
      <c r="AB183" s="293">
        <f>VLOOKUP($B183,'3、工程合同'!$D:$AL,27,0)</f>
        <v>0</v>
      </c>
      <c r="AC183" s="293">
        <f>VLOOKUP($B183,'3、工程合同'!$D:$AL,28,0)</f>
        <v>0</v>
      </c>
      <c r="AD183" s="290">
        <f>VLOOKUP($B183,'3、工程合同'!$D:$AL,29,0)</f>
        <v>0</v>
      </c>
      <c r="AE183" s="293">
        <f>VLOOKUP($B183,'3、工程合同'!$D:$AL,30,0)</f>
        <v>0</v>
      </c>
      <c r="AF183" s="293">
        <f>VLOOKUP($B183,'3、工程合同'!$D:$AL,31,0)</f>
        <v>0</v>
      </c>
      <c r="AG183" s="293">
        <f>VLOOKUP($B183,'3、工程合同'!$D:$AL,32,0)</f>
        <v>0</v>
      </c>
      <c r="AH183" s="293">
        <f>VLOOKUP($B183,'3、工程合同'!$D:$AL,33,0)</f>
        <v>0</v>
      </c>
      <c r="AI183" s="312">
        <f>VLOOKUP($B183,'3、工程合同'!$D:$AL,34,0)</f>
        <v>0</v>
      </c>
      <c r="AJ183" s="309">
        <f t="shared" si="46"/>
        <v>0.001</v>
      </c>
      <c r="AK183" s="289">
        <f t="shared" si="47"/>
        <v>0</v>
      </c>
      <c r="AL183" s="310">
        <f t="shared" si="48"/>
        <v>1</v>
      </c>
      <c r="AM183" s="289">
        <f t="shared" si="49"/>
        <v>0.001</v>
      </c>
      <c r="AN183" s="311" t="str">
        <f t="shared" si="50"/>
        <v>数据正确</v>
      </c>
    </row>
    <row r="184" customHeight="1" spans="1:40">
      <c r="A184" s="228" t="str">
        <f t="shared" si="51"/>
        <v/>
      </c>
      <c r="B184" s="261">
        <v>179</v>
      </c>
      <c r="C184" s="266" t="str">
        <f>VLOOKUP($B184,'4、其他合同'!$D:$AK,2,0)</f>
        <v>YRKJXZ-170012</v>
      </c>
      <c r="D184" s="267" t="s">
        <v>25</v>
      </c>
      <c r="E184" s="267">
        <f>VLOOKUP($B184,'4、其他合同'!$D:$AK,4,0)</f>
        <v>0</v>
      </c>
      <c r="F184" s="268">
        <f>VLOOKUP($B184,'4、其他合同'!$D:$AK,5,0)</f>
        <v>42937</v>
      </c>
      <c r="G184" s="269">
        <f>VLOOKUP($B184,'4、其他合同'!$D:$AK,6,0)</f>
        <v>948068</v>
      </c>
      <c r="H184" s="269" t="str">
        <f>VLOOKUP($B184,'4、其他合同'!$D:$AK,7,0)</f>
        <v>5#、6#宿舍楼冰箱家具</v>
      </c>
      <c r="I184" s="269" t="str">
        <f>VLOOKUP($B184,'4、其他合同'!$D:$AK,8,0)</f>
        <v>福建鸿达家具有限公司</v>
      </c>
      <c r="J184" s="290">
        <f>VLOOKUP($B184,'4、其他合同'!$D:$AK,9,0)</f>
        <v>0</v>
      </c>
      <c r="K184" s="291" t="str">
        <f>VLOOKUP($B184,'4、其他合同'!$D:$AK,10,0)</f>
        <v>6个月承兑汇票/电汇无说明</v>
      </c>
      <c r="L184" s="292" t="str">
        <f>VLOOKUP($B184,'4、其他合同'!$D:$AK,11,0)</f>
        <v>甲方收到货款验收合格以及全额的发票后15个工作日支付90%的货款</v>
      </c>
      <c r="M184" s="293">
        <f>VLOOKUP($B184,'4、其他合同'!$D:$AK,12,0)</f>
        <v>853261.2</v>
      </c>
      <c r="N184" s="293">
        <f>VLOOKUP($B184,'4、其他合同'!$D:$AK,13,0)</f>
        <v>0</v>
      </c>
      <c r="O184" s="290" t="str">
        <f>VLOOKUP($B184,'4、其他合同'!$D:$AK,14,0)</f>
        <v>10%质量保证金，验收合格后12个月支付</v>
      </c>
      <c r="P184" s="293">
        <f>VLOOKUP($B184,'4、其他合同'!$D:$AK,15,0)</f>
        <v>94806.8</v>
      </c>
      <c r="Q184" s="293">
        <f>VLOOKUP($B184,'4、其他合同'!$D:$AK,16,0)</f>
        <v>0</v>
      </c>
      <c r="R184" s="290">
        <f>VLOOKUP($B184,'4、其他合同'!$D:$AK,17,0)</f>
        <v>0</v>
      </c>
      <c r="S184" s="293">
        <f>VLOOKUP($B184,'4、其他合同'!$D:$AK,18,0)</f>
        <v>0</v>
      </c>
      <c r="T184" s="293">
        <f>VLOOKUP($B184,'4、其他合同'!$D:$AK,19,0)</f>
        <v>0</v>
      </c>
      <c r="U184" s="290">
        <f>VLOOKUP($B184,'4、其他合同'!$D:$AK,20,0)</f>
        <v>0</v>
      </c>
      <c r="V184" s="293">
        <f>VLOOKUP($B184,'4、其他合同'!$D:$AK,21,0)</f>
        <v>0</v>
      </c>
      <c r="W184" s="293">
        <f>VLOOKUP($B184,'4、其他合同'!$D:$AK,22,0)</f>
        <v>0</v>
      </c>
      <c r="X184" s="290">
        <f>VLOOKUP($B184,'4、其他合同'!$D:$AK,23,0)</f>
        <v>0</v>
      </c>
      <c r="Y184" s="293">
        <f>VLOOKUP($B184,'4、其他合同'!$D:$AK,24,0)</f>
        <v>0</v>
      </c>
      <c r="Z184" s="293">
        <f>VLOOKUP($B184,'4、其他合同'!$D:$AK,25,0)</f>
        <v>0</v>
      </c>
      <c r="AA184" s="290">
        <f>VLOOKUP($B184,'4、其他合同'!$D:$AK,26,0)</f>
        <v>0</v>
      </c>
      <c r="AB184" s="293">
        <f>VLOOKUP($B184,'4、其他合同'!$D:$AK,27,0)</f>
        <v>0</v>
      </c>
      <c r="AC184" s="293">
        <f>VLOOKUP($B184,'4、其他合同'!$D:$AK,28,0)</f>
        <v>0</v>
      </c>
      <c r="AD184" s="290">
        <f>VLOOKUP($B184,'4、其他合同'!$D:$AK,29,0)</f>
        <v>0</v>
      </c>
      <c r="AE184" s="293">
        <f>VLOOKUP($B184,'4、其他合同'!$D:$AK,30,0)</f>
        <v>0</v>
      </c>
      <c r="AF184" s="293">
        <f>VLOOKUP($B184,'4、其他合同'!$D:$AK,31,0)</f>
        <v>0</v>
      </c>
      <c r="AG184" s="293">
        <f>VLOOKUP($B184,'4、其他合同'!$D:$AK,32,0)</f>
        <v>0</v>
      </c>
      <c r="AH184" s="293">
        <f>VLOOKUP($B184,'4、其他合同'!$D:$AK,33,0)</f>
        <v>0</v>
      </c>
      <c r="AI184" s="312">
        <f>VLOOKUP($B184,'4、其他合同'!$D:$AK,34,0)</f>
        <v>0</v>
      </c>
      <c r="AJ184" s="309">
        <f t="shared" ref="AJ184:AJ192" si="52">N184+Q184+T184+W184+Z184+AC184+AF184+AI184</f>
        <v>0</v>
      </c>
      <c r="AK184" s="289">
        <f t="shared" ref="AK184:AK192" si="53">G184-AJ184</f>
        <v>948068</v>
      </c>
      <c r="AL184" s="310">
        <f t="shared" ref="AL184:AL192" si="54">AJ184/G184</f>
        <v>0</v>
      </c>
      <c r="AM184" s="289">
        <f t="shared" ref="AM184:AM192" si="55">M184+P184+S184+V184+Y184+AB184+AE184+AH184</f>
        <v>948068</v>
      </c>
      <c r="AN184" s="311" t="str">
        <f t="shared" ref="AN184:AN192" si="56">IF(AM184-G184=0,"数据正确","数据错误")</f>
        <v>数据正确</v>
      </c>
    </row>
    <row r="185" customHeight="1" spans="1:40">
      <c r="A185" s="228" t="str">
        <f t="shared" si="51"/>
        <v/>
      </c>
      <c r="B185" s="261">
        <v>180</v>
      </c>
      <c r="C185" s="266" t="str">
        <f>VLOOKUP($B185,'4、其他合同'!$D:$AK,2,0)</f>
        <v>YRKJXZ-170023</v>
      </c>
      <c r="D185" s="267" t="s">
        <v>25</v>
      </c>
      <c r="E185" s="267">
        <f>VLOOKUP($B185,'4、其他合同'!$D:$AK,4,0)</f>
        <v>0</v>
      </c>
      <c r="F185" s="268">
        <f>VLOOKUP($B185,'4、其他合同'!$D:$AK,5,0)</f>
        <v>42922</v>
      </c>
      <c r="G185" s="269">
        <f>VLOOKUP($B185,'4、其他合同'!$D:$AK,6,0)</f>
        <v>35000</v>
      </c>
      <c r="H185" s="269" t="str">
        <f>VLOOKUP($B185,'4、其他合同'!$D:$AK,7,0)</f>
        <v>钢板</v>
      </c>
      <c r="I185" s="269" t="str">
        <f>VLOOKUP($B185,'4、其他合同'!$D:$AK,8,0)</f>
        <v>常熟市鑫旺五金工艺厂</v>
      </c>
      <c r="J185" s="290">
        <f>VLOOKUP($B185,'4、其他合同'!$D:$AK,9,0)</f>
        <v>0</v>
      </c>
      <c r="K185" s="291" t="str">
        <f>VLOOKUP($B185,'4、其他合同'!$D:$AK,10,0)</f>
        <v>电汇</v>
      </c>
      <c r="L185" s="292" t="str">
        <f>VLOOKUP($B185,'4、其他合同'!$D:$AK,11,0)</f>
        <v>甲方收到货款验收合格以及全额的发票后15个工作日支付100%的货款</v>
      </c>
      <c r="M185" s="293">
        <f>VLOOKUP($B185,'4、其他合同'!$D:$AK,12,0)</f>
        <v>35000</v>
      </c>
      <c r="N185" s="293">
        <f>VLOOKUP($B185,'4、其他合同'!$D:$AK,13,0)</f>
        <v>0</v>
      </c>
      <c r="O185" s="290">
        <f>VLOOKUP($B185,'4、其他合同'!$D:$AK,14,0)</f>
        <v>0</v>
      </c>
      <c r="P185" s="293">
        <f>VLOOKUP($B185,'4、其他合同'!$D:$AK,15,0)</f>
        <v>0</v>
      </c>
      <c r="Q185" s="293">
        <f>VLOOKUP($B185,'4、其他合同'!$D:$AK,16,0)</f>
        <v>0</v>
      </c>
      <c r="R185" s="290">
        <f>VLOOKUP($B185,'4、其他合同'!$D:$AK,17,0)</f>
        <v>0</v>
      </c>
      <c r="S185" s="293">
        <f>VLOOKUP($B185,'4、其他合同'!$D:$AK,18,0)</f>
        <v>0</v>
      </c>
      <c r="T185" s="293">
        <f>VLOOKUP($B185,'4、其他合同'!$D:$AK,19,0)</f>
        <v>0</v>
      </c>
      <c r="U185" s="290">
        <f>VLOOKUP($B185,'4、其他合同'!$D:$AK,20,0)</f>
        <v>0</v>
      </c>
      <c r="V185" s="293">
        <f>VLOOKUP($B185,'4、其他合同'!$D:$AK,21,0)</f>
        <v>0</v>
      </c>
      <c r="W185" s="293">
        <f>VLOOKUP($B185,'4、其他合同'!$D:$AK,22,0)</f>
        <v>0</v>
      </c>
      <c r="X185" s="290">
        <f>VLOOKUP($B185,'4、其他合同'!$D:$AK,23,0)</f>
        <v>0</v>
      </c>
      <c r="Y185" s="293">
        <f>VLOOKUP($B185,'4、其他合同'!$D:$AK,24,0)</f>
        <v>0</v>
      </c>
      <c r="Z185" s="293">
        <f>VLOOKUP($B185,'4、其他合同'!$D:$AK,25,0)</f>
        <v>0</v>
      </c>
      <c r="AA185" s="290">
        <f>VLOOKUP($B185,'4、其他合同'!$D:$AK,26,0)</f>
        <v>0</v>
      </c>
      <c r="AB185" s="293">
        <f>VLOOKUP($B185,'4、其他合同'!$D:$AK,27,0)</f>
        <v>0</v>
      </c>
      <c r="AC185" s="293">
        <f>VLOOKUP($B185,'4、其他合同'!$D:$AK,28,0)</f>
        <v>0</v>
      </c>
      <c r="AD185" s="290">
        <f>VLOOKUP($B185,'4、其他合同'!$D:$AK,29,0)</f>
        <v>0</v>
      </c>
      <c r="AE185" s="293">
        <f>VLOOKUP($B185,'4、其他合同'!$D:$AK,30,0)</f>
        <v>0</v>
      </c>
      <c r="AF185" s="293">
        <f>VLOOKUP($B185,'4、其他合同'!$D:$AK,31,0)</f>
        <v>0</v>
      </c>
      <c r="AG185" s="293">
        <f>VLOOKUP($B185,'4、其他合同'!$D:$AK,32,0)</f>
        <v>0</v>
      </c>
      <c r="AH185" s="293">
        <f>VLOOKUP($B185,'4、其他合同'!$D:$AK,33,0)</f>
        <v>0</v>
      </c>
      <c r="AI185" s="312">
        <f>VLOOKUP($B185,'4、其他合同'!$D:$AK,34,0)</f>
        <v>0</v>
      </c>
      <c r="AJ185" s="309">
        <f t="shared" si="52"/>
        <v>0</v>
      </c>
      <c r="AK185" s="289">
        <f t="shared" si="53"/>
        <v>35000</v>
      </c>
      <c r="AL185" s="310">
        <f t="shared" si="54"/>
        <v>0</v>
      </c>
      <c r="AM185" s="289">
        <f t="shared" si="55"/>
        <v>35000</v>
      </c>
      <c r="AN185" s="311" t="str">
        <f t="shared" si="56"/>
        <v>数据正确</v>
      </c>
    </row>
    <row r="186" customHeight="1" spans="1:40">
      <c r="A186" s="228" t="str">
        <f t="shared" si="51"/>
        <v/>
      </c>
      <c r="B186" s="256">
        <v>181</v>
      </c>
      <c r="C186" s="266" t="str">
        <f>VLOOKUP($B186,'4、其他合同'!$D:$AK,2,0)</f>
        <v>YRKJXZ-170026</v>
      </c>
      <c r="D186" s="267" t="s">
        <v>25</v>
      </c>
      <c r="E186" s="267">
        <f>VLOOKUP($B186,'4、其他合同'!$D:$AK,4,0)</f>
        <v>0</v>
      </c>
      <c r="F186" s="268">
        <f>VLOOKUP($B186,'4、其他合同'!$D:$AK,5,0)</f>
        <v>42951</v>
      </c>
      <c r="G186" s="269">
        <f>VLOOKUP($B186,'4、其他合同'!$D:$AK,6,0)</f>
        <v>9520</v>
      </c>
      <c r="H186" s="269" t="str">
        <f>VLOOKUP($B186,'4、其他合同'!$D:$AK,7,0)</f>
        <v>格力空调4台</v>
      </c>
      <c r="I186" s="269" t="str">
        <f>VLOOKUP($B186,'4、其他合同'!$D:$AK,8,0)</f>
        <v>莆田市秀屿区宏达贸易有限公司</v>
      </c>
      <c r="J186" s="290">
        <f>VLOOKUP($B186,'4、其他合同'!$D:$AK,9,0)</f>
        <v>0</v>
      </c>
      <c r="K186" s="291" t="str">
        <f>VLOOKUP($B186,'4、其他合同'!$D:$AK,10,0)</f>
        <v>电汇</v>
      </c>
      <c r="L186" s="292" t="str">
        <f>VLOOKUP($B186,'4、其他合同'!$D:$AK,11,0)</f>
        <v>甲方收到货款验收合格以及全额的发票后15个工作日支付100%的货款</v>
      </c>
      <c r="M186" s="293">
        <f>VLOOKUP($B186,'4、其他合同'!$D:$AK,12,0)</f>
        <v>9520</v>
      </c>
      <c r="N186" s="293">
        <f>VLOOKUP($B186,'4、其他合同'!$D:$AK,13,0)</f>
        <v>0</v>
      </c>
      <c r="O186" s="290">
        <f>VLOOKUP($B186,'4、其他合同'!$D:$AK,14,0)</f>
        <v>0</v>
      </c>
      <c r="P186" s="293">
        <f>VLOOKUP($B186,'4、其他合同'!$D:$AK,15,0)</f>
        <v>0</v>
      </c>
      <c r="Q186" s="293">
        <f>VLOOKUP($B186,'4、其他合同'!$D:$AK,16,0)</f>
        <v>0</v>
      </c>
      <c r="R186" s="290">
        <f>VLOOKUP($B186,'4、其他合同'!$D:$AK,17,0)</f>
        <v>0</v>
      </c>
      <c r="S186" s="293">
        <f>VLOOKUP($B186,'4、其他合同'!$D:$AK,18,0)</f>
        <v>0</v>
      </c>
      <c r="T186" s="293">
        <f>VLOOKUP($B186,'4、其他合同'!$D:$AK,19,0)</f>
        <v>0</v>
      </c>
      <c r="U186" s="290">
        <f>VLOOKUP($B186,'4、其他合同'!$D:$AK,20,0)</f>
        <v>0</v>
      </c>
      <c r="V186" s="293">
        <f>VLOOKUP($B186,'4、其他合同'!$D:$AK,21,0)</f>
        <v>0</v>
      </c>
      <c r="W186" s="293">
        <f>VLOOKUP($B186,'4、其他合同'!$D:$AK,22,0)</f>
        <v>0</v>
      </c>
      <c r="X186" s="290">
        <f>VLOOKUP($B186,'4、其他合同'!$D:$AK,23,0)</f>
        <v>0</v>
      </c>
      <c r="Y186" s="293">
        <f>VLOOKUP($B186,'4、其他合同'!$D:$AK,24,0)</f>
        <v>0</v>
      </c>
      <c r="Z186" s="293">
        <f>VLOOKUP($B186,'4、其他合同'!$D:$AK,25,0)</f>
        <v>0</v>
      </c>
      <c r="AA186" s="290">
        <f>VLOOKUP($B186,'4、其他合同'!$D:$AK,26,0)</f>
        <v>0</v>
      </c>
      <c r="AB186" s="293">
        <f>VLOOKUP($B186,'4、其他合同'!$D:$AK,27,0)</f>
        <v>0</v>
      </c>
      <c r="AC186" s="293">
        <f>VLOOKUP($B186,'4、其他合同'!$D:$AK,28,0)</f>
        <v>0</v>
      </c>
      <c r="AD186" s="290">
        <f>VLOOKUP($B186,'4、其他合同'!$D:$AK,29,0)</f>
        <v>0</v>
      </c>
      <c r="AE186" s="293">
        <f>VLOOKUP($B186,'4、其他合同'!$D:$AK,30,0)</f>
        <v>0</v>
      </c>
      <c r="AF186" s="293">
        <f>VLOOKUP($B186,'4、其他合同'!$D:$AK,31,0)</f>
        <v>0</v>
      </c>
      <c r="AG186" s="293">
        <f>VLOOKUP($B186,'4、其他合同'!$D:$AK,32,0)</f>
        <v>0</v>
      </c>
      <c r="AH186" s="293">
        <f>VLOOKUP($B186,'4、其他合同'!$D:$AK,33,0)</f>
        <v>0</v>
      </c>
      <c r="AI186" s="312">
        <f>VLOOKUP($B186,'4、其他合同'!$D:$AK,34,0)</f>
        <v>0</v>
      </c>
      <c r="AJ186" s="309">
        <f t="shared" si="52"/>
        <v>0</v>
      </c>
      <c r="AK186" s="289">
        <f t="shared" si="53"/>
        <v>9520</v>
      </c>
      <c r="AL186" s="310">
        <f t="shared" si="54"/>
        <v>0</v>
      </c>
      <c r="AM186" s="289">
        <f t="shared" si="55"/>
        <v>9520</v>
      </c>
      <c r="AN186" s="311" t="str">
        <f t="shared" si="56"/>
        <v>数据正确</v>
      </c>
    </row>
    <row r="187" customHeight="1" spans="1:40">
      <c r="A187" s="228" t="str">
        <f t="shared" si="51"/>
        <v/>
      </c>
      <c r="B187" s="261">
        <v>182</v>
      </c>
      <c r="C187" s="266" t="str">
        <f>VLOOKUP($B187,'4、其他合同'!$D:$AK,2,0)</f>
        <v>YRKJXZ-170027</v>
      </c>
      <c r="D187" s="267" t="s">
        <v>25</v>
      </c>
      <c r="E187" s="267">
        <f>VLOOKUP($B187,'4、其他合同'!$D:$AK,4,0)</f>
        <v>0</v>
      </c>
      <c r="F187" s="268">
        <f>VLOOKUP($B187,'4、其他合同'!$D:$AK,5,0)</f>
        <v>42951</v>
      </c>
      <c r="G187" s="269">
        <f>VLOOKUP($B187,'4、其他合同'!$D:$AK,6,0)</f>
        <v>23450</v>
      </c>
      <c r="H187" s="269" t="str">
        <f>VLOOKUP($B187,'4、其他合同'!$D:$AK,7,0)</f>
        <v>联想台式电脑7台</v>
      </c>
      <c r="I187" s="269" t="str">
        <f>VLOOKUP($B187,'4、其他合同'!$D:$AK,8,0)</f>
        <v>福州威迅电子有限公司</v>
      </c>
      <c r="J187" s="290">
        <f>VLOOKUP($B187,'4、其他合同'!$D:$AK,9,0)</f>
        <v>0</v>
      </c>
      <c r="K187" s="291" t="str">
        <f>VLOOKUP($B187,'4、其他合同'!$D:$AK,10,0)</f>
        <v>电汇</v>
      </c>
      <c r="L187" s="292" t="str">
        <f>VLOOKUP($B187,'4、其他合同'!$D:$AK,11,0)</f>
        <v>甲方收到货款验收合格以及全额的发票后15个工作日支付90%的货款</v>
      </c>
      <c r="M187" s="293">
        <f>VLOOKUP($B187,'4、其他合同'!$D:$AK,12,0)</f>
        <v>23450</v>
      </c>
      <c r="N187" s="293">
        <f>VLOOKUP($B187,'4、其他合同'!$D:$AK,13,0)</f>
        <v>0</v>
      </c>
      <c r="O187" s="290">
        <f>VLOOKUP($B187,'4、其他合同'!$D:$AK,14,0)</f>
        <v>0</v>
      </c>
      <c r="P187" s="293">
        <f>VLOOKUP($B187,'4、其他合同'!$D:$AK,15,0)</f>
        <v>0</v>
      </c>
      <c r="Q187" s="293">
        <f>VLOOKUP($B187,'4、其他合同'!$D:$AK,16,0)</f>
        <v>0</v>
      </c>
      <c r="R187" s="290">
        <f>VLOOKUP($B187,'4、其他合同'!$D:$AK,17,0)</f>
        <v>0</v>
      </c>
      <c r="S187" s="293">
        <f>VLOOKUP($B187,'4、其他合同'!$D:$AK,18,0)</f>
        <v>0</v>
      </c>
      <c r="T187" s="293">
        <f>VLOOKUP($B187,'4、其他合同'!$D:$AK,19,0)</f>
        <v>0</v>
      </c>
      <c r="U187" s="290">
        <f>VLOOKUP($B187,'4、其他合同'!$D:$AK,20,0)</f>
        <v>0</v>
      </c>
      <c r="V187" s="293">
        <f>VLOOKUP($B187,'4、其他合同'!$D:$AK,21,0)</f>
        <v>0</v>
      </c>
      <c r="W187" s="293">
        <f>VLOOKUP($B187,'4、其他合同'!$D:$AK,22,0)</f>
        <v>0</v>
      </c>
      <c r="X187" s="290">
        <f>VLOOKUP($B187,'4、其他合同'!$D:$AK,23,0)</f>
        <v>0</v>
      </c>
      <c r="Y187" s="293">
        <f>VLOOKUP($B187,'4、其他合同'!$D:$AK,24,0)</f>
        <v>0</v>
      </c>
      <c r="Z187" s="293">
        <f>VLOOKUP($B187,'4、其他合同'!$D:$AK,25,0)</f>
        <v>0</v>
      </c>
      <c r="AA187" s="290">
        <f>VLOOKUP($B187,'4、其他合同'!$D:$AK,26,0)</f>
        <v>0</v>
      </c>
      <c r="AB187" s="293">
        <f>VLOOKUP($B187,'4、其他合同'!$D:$AK,27,0)</f>
        <v>0</v>
      </c>
      <c r="AC187" s="293">
        <f>VLOOKUP($B187,'4、其他合同'!$D:$AK,28,0)</f>
        <v>0</v>
      </c>
      <c r="AD187" s="290">
        <f>VLOOKUP($B187,'4、其他合同'!$D:$AK,29,0)</f>
        <v>0</v>
      </c>
      <c r="AE187" s="293">
        <f>VLOOKUP($B187,'4、其他合同'!$D:$AK,30,0)</f>
        <v>0</v>
      </c>
      <c r="AF187" s="293">
        <f>VLOOKUP($B187,'4、其他合同'!$D:$AK,31,0)</f>
        <v>0</v>
      </c>
      <c r="AG187" s="293">
        <f>VLOOKUP($B187,'4、其他合同'!$D:$AK,32,0)</f>
        <v>0</v>
      </c>
      <c r="AH187" s="293">
        <f>VLOOKUP($B187,'4、其他合同'!$D:$AK,33,0)</f>
        <v>0</v>
      </c>
      <c r="AI187" s="312">
        <f>VLOOKUP($B187,'4、其他合同'!$D:$AK,34,0)</f>
        <v>0</v>
      </c>
      <c r="AJ187" s="309">
        <f t="shared" si="52"/>
        <v>0</v>
      </c>
      <c r="AK187" s="289">
        <f t="shared" si="53"/>
        <v>23450</v>
      </c>
      <c r="AL187" s="310">
        <f t="shared" si="54"/>
        <v>0</v>
      </c>
      <c r="AM187" s="289">
        <f t="shared" si="55"/>
        <v>23450</v>
      </c>
      <c r="AN187" s="311" t="str">
        <f t="shared" si="56"/>
        <v>数据正确</v>
      </c>
    </row>
    <row r="188" customHeight="1" spans="1:40">
      <c r="A188" s="228" t="str">
        <f t="shared" si="51"/>
        <v>已完毕</v>
      </c>
      <c r="B188" s="261">
        <v>183</v>
      </c>
      <c r="C188" s="266" t="str">
        <f>VLOOKUP($B188,'4、其他合同'!$D:$AK,2,0)</f>
        <v>YRKJXZ-170016</v>
      </c>
      <c r="D188" s="267" t="s">
        <v>25</v>
      </c>
      <c r="E188" s="267">
        <f>VLOOKUP($B188,'4、其他合同'!$D:$AK,4,0)</f>
        <v>0</v>
      </c>
      <c r="F188" s="268">
        <f>VLOOKUP($B188,'4、其他合同'!$D:$AK,5,0)</f>
        <v>42887</v>
      </c>
      <c r="G188" s="269">
        <f>VLOOKUP($B188,'4、其他合同'!$D:$AK,6,0)</f>
        <v>0.001</v>
      </c>
      <c r="H188" s="269" t="str">
        <f>VLOOKUP($B188,'4、其他合同'!$D:$AK,7,0)</f>
        <v>单位采购业务协议书（早餐）</v>
      </c>
      <c r="I188" s="269" t="str">
        <f>VLOOKUP($B188,'4、其他合同'!$D:$AK,8,0)</f>
        <v>莆田市秀屿区东庄镇黄碧山小吃店</v>
      </c>
      <c r="J188" s="290">
        <f>VLOOKUP($B188,'4、其他合同'!$D:$AK,9,0)</f>
        <v>0</v>
      </c>
      <c r="K188" s="291" t="str">
        <f>VLOOKUP($B188,'4、其他合同'!$D:$AK,10,0)</f>
        <v>电汇</v>
      </c>
      <c r="L188" s="292" t="str">
        <f>VLOOKUP($B188,'4、其他合同'!$D:$AK,11,0)</f>
        <v>每月结一次</v>
      </c>
      <c r="M188" s="293">
        <f>VLOOKUP($B188,'4、其他合同'!$D:$AK,12,0)</f>
        <v>0.001</v>
      </c>
      <c r="N188" s="293">
        <f>VLOOKUP($B188,'4、其他合同'!$D:$AK,13,0)</f>
        <v>0.001</v>
      </c>
      <c r="O188" s="290">
        <f>VLOOKUP($B188,'4、其他合同'!$D:$AK,14,0)</f>
        <v>0</v>
      </c>
      <c r="P188" s="293">
        <f>VLOOKUP($B188,'4、其他合同'!$D:$AK,15,0)</f>
        <v>0</v>
      </c>
      <c r="Q188" s="293">
        <f>VLOOKUP($B188,'4、其他合同'!$D:$AK,16,0)</f>
        <v>0</v>
      </c>
      <c r="R188" s="290">
        <f>VLOOKUP($B188,'4、其他合同'!$D:$AK,17,0)</f>
        <v>0</v>
      </c>
      <c r="S188" s="293">
        <f>VLOOKUP($B188,'4、其他合同'!$D:$AK,18,0)</f>
        <v>0</v>
      </c>
      <c r="T188" s="293">
        <f>VLOOKUP($B188,'4、其他合同'!$D:$AK,19,0)</f>
        <v>0</v>
      </c>
      <c r="U188" s="290">
        <f>VLOOKUP($B188,'4、其他合同'!$D:$AK,20,0)</f>
        <v>0</v>
      </c>
      <c r="V188" s="293">
        <f>VLOOKUP($B188,'4、其他合同'!$D:$AK,21,0)</f>
        <v>0</v>
      </c>
      <c r="W188" s="293">
        <f>VLOOKUP($B188,'4、其他合同'!$D:$AK,22,0)</f>
        <v>0</v>
      </c>
      <c r="X188" s="290">
        <f>VLOOKUP($B188,'4、其他合同'!$D:$AK,23,0)</f>
        <v>0</v>
      </c>
      <c r="Y188" s="293">
        <f>VLOOKUP($B188,'4、其他合同'!$D:$AK,24,0)</f>
        <v>0</v>
      </c>
      <c r="Z188" s="293">
        <f>VLOOKUP($B188,'4、其他合同'!$D:$AK,25,0)</f>
        <v>0</v>
      </c>
      <c r="AA188" s="290">
        <f>VLOOKUP($B188,'4、其他合同'!$D:$AK,26,0)</f>
        <v>0</v>
      </c>
      <c r="AB188" s="293">
        <f>VLOOKUP($B188,'4、其他合同'!$D:$AK,27,0)</f>
        <v>0</v>
      </c>
      <c r="AC188" s="293">
        <f>VLOOKUP($B188,'4、其他合同'!$D:$AK,28,0)</f>
        <v>0</v>
      </c>
      <c r="AD188" s="290">
        <f>VLOOKUP($B188,'4、其他合同'!$D:$AK,29,0)</f>
        <v>0</v>
      </c>
      <c r="AE188" s="293">
        <f>VLOOKUP($B188,'4、其他合同'!$D:$AK,30,0)</f>
        <v>0</v>
      </c>
      <c r="AF188" s="293">
        <f>VLOOKUP($B188,'4、其他合同'!$D:$AK,31,0)</f>
        <v>0</v>
      </c>
      <c r="AG188" s="293">
        <f>VLOOKUP($B188,'4、其他合同'!$D:$AK,32,0)</f>
        <v>0</v>
      </c>
      <c r="AH188" s="293">
        <f>VLOOKUP($B188,'4、其他合同'!$D:$AK,33,0)</f>
        <v>0</v>
      </c>
      <c r="AI188" s="312">
        <f>VLOOKUP($B188,'4、其他合同'!$D:$AK,34,0)</f>
        <v>0</v>
      </c>
      <c r="AJ188" s="309">
        <f t="shared" si="52"/>
        <v>0.001</v>
      </c>
      <c r="AK188" s="289">
        <f t="shared" si="53"/>
        <v>0</v>
      </c>
      <c r="AL188" s="310">
        <f t="shared" si="54"/>
        <v>1</v>
      </c>
      <c r="AM188" s="289">
        <f t="shared" si="55"/>
        <v>0.001</v>
      </c>
      <c r="AN188" s="311" t="str">
        <f t="shared" si="56"/>
        <v>数据正确</v>
      </c>
    </row>
    <row r="189" customHeight="1" spans="1:40">
      <c r="A189" s="228" t="str">
        <f t="shared" si="51"/>
        <v>已完毕</v>
      </c>
      <c r="B189" s="256">
        <v>184</v>
      </c>
      <c r="C189" s="266" t="str">
        <f>VLOOKUP($B189,'4、其他合同'!$D:$AK,2,0)</f>
        <v>JPCT120015</v>
      </c>
      <c r="D189" s="267" t="s">
        <v>25</v>
      </c>
      <c r="E189" s="267" t="str">
        <f>VLOOKUP($B189,'4、其他合同'!$D:$AK,4,0)</f>
        <v>-</v>
      </c>
      <c r="F189" s="268">
        <f>VLOOKUP($B189,'4、其他合同'!$D:$AK,5,0)</f>
        <v>41233</v>
      </c>
      <c r="G189" s="269">
        <f>VLOOKUP($B189,'4、其他合同'!$D:$AK,6,0)</f>
        <v>8000000</v>
      </c>
      <c r="H189" s="269" t="str">
        <f>VLOOKUP($B189,'4、其他合同'!$D:$AK,7,0)</f>
        <v>工程设计及技术服务</v>
      </c>
      <c r="I189" s="269" t="str">
        <f>VLOOKUP($B189,'4、其他合同'!$D:$AK,8,0)</f>
        <v>京鼎工程建设有限公司</v>
      </c>
      <c r="J189" s="290">
        <f>VLOOKUP($B189,'4、其他合同'!$D:$AK,9,0)</f>
        <v>0</v>
      </c>
      <c r="K189" s="291" t="str">
        <f>VLOOKUP($B189,'4、其他合同'!$D:$AK,10,0)</f>
        <v>电汇</v>
      </c>
      <c r="L189" s="292" t="str">
        <f>VLOOKUP($B189,'4、其他合同'!$D:$AK,11,0)</f>
        <v>合同半路终止</v>
      </c>
      <c r="M189" s="293">
        <f>VLOOKUP($B189,'4、其他合同'!$D:$AK,12,0)</f>
        <v>8000000</v>
      </c>
      <c r="N189" s="293">
        <f>VLOOKUP($B189,'4、其他合同'!$D:$AK,13,0)</f>
        <v>8000000</v>
      </c>
      <c r="O189" s="290">
        <f>VLOOKUP($B189,'4、其他合同'!$D:$AK,14,0)</f>
        <v>0</v>
      </c>
      <c r="P189" s="293">
        <f>VLOOKUP($B189,'4、其他合同'!$D:$AK,15,0)</f>
        <v>0</v>
      </c>
      <c r="Q189" s="293">
        <f>VLOOKUP($B189,'4、其他合同'!$D:$AK,16,0)</f>
        <v>0</v>
      </c>
      <c r="R189" s="290">
        <f>VLOOKUP($B189,'4、其他合同'!$D:$AK,17,0)</f>
        <v>0</v>
      </c>
      <c r="S189" s="293">
        <f>VLOOKUP($B189,'4、其他合同'!$D:$AK,18,0)</f>
        <v>0</v>
      </c>
      <c r="T189" s="293">
        <f>VLOOKUP($B189,'4、其他合同'!$D:$AK,19,0)</f>
        <v>0</v>
      </c>
      <c r="U189" s="290">
        <f>VLOOKUP($B189,'4、其他合同'!$D:$AK,20,0)</f>
        <v>0</v>
      </c>
      <c r="V189" s="293">
        <f>VLOOKUP($B189,'4、其他合同'!$D:$AK,21,0)</f>
        <v>0</v>
      </c>
      <c r="W189" s="293">
        <f>VLOOKUP($B189,'4、其他合同'!$D:$AK,22,0)</f>
        <v>0</v>
      </c>
      <c r="X189" s="290">
        <f>VLOOKUP($B189,'4、其他合同'!$D:$AK,23,0)</f>
        <v>0</v>
      </c>
      <c r="Y189" s="293">
        <f>VLOOKUP($B189,'4、其他合同'!$D:$AK,24,0)</f>
        <v>0</v>
      </c>
      <c r="Z189" s="293">
        <f>VLOOKUP($B189,'4、其他合同'!$D:$AK,25,0)</f>
        <v>0</v>
      </c>
      <c r="AA189" s="290">
        <f>VLOOKUP($B189,'4、其他合同'!$D:$AK,26,0)</f>
        <v>0</v>
      </c>
      <c r="AB189" s="293">
        <f>VLOOKUP($B189,'4、其他合同'!$D:$AK,27,0)</f>
        <v>0</v>
      </c>
      <c r="AC189" s="293">
        <f>VLOOKUP($B189,'4、其他合同'!$D:$AK,28,0)</f>
        <v>0</v>
      </c>
      <c r="AD189" s="290">
        <f>VLOOKUP($B189,'4、其他合同'!$D:$AK,29,0)</f>
        <v>0</v>
      </c>
      <c r="AE189" s="293">
        <f>VLOOKUP($B189,'4、其他合同'!$D:$AK,30,0)</f>
        <v>0</v>
      </c>
      <c r="AF189" s="293">
        <f>VLOOKUP($B189,'4、其他合同'!$D:$AK,31,0)</f>
        <v>0</v>
      </c>
      <c r="AG189" s="293">
        <f>VLOOKUP($B189,'4、其他合同'!$D:$AK,32,0)</f>
        <v>0</v>
      </c>
      <c r="AH189" s="293">
        <f>VLOOKUP($B189,'4、其他合同'!$D:$AK,33,0)</f>
        <v>0</v>
      </c>
      <c r="AI189" s="312">
        <f>VLOOKUP($B189,'4、其他合同'!$D:$AK,34,0)</f>
        <v>0</v>
      </c>
      <c r="AJ189" s="309">
        <f t="shared" si="52"/>
        <v>8000000</v>
      </c>
      <c r="AK189" s="289">
        <f t="shared" si="53"/>
        <v>0</v>
      </c>
      <c r="AL189" s="310">
        <f t="shared" si="54"/>
        <v>1</v>
      </c>
      <c r="AM189" s="289">
        <f t="shared" si="55"/>
        <v>8000000</v>
      </c>
      <c r="AN189" s="311" t="str">
        <f t="shared" si="56"/>
        <v>数据正确</v>
      </c>
    </row>
    <row r="190" s="228" customFormat="1" customHeight="1" spans="1:40">
      <c r="A190" s="228" t="str">
        <f t="shared" si="51"/>
        <v>已完毕</v>
      </c>
      <c r="B190" s="261">
        <v>185</v>
      </c>
      <c r="C190" s="266" t="str">
        <f>VLOOKUP($B190,'4、其他合同'!$D:$AK,2,0)</f>
        <v>JPCT120016</v>
      </c>
      <c r="D190" s="267" t="s">
        <v>25</v>
      </c>
      <c r="E190" s="267" t="str">
        <f>VLOOKUP($B190,'4、其他合同'!$D:$AK,4,0)</f>
        <v>-</v>
      </c>
      <c r="F190" s="268">
        <f>VLOOKUP($B190,'4、其他合同'!$D:$AK,5,0)</f>
        <v>41226</v>
      </c>
      <c r="G190" s="269">
        <f>VLOOKUP($B190,'4、其他合同'!$D:$AK,6,0)</f>
        <v>11200000</v>
      </c>
      <c r="H190" s="269" t="str">
        <f>VLOOKUP($B190,'4、其他合同'!$D:$AK,7,0)</f>
        <v>建设工程项目合同</v>
      </c>
      <c r="I190" s="269" t="str">
        <f>VLOOKUP($B190,'4、其他合同'!$D:$AK,8,0)</f>
        <v>北京华福工程有限公司</v>
      </c>
      <c r="J190" s="290">
        <f>VLOOKUP($B190,'4、其他合同'!$D:$AK,9,0)</f>
        <v>0</v>
      </c>
      <c r="K190" s="291" t="str">
        <f>VLOOKUP($B190,'4、其他合同'!$D:$AK,10,0)</f>
        <v>电汇</v>
      </c>
      <c r="L190" s="292" t="str">
        <f>VLOOKUP($B190,'4、其他合同'!$D:$AK,11,0)</f>
        <v>锦江石化转永荣科技</v>
      </c>
      <c r="M190" s="293">
        <f>VLOOKUP($B190,'4、其他合同'!$D:$AK,12,0)</f>
        <v>11200000</v>
      </c>
      <c r="N190" s="293">
        <f>VLOOKUP($B190,'4、其他合同'!$D:$AK,13,0)</f>
        <v>11200000</v>
      </c>
      <c r="O190" s="290">
        <f>VLOOKUP($B190,'4、其他合同'!$D:$AK,14,0)</f>
        <v>0</v>
      </c>
      <c r="P190" s="293">
        <f>VLOOKUP($B190,'4、其他合同'!$D:$AK,15,0)</f>
        <v>0</v>
      </c>
      <c r="Q190" s="293">
        <f>VLOOKUP($B190,'4、其他合同'!$D:$AK,16,0)</f>
        <v>0</v>
      </c>
      <c r="R190" s="290">
        <f>VLOOKUP($B190,'4、其他合同'!$D:$AK,17,0)</f>
        <v>0</v>
      </c>
      <c r="S190" s="293">
        <f>VLOOKUP($B190,'4、其他合同'!$D:$AK,18,0)</f>
        <v>0</v>
      </c>
      <c r="T190" s="293">
        <f>VLOOKUP($B190,'4、其他合同'!$D:$AK,19,0)</f>
        <v>0</v>
      </c>
      <c r="U190" s="290">
        <f>VLOOKUP($B190,'4、其他合同'!$D:$AK,20,0)</f>
        <v>0</v>
      </c>
      <c r="V190" s="293">
        <f>VLOOKUP($B190,'4、其他合同'!$D:$AK,21,0)</f>
        <v>0</v>
      </c>
      <c r="W190" s="293">
        <f>VLOOKUP($B190,'4、其他合同'!$D:$AK,22,0)</f>
        <v>0</v>
      </c>
      <c r="X190" s="290">
        <f>VLOOKUP($B190,'4、其他合同'!$D:$AK,23,0)</f>
        <v>0</v>
      </c>
      <c r="Y190" s="293">
        <f>VLOOKUP($B190,'4、其他合同'!$D:$AK,24,0)</f>
        <v>0</v>
      </c>
      <c r="Z190" s="293">
        <f>VLOOKUP($B190,'4、其他合同'!$D:$AK,25,0)</f>
        <v>0</v>
      </c>
      <c r="AA190" s="290">
        <f>VLOOKUP($B190,'4、其他合同'!$D:$AK,26,0)</f>
        <v>0</v>
      </c>
      <c r="AB190" s="293">
        <f>VLOOKUP($B190,'4、其他合同'!$D:$AK,27,0)</f>
        <v>0</v>
      </c>
      <c r="AC190" s="293">
        <f>VLOOKUP($B190,'4、其他合同'!$D:$AK,28,0)</f>
        <v>0</v>
      </c>
      <c r="AD190" s="290">
        <f>VLOOKUP($B190,'4、其他合同'!$D:$AK,29,0)</f>
        <v>0</v>
      </c>
      <c r="AE190" s="293">
        <f>VLOOKUP($B190,'4、其他合同'!$D:$AK,30,0)</f>
        <v>0</v>
      </c>
      <c r="AF190" s="293">
        <f>VLOOKUP($B190,'4、其他合同'!$D:$AK,31,0)</f>
        <v>0</v>
      </c>
      <c r="AG190" s="293">
        <f>VLOOKUP($B190,'4、其他合同'!$D:$AK,32,0)</f>
        <v>0</v>
      </c>
      <c r="AH190" s="293">
        <f>VLOOKUP($B190,'4、其他合同'!$D:$AK,33,0)</f>
        <v>0</v>
      </c>
      <c r="AI190" s="312">
        <f>VLOOKUP($B190,'4、其他合同'!$D:$AK,34,0)</f>
        <v>0</v>
      </c>
      <c r="AJ190" s="309">
        <f t="shared" si="52"/>
        <v>11200000</v>
      </c>
      <c r="AK190" s="289">
        <f t="shared" si="53"/>
        <v>0</v>
      </c>
      <c r="AL190" s="310">
        <f t="shared" si="54"/>
        <v>1</v>
      </c>
      <c r="AM190" s="289">
        <f t="shared" si="55"/>
        <v>11200000</v>
      </c>
      <c r="AN190" s="311" t="str">
        <f t="shared" si="56"/>
        <v>数据正确</v>
      </c>
    </row>
    <row r="191" customHeight="1" spans="1:40">
      <c r="A191" s="228" t="e">
        <f t="shared" si="51"/>
        <v>#DIV/0!</v>
      </c>
      <c r="B191" s="261">
        <v>186</v>
      </c>
      <c r="C191" s="266" t="str">
        <f>VLOOKUP($B191,'4、其他合同'!$D:$AK,2,0)</f>
        <v>莆海域2015年出字04号、05号、莆秀国土资出字（2015）10号 （2016）2号</v>
      </c>
      <c r="D191" s="267" t="s">
        <v>25</v>
      </c>
      <c r="E191" s="267" t="str">
        <f>VLOOKUP($B191,'4、其他合同'!$D:$AK,4,0)</f>
        <v>-</v>
      </c>
      <c r="F191" s="268">
        <f>VLOOKUP($B191,'4、其他合同'!$D:$AK,5,0)</f>
        <v>42460</v>
      </c>
      <c r="G191" s="269">
        <f>VLOOKUP($B191,'4、其他合同'!$D:$AK,6,0)</f>
        <v>0</v>
      </c>
      <c r="H191" s="269" t="str">
        <f>VLOOKUP($B191,'4、其他合同'!$D:$AK,7,0)</f>
        <v>土地费政府补贴9780万元，II期建设土地费733.28万元</v>
      </c>
      <c r="I191" s="269" t="str">
        <f>VLOOKUP($B191,'4、其他合同'!$D:$AK,8,0)</f>
        <v>莆田市财政局、莆田市国土资源局秀屿分局</v>
      </c>
      <c r="J191" s="290">
        <f>VLOOKUP($B191,'4、其他合同'!$D:$AK,9,0)</f>
        <v>0</v>
      </c>
      <c r="K191" s="291" t="str">
        <f>VLOOKUP($B191,'4、其他合同'!$D:$AK,10,0)</f>
        <v>电汇</v>
      </c>
      <c r="L191" s="292" t="str">
        <f>VLOOKUP($B191,'4、其他合同'!$D:$AK,11,0)</f>
        <v>政府补贴</v>
      </c>
      <c r="M191" s="293">
        <f>VLOOKUP($B191,'4、其他合同'!$D:$AK,12,0)</f>
        <v>0</v>
      </c>
      <c r="N191" s="293">
        <f>VLOOKUP($B191,'4、其他合同'!$D:$AK,13,0)</f>
        <v>0</v>
      </c>
      <c r="O191" s="290">
        <f>VLOOKUP($B191,'4、其他合同'!$D:$AK,14,0)</f>
        <v>0</v>
      </c>
      <c r="P191" s="293">
        <f>VLOOKUP($B191,'4、其他合同'!$D:$AK,15,0)</f>
        <v>0</v>
      </c>
      <c r="Q191" s="293">
        <f>VLOOKUP($B191,'4、其他合同'!$D:$AK,16,0)</f>
        <v>0</v>
      </c>
      <c r="R191" s="290">
        <f>VLOOKUP($B191,'4、其他合同'!$D:$AK,17,0)</f>
        <v>0</v>
      </c>
      <c r="S191" s="293">
        <f>VLOOKUP($B191,'4、其他合同'!$D:$AK,18,0)</f>
        <v>0</v>
      </c>
      <c r="T191" s="293">
        <f>VLOOKUP($B191,'4、其他合同'!$D:$AK,19,0)</f>
        <v>0</v>
      </c>
      <c r="U191" s="290">
        <f>VLOOKUP($B191,'4、其他合同'!$D:$AK,20,0)</f>
        <v>0</v>
      </c>
      <c r="V191" s="293">
        <f>VLOOKUP($B191,'4、其他合同'!$D:$AK,21,0)</f>
        <v>0</v>
      </c>
      <c r="W191" s="293">
        <f>VLOOKUP($B191,'4、其他合同'!$D:$AK,22,0)</f>
        <v>0</v>
      </c>
      <c r="X191" s="290">
        <f>VLOOKUP($B191,'4、其他合同'!$D:$AK,23,0)</f>
        <v>0</v>
      </c>
      <c r="Y191" s="293">
        <f>VLOOKUP($B191,'4、其他合同'!$D:$AK,24,0)</f>
        <v>0</v>
      </c>
      <c r="Z191" s="293">
        <f>VLOOKUP($B191,'4、其他合同'!$D:$AK,25,0)</f>
        <v>0</v>
      </c>
      <c r="AA191" s="290">
        <f>VLOOKUP($B191,'4、其他合同'!$D:$AK,26,0)</f>
        <v>0</v>
      </c>
      <c r="AB191" s="293">
        <f>VLOOKUP($B191,'4、其他合同'!$D:$AK,27,0)</f>
        <v>0</v>
      </c>
      <c r="AC191" s="293">
        <f>VLOOKUP($B191,'4、其他合同'!$D:$AK,28,0)</f>
        <v>0</v>
      </c>
      <c r="AD191" s="290">
        <f>VLOOKUP($B191,'4、其他合同'!$D:$AK,29,0)</f>
        <v>0</v>
      </c>
      <c r="AE191" s="293">
        <f>VLOOKUP($B191,'4、其他合同'!$D:$AK,30,0)</f>
        <v>0</v>
      </c>
      <c r="AF191" s="293">
        <f>VLOOKUP($B191,'4、其他合同'!$D:$AK,31,0)</f>
        <v>0</v>
      </c>
      <c r="AG191" s="293">
        <f>VLOOKUP($B191,'4、其他合同'!$D:$AK,32,0)</f>
        <v>0</v>
      </c>
      <c r="AH191" s="293">
        <f>VLOOKUP($B191,'4、其他合同'!$D:$AK,33,0)</f>
        <v>0</v>
      </c>
      <c r="AI191" s="312">
        <f>VLOOKUP($B191,'4、其他合同'!$D:$AK,34,0)</f>
        <v>0</v>
      </c>
      <c r="AJ191" s="309">
        <f t="shared" si="52"/>
        <v>0</v>
      </c>
      <c r="AK191" s="289">
        <f t="shared" si="53"/>
        <v>0</v>
      </c>
      <c r="AL191" s="310" t="e">
        <f t="shared" si="54"/>
        <v>#DIV/0!</v>
      </c>
      <c r="AM191" s="289">
        <f t="shared" si="55"/>
        <v>0</v>
      </c>
      <c r="AN191" s="311" t="str">
        <f t="shared" si="56"/>
        <v>数据正确</v>
      </c>
    </row>
    <row r="192" customHeight="1" spans="1:40">
      <c r="A192" s="228" t="e">
        <f t="shared" si="51"/>
        <v>#DIV/0!</v>
      </c>
      <c r="B192" s="256">
        <v>187</v>
      </c>
      <c r="C192" s="266" t="str">
        <f>VLOOKUP($B192,'4、其他合同'!$D:$AK,2,0)</f>
        <v>无</v>
      </c>
      <c r="D192" s="267" t="s">
        <v>25</v>
      </c>
      <c r="E192" s="267" t="str">
        <f>VLOOKUP($B192,'4、其他合同'!$D:$AK,4,0)</f>
        <v>-</v>
      </c>
      <c r="F192" s="268">
        <f>VLOOKUP($B192,'4、其他合同'!$D:$AK,5,0)</f>
        <v>42520</v>
      </c>
      <c r="G192" s="269">
        <f>VLOOKUP($B192,'4、其他合同'!$D:$AK,6,0)</f>
        <v>0</v>
      </c>
      <c r="H192" s="269" t="str">
        <f>VLOOKUP($B192,'4、其他合同'!$D:$AK,7,0)</f>
        <v>排污权交易（付款60万吨排污费，本次一期工程按20万吨算）</v>
      </c>
      <c r="I192" s="269" t="str">
        <f>VLOOKUP($B192,'4、其他合同'!$D:$AK,8,0)</f>
        <v>仙游县环境保护局</v>
      </c>
      <c r="J192" s="290">
        <f>VLOOKUP($B192,'4、其他合同'!$D:$AK,9,0)</f>
        <v>0</v>
      </c>
      <c r="K192" s="291" t="str">
        <f>VLOOKUP($B192,'4、其他合同'!$D:$AK,10,0)</f>
        <v>电汇</v>
      </c>
      <c r="L192" s="292" t="str">
        <f>VLOOKUP($B192,'4、其他合同'!$D:$AK,11,0)</f>
        <v>合同签订10日之内一次性付清。定金4028653元，取得使用权证书后退回</v>
      </c>
      <c r="M192" s="293">
        <f>VLOOKUP($B192,'4、其他合同'!$D:$AK,12,0)</f>
        <v>0</v>
      </c>
      <c r="N192" s="293">
        <f>VLOOKUP($B192,'4、其他合同'!$D:$AK,13,0)</f>
        <v>0</v>
      </c>
      <c r="O192" s="290">
        <f>VLOOKUP($B192,'4、其他合同'!$D:$AK,14,0)</f>
        <v>0</v>
      </c>
      <c r="P192" s="293">
        <f>VLOOKUP($B192,'4、其他合同'!$D:$AK,15,0)</f>
        <v>0</v>
      </c>
      <c r="Q192" s="293">
        <f>VLOOKUP($B192,'4、其他合同'!$D:$AK,16,0)</f>
        <v>0</v>
      </c>
      <c r="R192" s="290">
        <f>VLOOKUP($B192,'4、其他合同'!$D:$AK,17,0)</f>
        <v>0</v>
      </c>
      <c r="S192" s="293">
        <f>VLOOKUP($B192,'4、其他合同'!$D:$AK,18,0)</f>
        <v>0</v>
      </c>
      <c r="T192" s="293">
        <f>VLOOKUP($B192,'4、其他合同'!$D:$AK,19,0)</f>
        <v>0</v>
      </c>
      <c r="U192" s="290">
        <f>VLOOKUP($B192,'4、其他合同'!$D:$AK,20,0)</f>
        <v>0</v>
      </c>
      <c r="V192" s="293">
        <f>VLOOKUP($B192,'4、其他合同'!$D:$AK,21,0)</f>
        <v>0</v>
      </c>
      <c r="W192" s="293">
        <f>VLOOKUP($B192,'4、其他合同'!$D:$AK,22,0)</f>
        <v>0</v>
      </c>
      <c r="X192" s="290">
        <f>VLOOKUP($B192,'4、其他合同'!$D:$AK,23,0)</f>
        <v>0</v>
      </c>
      <c r="Y192" s="293">
        <f>VLOOKUP($B192,'4、其他合同'!$D:$AK,24,0)</f>
        <v>0</v>
      </c>
      <c r="Z192" s="293">
        <f>VLOOKUP($B192,'4、其他合同'!$D:$AK,25,0)</f>
        <v>0</v>
      </c>
      <c r="AA192" s="290">
        <f>VLOOKUP($B192,'4、其他合同'!$D:$AK,26,0)</f>
        <v>0</v>
      </c>
      <c r="AB192" s="293">
        <f>VLOOKUP($B192,'4、其他合同'!$D:$AK,27,0)</f>
        <v>0</v>
      </c>
      <c r="AC192" s="293">
        <f>VLOOKUP($B192,'4、其他合同'!$D:$AK,28,0)</f>
        <v>0</v>
      </c>
      <c r="AD192" s="290">
        <f>VLOOKUP($B192,'4、其他合同'!$D:$AK,29,0)</f>
        <v>0</v>
      </c>
      <c r="AE192" s="293">
        <f>VLOOKUP($B192,'4、其他合同'!$D:$AK,30,0)</f>
        <v>0</v>
      </c>
      <c r="AF192" s="293">
        <f>VLOOKUP($B192,'4、其他合同'!$D:$AK,31,0)</f>
        <v>0</v>
      </c>
      <c r="AG192" s="293">
        <f>VLOOKUP($B192,'4、其他合同'!$D:$AK,32,0)</f>
        <v>0</v>
      </c>
      <c r="AH192" s="293">
        <f>VLOOKUP($B192,'4、其他合同'!$D:$AK,33,0)</f>
        <v>0</v>
      </c>
      <c r="AI192" s="312">
        <f>VLOOKUP($B192,'4、其他合同'!$D:$AK,34,0)</f>
        <v>0</v>
      </c>
      <c r="AJ192" s="309">
        <f t="shared" si="52"/>
        <v>0</v>
      </c>
      <c r="AK192" s="289">
        <f t="shared" si="53"/>
        <v>0</v>
      </c>
      <c r="AL192" s="310" t="e">
        <f t="shared" si="54"/>
        <v>#DIV/0!</v>
      </c>
      <c r="AM192" s="289">
        <f t="shared" si="55"/>
        <v>0</v>
      </c>
      <c r="AN192" s="311" t="str">
        <f t="shared" si="56"/>
        <v>数据正确</v>
      </c>
    </row>
    <row r="193" s="228" customFormat="1" customHeight="1" spans="1:40">
      <c r="A193" s="228" t="str">
        <f t="shared" si="51"/>
        <v/>
      </c>
      <c r="B193" s="261">
        <v>188</v>
      </c>
      <c r="C193" s="262" t="str">
        <f>VLOOKUP($B193,'2、设备合同'!$D:$AK,2,0)</f>
        <v>YRKJEQ-170035</v>
      </c>
      <c r="D193" s="263" t="str">
        <f>VLOOKUP($B193,'2、设备合同'!$D:$AK,3,0)</f>
        <v>设备合同</v>
      </c>
      <c r="E193" s="263">
        <f>VLOOKUP($B193,'2、设备合同'!$D:$AK,4,0)</f>
        <v>2017050050</v>
      </c>
      <c r="F193" s="264">
        <f>VLOOKUP($B193,'2、设备合同'!$D:$AK,5,0)</f>
        <v>42909</v>
      </c>
      <c r="G193" s="265">
        <f>VLOOKUP($B193,'2、设备合同'!$D:$AK,6,0)</f>
        <v>2530000</v>
      </c>
      <c r="H193" s="265" t="str">
        <f>VLOOKUP($B193,'2、设备合同'!$D:$AK,7,0)</f>
        <v>69台屏蔽泵</v>
      </c>
      <c r="I193" s="265" t="str">
        <f>VLOOKUP($B193,'2、设备合同'!$D:$AK,8,0)</f>
        <v>厦门予中化工有限公司</v>
      </c>
      <c r="J193" s="286">
        <f>VLOOKUP($B193,'2、设备合同'!$D:$AK,9,0)</f>
        <v>0</v>
      </c>
      <c r="K193" s="287" t="str">
        <f>VLOOKUP($B193,'2、设备合同'!$D:$AK,10,0)</f>
        <v>6个月承兑汇票/电汇不贴息</v>
      </c>
      <c r="L193" s="288" t="str">
        <f>VLOOKUP($B193,'2、设备合同'!$D:$AK,11,0)</f>
        <v>甲方收到乙方20%收据15个工作日支付预付款20%</v>
      </c>
      <c r="M193" s="289">
        <f>VLOOKUP($B193,'2、设备合同'!$D:$AK,12,0)</f>
        <v>506000</v>
      </c>
      <c r="N193" s="289">
        <f>VLOOKUP($B193,'2、设备合同'!$D:$AK,13,0)</f>
        <v>0</v>
      </c>
      <c r="O193" s="286" t="str">
        <f>VLOOKUP($B193,'2、设备合同'!$D:$AK,14,0)</f>
        <v>甲方提供全额专票，交货期内一个月支付75%发货款</v>
      </c>
      <c r="P193" s="289">
        <f>VLOOKUP($B193,'2、设备合同'!$D:$AK,15,0)</f>
        <v>1897500</v>
      </c>
      <c r="Q193" s="289">
        <f>VLOOKUP($B193,'2、设备合同'!$D:$AK,16,0)</f>
        <v>0</v>
      </c>
      <c r="R193" s="286" t="str">
        <f>VLOOKUP($B193,'2、设备合同'!$D:$AK,17,0)</f>
        <v>开车调试验收合格后，一个月内支付3%验收款</v>
      </c>
      <c r="S193" s="289">
        <f>VLOOKUP($B193,'2、设备合同'!$D:$AK,18,0)</f>
        <v>75900</v>
      </c>
      <c r="T193" s="289">
        <f>VLOOKUP($B193,'2、设备合同'!$D:$AK,19,0)</f>
        <v>0</v>
      </c>
      <c r="U193" s="286" t="str">
        <f>VLOOKUP($B193,'2、设备合同'!$D:$AK,20,0)</f>
        <v>2%质保金，验收合格12个月或到货现场18个月</v>
      </c>
      <c r="V193" s="289">
        <f>VLOOKUP($B193,'2、设备合同'!$D:$AK,21,0)</f>
        <v>50600</v>
      </c>
      <c r="W193" s="289">
        <f>VLOOKUP($B193,'2、设备合同'!$D:$AK,22,0)</f>
        <v>0</v>
      </c>
      <c r="X193" s="286">
        <f>VLOOKUP($B193,'2、设备合同'!$D:$AK,23,0)</f>
        <v>0</v>
      </c>
      <c r="Y193" s="289">
        <f>VLOOKUP($B193,'2、设备合同'!$D:$AK,24,0)</f>
        <v>0</v>
      </c>
      <c r="Z193" s="289">
        <f>VLOOKUP($B193,'2、设备合同'!$D:$AK,25,0)</f>
        <v>0</v>
      </c>
      <c r="AA193" s="286">
        <f>VLOOKUP($B193,'2、设备合同'!$D:$AK,26,0)</f>
        <v>0</v>
      </c>
      <c r="AB193" s="289">
        <f>VLOOKUP($B193,'2、设备合同'!$D:$AK,27,0)</f>
        <v>0</v>
      </c>
      <c r="AC193" s="289">
        <f>VLOOKUP($B193,'2、设备合同'!$D:$AK,28,0)</f>
        <v>0</v>
      </c>
      <c r="AD193" s="286">
        <f>VLOOKUP($B193,'2、设备合同'!$D:$AK,29,0)</f>
        <v>0</v>
      </c>
      <c r="AE193" s="289">
        <f>VLOOKUP($B193,'2、设备合同'!$D:$AK,30,0)</f>
        <v>0</v>
      </c>
      <c r="AF193" s="289">
        <f>VLOOKUP($B193,'2、设备合同'!$D:$AK,31,0)</f>
        <v>0</v>
      </c>
      <c r="AG193" s="289">
        <f>VLOOKUP($B193,'2、设备合同'!$D:$AK,32,0)</f>
        <v>0</v>
      </c>
      <c r="AH193" s="289">
        <f>VLOOKUP($B193,'2、设备合同'!$D:$AK,33,0)</f>
        <v>0</v>
      </c>
      <c r="AI193" s="308">
        <f>VLOOKUP($B193,'2、设备合同'!$D:$AK,34,0)</f>
        <v>0</v>
      </c>
      <c r="AJ193" s="309">
        <f t="shared" ref="AJ193:AJ216" si="57">N193+Q193+T193+W193+Z193+AC193+AF193+AI193</f>
        <v>0</v>
      </c>
      <c r="AK193" s="289">
        <f t="shared" ref="AK193:AK216" si="58">G193-AJ193</f>
        <v>2530000</v>
      </c>
      <c r="AL193" s="310">
        <f t="shared" ref="AL193:AL216" si="59">AJ193/G193</f>
        <v>0</v>
      </c>
      <c r="AM193" s="289">
        <f t="shared" ref="AM193:AM216" si="60">M193+P193+S193+V193+Y193+AB193+AE193+AH193</f>
        <v>2530000</v>
      </c>
      <c r="AN193" s="311" t="str">
        <f t="shared" ref="AN193:AN216" si="61">IF(AM193-G193=0,"数据正确","数据错误")</f>
        <v>数据正确</v>
      </c>
    </row>
    <row r="194" s="228" customFormat="1" customHeight="1" spans="1:40">
      <c r="A194" s="228" t="str">
        <f t="shared" si="51"/>
        <v/>
      </c>
      <c r="B194" s="261">
        <v>189</v>
      </c>
      <c r="C194" s="262" t="str">
        <f>VLOOKUP($B194,'2、设备合同'!$D:$AK,2,0)</f>
        <v>YRKJEQ-170058</v>
      </c>
      <c r="D194" s="263" t="str">
        <f>VLOOKUP($B194,'2、设备合同'!$D:$AK,3,0)</f>
        <v>设备合同</v>
      </c>
      <c r="E194" s="263">
        <f>VLOOKUP($B194,'2、设备合同'!$D:$AK,4,0)</f>
        <v>2017060088</v>
      </c>
      <c r="F194" s="264">
        <f>VLOOKUP($B194,'2、设备合同'!$D:$AK,5,0)</f>
        <v>42954</v>
      </c>
      <c r="G194" s="265">
        <f>VLOOKUP($B194,'2、设备合同'!$D:$AK,6,0)</f>
        <v>1314000</v>
      </c>
      <c r="H194" s="265" t="str">
        <f>VLOOKUP($B194,'2、设备合同'!$D:$AK,7,0)</f>
        <v>釜液循环前置换热器6台</v>
      </c>
      <c r="I194" s="265" t="str">
        <f>VLOOKUP($B194,'2、设备合同'!$D:$AK,8,0)</f>
        <v>北京广夏环能科技股份有限公司</v>
      </c>
      <c r="J194" s="286">
        <f>VLOOKUP($B194,'2、设备合同'!$D:$AK,9,0)</f>
        <v>0</v>
      </c>
      <c r="K194" s="287" t="str">
        <f>VLOOKUP($B194,'2、设备合同'!$D:$AK,10,0)</f>
        <v>6个月承兑汇票/电汇总降2.1万元</v>
      </c>
      <c r="L194" s="288" t="str">
        <f>VLOOKUP($B194,'2、设备合同'!$D:$AK,11,0)</f>
        <v>甲方授权人到乙方清点并检查货物合格后，签发发货同意书，收到60%专票后15个工作日，支付60%发货款  10%履约保函</v>
      </c>
      <c r="M194" s="289">
        <f>VLOOKUP($B194,'2、设备合同'!$D:$AK,12,0)</f>
        <v>788400</v>
      </c>
      <c r="N194" s="289">
        <f>VLOOKUP($B194,'2、设备合同'!$D:$AK,13,0)</f>
        <v>0</v>
      </c>
      <c r="O194" s="286" t="str">
        <f>VLOOKUP($B194,'2、设备合同'!$D:$AK,14,0)</f>
        <v>甲方核定的调试合格报告及足额的发票后付30%的验收款</v>
      </c>
      <c r="P194" s="289">
        <f>VLOOKUP($B194,'2、设备合同'!$D:$AK,15,0)</f>
        <v>394200</v>
      </c>
      <c r="Q194" s="289">
        <f>VLOOKUP($B194,'2、设备合同'!$D:$AK,16,0)</f>
        <v>0</v>
      </c>
      <c r="R194" s="286" t="str">
        <f>VLOOKUP($B194,'2、设备合同'!$D:$AK,17,0)</f>
        <v>10%质保金，验收合格12个月或到货现场18个月</v>
      </c>
      <c r="S194" s="289">
        <f>VLOOKUP($B194,'2、设备合同'!$D:$AK,18,0)</f>
        <v>131400</v>
      </c>
      <c r="T194" s="289">
        <f>VLOOKUP($B194,'2、设备合同'!$D:$AK,19,0)</f>
        <v>0</v>
      </c>
      <c r="U194" s="286">
        <f>VLOOKUP($B194,'2、设备合同'!$D:$AK,20,0)</f>
        <v>0</v>
      </c>
      <c r="V194" s="289">
        <f>VLOOKUP($B194,'2、设备合同'!$D:$AK,21,0)</f>
        <v>0</v>
      </c>
      <c r="W194" s="289">
        <f>VLOOKUP($B194,'2、设备合同'!$D:$AK,22,0)</f>
        <v>0</v>
      </c>
      <c r="X194" s="286">
        <f>VLOOKUP($B194,'2、设备合同'!$D:$AK,23,0)</f>
        <v>0</v>
      </c>
      <c r="Y194" s="289">
        <f>VLOOKUP($B194,'2、设备合同'!$D:$AK,24,0)</f>
        <v>0</v>
      </c>
      <c r="Z194" s="289">
        <f>VLOOKUP($B194,'2、设备合同'!$D:$AK,25,0)</f>
        <v>0</v>
      </c>
      <c r="AA194" s="286">
        <f>VLOOKUP($B194,'2、设备合同'!$D:$AK,26,0)</f>
        <v>0</v>
      </c>
      <c r="AB194" s="289">
        <f>VLOOKUP($B194,'2、设备合同'!$D:$AK,27,0)</f>
        <v>0</v>
      </c>
      <c r="AC194" s="289">
        <f>VLOOKUP($B194,'2、设备合同'!$D:$AK,28,0)</f>
        <v>0</v>
      </c>
      <c r="AD194" s="286">
        <f>VLOOKUP($B194,'2、设备合同'!$D:$AK,29,0)</f>
        <v>0</v>
      </c>
      <c r="AE194" s="289">
        <f>VLOOKUP($B194,'2、设备合同'!$D:$AK,30,0)</f>
        <v>0</v>
      </c>
      <c r="AF194" s="289">
        <f>VLOOKUP($B194,'2、设备合同'!$D:$AK,31,0)</f>
        <v>0</v>
      </c>
      <c r="AG194" s="289">
        <f>VLOOKUP($B194,'2、设备合同'!$D:$AK,32,0)</f>
        <v>0</v>
      </c>
      <c r="AH194" s="289">
        <f>VLOOKUP($B194,'2、设备合同'!$D:$AK,33,0)</f>
        <v>0</v>
      </c>
      <c r="AI194" s="308">
        <f>VLOOKUP($B194,'2、设备合同'!$D:$AK,34,0)</f>
        <v>0</v>
      </c>
      <c r="AJ194" s="309">
        <f t="shared" si="57"/>
        <v>0</v>
      </c>
      <c r="AK194" s="289">
        <f t="shared" si="58"/>
        <v>1314000</v>
      </c>
      <c r="AL194" s="310">
        <f t="shared" si="59"/>
        <v>0</v>
      </c>
      <c r="AM194" s="289">
        <f t="shared" si="60"/>
        <v>1314000</v>
      </c>
      <c r="AN194" s="311" t="str">
        <f t="shared" si="61"/>
        <v>数据正确</v>
      </c>
    </row>
    <row r="195" s="228" customFormat="1" customHeight="1" spans="1:40">
      <c r="A195" s="228" t="str">
        <f t="shared" si="51"/>
        <v/>
      </c>
      <c r="B195" s="256">
        <v>190</v>
      </c>
      <c r="C195" s="262" t="str">
        <f>VLOOKUP($B195,'2、设备合同'!$D:$AK,2,0)</f>
        <v>YRKJEQ-170066</v>
      </c>
      <c r="D195" s="263" t="str">
        <f>VLOOKUP($B195,'2、设备合同'!$D:$AK,3,0)</f>
        <v>设备合同</v>
      </c>
      <c r="E195" s="263">
        <f>VLOOKUP($B195,'2、设备合同'!$D:$AK,4,0)</f>
        <v>2017060040</v>
      </c>
      <c r="F195" s="264">
        <f>VLOOKUP($B195,'2、设备合同'!$D:$AK,5,0)</f>
        <v>42956</v>
      </c>
      <c r="G195" s="265">
        <f>VLOOKUP($B195,'2、设备合同'!$D:$AK,6,0)</f>
        <v>1379000</v>
      </c>
      <c r="H195" s="265" t="str">
        <f>VLOOKUP($B195,'2、设备合同'!$D:$AK,7,0)</f>
        <v>过滤器</v>
      </c>
      <c r="I195" s="265" t="str">
        <f>VLOOKUP($B195,'2、设备合同'!$D:$AK,8,0)</f>
        <v>河北美邦工程科技股份有限公司</v>
      </c>
      <c r="J195" s="286" t="str">
        <f>VLOOKUP($B195,'2、设备合同'!$D:$AK,9,0)</f>
        <v>环己酮装置</v>
      </c>
      <c r="K195" s="287" t="str">
        <f>VLOOKUP($B195,'2、设备合同'!$D:$AK,10,0)</f>
        <v>6个月承兑汇票/电汇下浮3%</v>
      </c>
      <c r="L195" s="288" t="str">
        <f>VLOOKUP($B195,'2、设备合同'!$D:$AK,11,0)</f>
        <v>甲方收到乙方20%的预付款保函以及本合同的20%收据后15个工作日支付20%预付款</v>
      </c>
      <c r="M195" s="289">
        <f>VLOOKUP($B195,'2、设备合同'!$D:$AK,12,0)</f>
        <v>275800</v>
      </c>
      <c r="N195" s="289">
        <f>VLOOKUP($B195,'2、设备合同'!$D:$AK,13,0)</f>
        <v>275800</v>
      </c>
      <c r="O195" s="286" t="str">
        <f>VLOOKUP($B195,'2、设备合同'!$D:$AK,14,0)</f>
        <v>甲方授权人到乙方清点并检查货物合格后，签发发货同意书，收到60%专票后15个工作日，支付40%发货款  </v>
      </c>
      <c r="P195" s="289">
        <f>VLOOKUP($B195,'2、设备合同'!$D:$AK,15,0)</f>
        <v>551600</v>
      </c>
      <c r="Q195" s="289">
        <f>VLOOKUP($B195,'2、设备合同'!$D:$AK,16,0)</f>
        <v>0</v>
      </c>
      <c r="R195" s="286" t="str">
        <f>VLOOKUP($B195,'2、设备合同'!$D:$AK,17,0)</f>
        <v>甲方收到核定的调试合格报告后15个工作日，支付30%调试款</v>
      </c>
      <c r="S195" s="289">
        <f>VLOOKUP($B195,'2、设备合同'!$D:$AK,18,0)</f>
        <v>413700</v>
      </c>
      <c r="T195" s="289">
        <f>VLOOKUP($B195,'2、设备合同'!$D:$AK,19,0)</f>
        <v>0</v>
      </c>
      <c r="U195" s="286" t="str">
        <f>VLOOKUP($B195,'2、设备合同'!$D:$AK,20,0)</f>
        <v>10%质保金，验收合格12个月或到货现场18个月</v>
      </c>
      <c r="V195" s="289">
        <f>VLOOKUP($B195,'2、设备合同'!$D:$AK,21,0)</f>
        <v>137900</v>
      </c>
      <c r="W195" s="289">
        <f>VLOOKUP($B195,'2、设备合同'!$D:$AK,22,0)</f>
        <v>0</v>
      </c>
      <c r="X195" s="286">
        <f>VLOOKUP($B195,'2、设备合同'!$D:$AK,23,0)</f>
        <v>0</v>
      </c>
      <c r="Y195" s="289">
        <f>VLOOKUP($B195,'2、设备合同'!$D:$AK,24,0)</f>
        <v>0</v>
      </c>
      <c r="Z195" s="289">
        <f>VLOOKUP($B195,'2、设备合同'!$D:$AK,25,0)</f>
        <v>0</v>
      </c>
      <c r="AA195" s="286">
        <f>VLOOKUP($B195,'2、设备合同'!$D:$AK,26,0)</f>
        <v>0</v>
      </c>
      <c r="AB195" s="289">
        <f>VLOOKUP($B195,'2、设备合同'!$D:$AK,27,0)</f>
        <v>0</v>
      </c>
      <c r="AC195" s="289">
        <f>VLOOKUP($B195,'2、设备合同'!$D:$AK,28,0)</f>
        <v>0</v>
      </c>
      <c r="AD195" s="286">
        <f>VLOOKUP($B195,'2、设备合同'!$D:$AK,29,0)</f>
        <v>0</v>
      </c>
      <c r="AE195" s="289">
        <f>VLOOKUP($B195,'2、设备合同'!$D:$AK,30,0)</f>
        <v>0</v>
      </c>
      <c r="AF195" s="289">
        <f>VLOOKUP($B195,'2、设备合同'!$D:$AK,31,0)</f>
        <v>0</v>
      </c>
      <c r="AG195" s="289">
        <f>VLOOKUP($B195,'2、设备合同'!$D:$AK,32,0)</f>
        <v>0</v>
      </c>
      <c r="AH195" s="289">
        <f>VLOOKUP($B195,'2、设备合同'!$D:$AK,33,0)</f>
        <v>0</v>
      </c>
      <c r="AI195" s="308">
        <f>VLOOKUP($B195,'2、设备合同'!$D:$AK,34,0)</f>
        <v>0</v>
      </c>
      <c r="AJ195" s="309">
        <f t="shared" si="57"/>
        <v>275800</v>
      </c>
      <c r="AK195" s="289">
        <f t="shared" si="58"/>
        <v>1103200</v>
      </c>
      <c r="AL195" s="310">
        <f t="shared" si="59"/>
        <v>0.2</v>
      </c>
      <c r="AM195" s="289">
        <f t="shared" si="60"/>
        <v>1379000</v>
      </c>
      <c r="AN195" s="311" t="str">
        <f t="shared" si="61"/>
        <v>数据正确</v>
      </c>
    </row>
    <row r="196" s="228" customFormat="1" customHeight="1" spans="1:40">
      <c r="A196" s="228" t="str">
        <f t="shared" si="51"/>
        <v/>
      </c>
      <c r="B196" s="261">
        <v>191</v>
      </c>
      <c r="C196" s="262" t="str">
        <f>VLOOKUP($B196,'2、设备合同'!$D:$AK,2,0)</f>
        <v>YRKJEQ-170070</v>
      </c>
      <c r="D196" s="263" t="str">
        <f>VLOOKUP($B196,'2、设备合同'!$D:$AK,3,0)</f>
        <v>设备合同</v>
      </c>
      <c r="E196" s="263">
        <f>VLOOKUP($B196,'2、设备合同'!$D:$AK,4,0)</f>
        <v>0</v>
      </c>
      <c r="F196" s="264">
        <f>VLOOKUP($B196,'2、设备合同'!$D:$AK,5,0)</f>
        <v>42961</v>
      </c>
      <c r="G196" s="265">
        <f>VLOOKUP($B196,'2、设备合同'!$D:$AK,6,0)</f>
        <v>4365000</v>
      </c>
      <c r="H196" s="265" t="str">
        <f>VLOOKUP($B196,'2、设备合同'!$D:$AK,7,0)</f>
        <v>冷凝水除油除铁装置</v>
      </c>
      <c r="I196" s="265" t="str">
        <f>VLOOKUP($B196,'2、设备合同'!$D:$AK,8,0)</f>
        <v>南京碧盾环保科技股份有限公司</v>
      </c>
      <c r="J196" s="286">
        <f>VLOOKUP($B196,'2、设备合同'!$D:$AK,9,0)</f>
        <v>0</v>
      </c>
      <c r="K196" s="287" t="str">
        <f>VLOOKUP($B196,'2、设备合同'!$D:$AK,10,0)</f>
        <v>电汇</v>
      </c>
      <c r="L196" s="288" t="str">
        <f>VLOOKUP($B196,'2、设备合同'!$D:$AK,11,0)</f>
        <v>甲方收到乙方10%的预付款保函以及本合同的10%专票后15个工作日支付10%预付款</v>
      </c>
      <c r="M196" s="289">
        <f>VLOOKUP($B196,'2、设备合同'!$D:$AK,12,0)</f>
        <v>436500</v>
      </c>
      <c r="N196" s="289">
        <f>VLOOKUP($B196,'2、设备合同'!$D:$AK,13,0)</f>
        <v>0</v>
      </c>
      <c r="O196" s="286" t="str">
        <f>VLOOKUP($B196,'2、设备合同'!$D:$AK,14,0)</f>
        <v>甲方授权人到乙方清点并检查货物合格后，签发发货同意书，收到50%专票后15个工作日，支付50%发货款  </v>
      </c>
      <c r="P196" s="289">
        <f>VLOOKUP($B196,'2、设备合同'!$D:$AK,15,0)</f>
        <v>2182500</v>
      </c>
      <c r="Q196" s="289">
        <f>VLOOKUP($B196,'2、设备合同'!$D:$AK,16,0)</f>
        <v>0</v>
      </c>
      <c r="R196" s="286" t="str">
        <f>VLOOKUP($B196,'2、设备合同'!$D:$AK,17,0)</f>
        <v>甲方收到核定的调试合格报告后15个工作日，支付30%调试款</v>
      </c>
      <c r="S196" s="289">
        <f>VLOOKUP($B196,'2、设备合同'!$D:$AK,18,0)</f>
        <v>1309500</v>
      </c>
      <c r="T196" s="289">
        <f>VLOOKUP($B196,'2、设备合同'!$D:$AK,19,0)</f>
        <v>0</v>
      </c>
      <c r="U196" s="286" t="str">
        <f>VLOOKUP($B196,'2、设备合同'!$D:$AK,20,0)</f>
        <v>10%质保金，验收合格12个月或到货现场18个月</v>
      </c>
      <c r="V196" s="289">
        <f>VLOOKUP($B196,'2、设备合同'!$D:$AK,21,0)</f>
        <v>436500</v>
      </c>
      <c r="W196" s="289">
        <f>VLOOKUP($B196,'2、设备合同'!$D:$AK,22,0)</f>
        <v>0</v>
      </c>
      <c r="X196" s="286">
        <f>VLOOKUP($B196,'2、设备合同'!$D:$AK,23,0)</f>
        <v>0</v>
      </c>
      <c r="Y196" s="289">
        <f>VLOOKUP($B196,'2、设备合同'!$D:$AK,24,0)</f>
        <v>0</v>
      </c>
      <c r="Z196" s="289">
        <f>VLOOKUP($B196,'2、设备合同'!$D:$AK,25,0)</f>
        <v>0</v>
      </c>
      <c r="AA196" s="286">
        <f>VLOOKUP($B196,'2、设备合同'!$D:$AK,26,0)</f>
        <v>0</v>
      </c>
      <c r="AB196" s="289">
        <f>VLOOKUP($B196,'2、设备合同'!$D:$AK,27,0)</f>
        <v>0</v>
      </c>
      <c r="AC196" s="289">
        <f>VLOOKUP($B196,'2、设备合同'!$D:$AK,28,0)</f>
        <v>0</v>
      </c>
      <c r="AD196" s="286">
        <f>VLOOKUP($B196,'2、设备合同'!$D:$AK,29,0)</f>
        <v>0</v>
      </c>
      <c r="AE196" s="289">
        <f>VLOOKUP($B196,'2、设备合同'!$D:$AK,30,0)</f>
        <v>0</v>
      </c>
      <c r="AF196" s="289">
        <f>VLOOKUP($B196,'2、设备合同'!$D:$AK,31,0)</f>
        <v>0</v>
      </c>
      <c r="AG196" s="289">
        <f>VLOOKUP($B196,'2、设备合同'!$D:$AK,32,0)</f>
        <v>0</v>
      </c>
      <c r="AH196" s="289">
        <f>VLOOKUP($B196,'2、设备合同'!$D:$AK,33,0)</f>
        <v>0</v>
      </c>
      <c r="AI196" s="308">
        <f>VLOOKUP($B196,'2、设备合同'!$D:$AK,34,0)</f>
        <v>0</v>
      </c>
      <c r="AJ196" s="309">
        <f t="shared" si="57"/>
        <v>0</v>
      </c>
      <c r="AK196" s="289">
        <f t="shared" si="58"/>
        <v>4365000</v>
      </c>
      <c r="AL196" s="310">
        <f t="shared" si="59"/>
        <v>0</v>
      </c>
      <c r="AM196" s="289">
        <f t="shared" si="60"/>
        <v>4365000</v>
      </c>
      <c r="AN196" s="311" t="str">
        <f t="shared" si="61"/>
        <v>数据正确</v>
      </c>
    </row>
    <row r="197" s="228" customFormat="1" customHeight="1" spans="1:40">
      <c r="A197" s="228" t="str">
        <f t="shared" si="51"/>
        <v/>
      </c>
      <c r="B197" s="261">
        <v>192</v>
      </c>
      <c r="C197" s="262" t="str">
        <f>VLOOKUP($B197,'2、设备合同'!$D:$AK,2,0)</f>
        <v>YRKJEQ-170074</v>
      </c>
      <c r="D197" s="263" t="str">
        <f>VLOOKUP($B197,'2、设备合同'!$D:$AK,3,0)</f>
        <v>设备合同</v>
      </c>
      <c r="E197" s="263">
        <f>VLOOKUP($B197,'2、设备合同'!$D:$AK,4,0)</f>
        <v>2017050068</v>
      </c>
      <c r="F197" s="264">
        <f>VLOOKUP($B197,'2、设备合同'!$D:$AK,5,0)</f>
        <v>42963</v>
      </c>
      <c r="G197" s="265">
        <f>VLOOKUP($B197,'2、设备合同'!$D:$AK,6,0)</f>
        <v>376000</v>
      </c>
      <c r="H197" s="265" t="str">
        <f>VLOOKUP($B197,'2、设备合同'!$D:$AK,7,0)</f>
        <v>鹤管</v>
      </c>
      <c r="I197" s="265" t="str">
        <f>VLOOKUP($B197,'2、设备合同'!$D:$AK,8,0)</f>
        <v>连云港和昌机械有限公司</v>
      </c>
      <c r="J197" s="286">
        <f>VLOOKUP($B197,'2、设备合同'!$D:$AK,9,0)</f>
        <v>0</v>
      </c>
      <c r="K197" s="287" t="str">
        <f>VLOOKUP($B197,'2、设备合同'!$D:$AK,10,0)</f>
        <v>电汇</v>
      </c>
      <c r="L197" s="288" t="str">
        <f>VLOOKUP($B197,'2、设备合同'!$D:$AK,11,0)</f>
        <v>甲方授权人到乙方清点并检查货物合格后，签发发货同意书，收到60%专票后15个工作日，支付60%发货款  10%履约保函</v>
      </c>
      <c r="M197" s="289">
        <f>VLOOKUP($B197,'2、设备合同'!$D:$AK,12,0)</f>
        <v>225600</v>
      </c>
      <c r="N197" s="289">
        <f>VLOOKUP($B197,'2、设备合同'!$D:$AK,13,0)</f>
        <v>0</v>
      </c>
      <c r="O197" s="286" t="str">
        <f>VLOOKUP($B197,'2、设备合同'!$D:$AK,14,0)</f>
        <v>甲方核定的调试合格报告及足额的发票后付30%的验收款</v>
      </c>
      <c r="P197" s="289">
        <f>VLOOKUP($B197,'2、设备合同'!$D:$AK,15,0)</f>
        <v>112800</v>
      </c>
      <c r="Q197" s="289">
        <f>VLOOKUP($B197,'2、设备合同'!$D:$AK,16,0)</f>
        <v>0</v>
      </c>
      <c r="R197" s="286" t="str">
        <f>VLOOKUP($B197,'2、设备合同'!$D:$AK,17,0)</f>
        <v>10%质保金，验收合格12个月或到货现场19个月</v>
      </c>
      <c r="S197" s="289">
        <f>VLOOKUP($B197,'2、设备合同'!$D:$AK,18,0)</f>
        <v>37600</v>
      </c>
      <c r="T197" s="289">
        <f>VLOOKUP($B197,'2、设备合同'!$D:$AK,19,0)</f>
        <v>0</v>
      </c>
      <c r="U197" s="286">
        <f>VLOOKUP($B197,'2、设备合同'!$D:$AK,20,0)</f>
        <v>0</v>
      </c>
      <c r="V197" s="289">
        <f>VLOOKUP($B197,'2、设备合同'!$D:$AK,21,0)</f>
        <v>0</v>
      </c>
      <c r="W197" s="289">
        <f>VLOOKUP($B197,'2、设备合同'!$D:$AK,22,0)</f>
        <v>0</v>
      </c>
      <c r="X197" s="286">
        <f>VLOOKUP($B197,'2、设备合同'!$D:$AK,23,0)</f>
        <v>0</v>
      </c>
      <c r="Y197" s="289">
        <f>VLOOKUP($B197,'2、设备合同'!$D:$AK,24,0)</f>
        <v>0</v>
      </c>
      <c r="Z197" s="289">
        <f>VLOOKUP($B197,'2、设备合同'!$D:$AK,25,0)</f>
        <v>0</v>
      </c>
      <c r="AA197" s="286">
        <f>VLOOKUP($B197,'2、设备合同'!$D:$AK,26,0)</f>
        <v>0</v>
      </c>
      <c r="AB197" s="289">
        <f>VLOOKUP($B197,'2、设备合同'!$D:$AK,27,0)</f>
        <v>0</v>
      </c>
      <c r="AC197" s="289">
        <f>VLOOKUP($B197,'2、设备合同'!$D:$AK,28,0)</f>
        <v>0</v>
      </c>
      <c r="AD197" s="286">
        <f>VLOOKUP($B197,'2、设备合同'!$D:$AK,29,0)</f>
        <v>0</v>
      </c>
      <c r="AE197" s="289">
        <f>VLOOKUP($B197,'2、设备合同'!$D:$AK,30,0)</f>
        <v>0</v>
      </c>
      <c r="AF197" s="289">
        <f>VLOOKUP($B197,'2、设备合同'!$D:$AK,31,0)</f>
        <v>0</v>
      </c>
      <c r="AG197" s="289">
        <f>VLOOKUP($B197,'2、设备合同'!$D:$AK,32,0)</f>
        <v>0</v>
      </c>
      <c r="AH197" s="289">
        <f>VLOOKUP($B197,'2、设备合同'!$D:$AK,33,0)</f>
        <v>0</v>
      </c>
      <c r="AI197" s="308">
        <f>VLOOKUP($B197,'2、设备合同'!$D:$AK,34,0)</f>
        <v>0</v>
      </c>
      <c r="AJ197" s="309">
        <f t="shared" si="57"/>
        <v>0</v>
      </c>
      <c r="AK197" s="289">
        <f t="shared" si="58"/>
        <v>376000</v>
      </c>
      <c r="AL197" s="310">
        <f t="shared" si="59"/>
        <v>0</v>
      </c>
      <c r="AM197" s="289">
        <f t="shared" si="60"/>
        <v>376000</v>
      </c>
      <c r="AN197" s="311" t="str">
        <f t="shared" si="61"/>
        <v>数据正确</v>
      </c>
    </row>
    <row r="198" s="228" customFormat="1" customHeight="1" spans="1:40">
      <c r="A198" s="228" t="str">
        <f t="shared" si="51"/>
        <v/>
      </c>
      <c r="B198" s="256">
        <v>193</v>
      </c>
      <c r="C198" s="262" t="str">
        <f>VLOOKUP($B198,'2、设备合同'!$D:$AK,2,0)</f>
        <v>YRKJEQ-170076</v>
      </c>
      <c r="D198" s="263" t="str">
        <f>VLOOKUP($B198,'2、设备合同'!$D:$AK,3,0)</f>
        <v>设备合同</v>
      </c>
      <c r="E198" s="263" t="str">
        <f>VLOOKUP($B198,'2、设备合同'!$D:$AK,4,0)</f>
        <v>2017070058/59</v>
      </c>
      <c r="F198" s="264">
        <f>VLOOKUP($B198,'2、设备合同'!$D:$AK,5,0)</f>
        <v>42964</v>
      </c>
      <c r="G198" s="265">
        <f>VLOOKUP($B198,'2、设备合同'!$D:$AK,6,0)</f>
        <v>17500000</v>
      </c>
      <c r="H198" s="265" t="str">
        <f>VLOOKUP($B198,'2、设备合同'!$D:$AK,7,0)</f>
        <v>环己酮非标包1、非标包2</v>
      </c>
      <c r="I198" s="265" t="str">
        <f>VLOOKUP($B198,'2、设备合同'!$D:$AK,8,0)</f>
        <v>中核动力设备有限公司</v>
      </c>
      <c r="J198" s="286">
        <f>VLOOKUP($B198,'2、设备合同'!$D:$AK,9,0)</f>
        <v>0</v>
      </c>
      <c r="K198" s="287" t="str">
        <f>VLOOKUP($B198,'2、设备合同'!$D:$AK,10,0)</f>
        <v>电汇</v>
      </c>
      <c r="L198" s="288" t="str">
        <f>VLOOKUP($B198,'2、设备合同'!$D:$AK,11,0)</f>
        <v>甲方收到乙方20%的预付款保函以及本合同的20%收据后15个工作日支付20%预付款 10%履约保函</v>
      </c>
      <c r="M198" s="289">
        <f>VLOOKUP($B198,'2、设备合同'!$D:$AK,12,0)</f>
        <v>3500000</v>
      </c>
      <c r="N198" s="289">
        <f>VLOOKUP($B198,'2、设备合同'!$D:$AK,13,0)</f>
        <v>0</v>
      </c>
      <c r="O198" s="286" t="str">
        <f>VLOOKUP($B198,'2、设备合同'!$D:$AK,14,0)</f>
        <v>甲方授权人到乙方清点并检查货物合格后，签发发货同意书，收到全额专票后15个工作日，支付60%发货款  </v>
      </c>
      <c r="P198" s="289">
        <f>VLOOKUP($B198,'2、设备合同'!$D:$AK,15,0)</f>
        <v>10500000</v>
      </c>
      <c r="Q198" s="289">
        <f>VLOOKUP($B198,'2、设备合同'!$D:$AK,16,0)</f>
        <v>0</v>
      </c>
      <c r="R198" s="286" t="str">
        <f>VLOOKUP($B198,'2、设备合同'!$D:$AK,17,0)</f>
        <v>甲方收到核定的调试合格报告后15个工作日，支付10%调试款</v>
      </c>
      <c r="S198" s="289">
        <f>VLOOKUP($B198,'2、设备合同'!$D:$AK,18,0)</f>
        <v>1750000</v>
      </c>
      <c r="T198" s="289">
        <f>VLOOKUP($B198,'2、设备合同'!$D:$AK,19,0)</f>
        <v>0</v>
      </c>
      <c r="U198" s="286" t="str">
        <f>VLOOKUP($B198,'2、设备合同'!$D:$AK,20,0)</f>
        <v>10%质保金，验收合格12个月或到货现场18个月</v>
      </c>
      <c r="V198" s="289">
        <f>VLOOKUP($B198,'2、设备合同'!$D:$AK,21,0)</f>
        <v>1750000</v>
      </c>
      <c r="W198" s="289">
        <f>VLOOKUP($B198,'2、设备合同'!$D:$AK,22,0)</f>
        <v>0</v>
      </c>
      <c r="X198" s="286">
        <f>VLOOKUP($B198,'2、设备合同'!$D:$AK,23,0)</f>
        <v>0</v>
      </c>
      <c r="Y198" s="289">
        <f>VLOOKUP($B198,'2、设备合同'!$D:$AK,24,0)</f>
        <v>0</v>
      </c>
      <c r="Z198" s="289">
        <f>VLOOKUP($B198,'2、设备合同'!$D:$AK,25,0)</f>
        <v>0</v>
      </c>
      <c r="AA198" s="286">
        <f>VLOOKUP($B198,'2、设备合同'!$D:$AK,26,0)</f>
        <v>0</v>
      </c>
      <c r="AB198" s="289">
        <f>VLOOKUP($B198,'2、设备合同'!$D:$AK,27,0)</f>
        <v>0</v>
      </c>
      <c r="AC198" s="289">
        <f>VLOOKUP($B198,'2、设备合同'!$D:$AK,28,0)</f>
        <v>0</v>
      </c>
      <c r="AD198" s="286">
        <f>VLOOKUP($B198,'2、设备合同'!$D:$AK,29,0)</f>
        <v>0</v>
      </c>
      <c r="AE198" s="289">
        <f>VLOOKUP($B198,'2、设备合同'!$D:$AK,30,0)</f>
        <v>0</v>
      </c>
      <c r="AF198" s="289">
        <f>VLOOKUP($B198,'2、设备合同'!$D:$AK,31,0)</f>
        <v>0</v>
      </c>
      <c r="AG198" s="289">
        <f>VLOOKUP($B198,'2、设备合同'!$D:$AK,32,0)</f>
        <v>0</v>
      </c>
      <c r="AH198" s="289">
        <f>VLOOKUP($B198,'2、设备合同'!$D:$AK,33,0)</f>
        <v>0</v>
      </c>
      <c r="AI198" s="308">
        <f>VLOOKUP($B198,'2、设备合同'!$D:$AK,34,0)</f>
        <v>0</v>
      </c>
      <c r="AJ198" s="309">
        <f t="shared" si="57"/>
        <v>0</v>
      </c>
      <c r="AK198" s="289">
        <f t="shared" si="58"/>
        <v>17500000</v>
      </c>
      <c r="AL198" s="310">
        <f t="shared" si="59"/>
        <v>0</v>
      </c>
      <c r="AM198" s="289">
        <f t="shared" si="60"/>
        <v>17500000</v>
      </c>
      <c r="AN198" s="311" t="str">
        <f t="shared" si="61"/>
        <v>数据正确</v>
      </c>
    </row>
    <row r="199" s="228" customFormat="1" customHeight="1" spans="1:40">
      <c r="A199" s="228" t="str">
        <f t="shared" si="51"/>
        <v/>
      </c>
      <c r="B199" s="261">
        <v>194</v>
      </c>
      <c r="C199" s="262" t="str">
        <f>VLOOKUP($B199,'2、设备合同'!$D:$AK,2,0)</f>
        <v>YRKJEQ-170081</v>
      </c>
      <c r="D199" s="263" t="str">
        <f>VLOOKUP($B199,'2、设备合同'!$D:$AK,3,0)</f>
        <v>设备合同</v>
      </c>
      <c r="E199" s="263">
        <f>VLOOKUP($B199,'2、设备合同'!$D:$AK,4,0)</f>
        <v>2017070077</v>
      </c>
      <c r="F199" s="264">
        <f>VLOOKUP($B199,'2、设备合同'!$D:$AK,5,0)</f>
        <v>42970</v>
      </c>
      <c r="G199" s="265">
        <f>VLOOKUP($B199,'2、设备合同'!$D:$AK,6,0)</f>
        <v>9200000</v>
      </c>
      <c r="H199" s="265" t="str">
        <f>VLOOKUP($B199,'2、设备合同'!$D:$AK,7,0)</f>
        <v>53台非标设备</v>
      </c>
      <c r="I199" s="265" t="str">
        <f>VLOOKUP($B199,'2、设备合同'!$D:$AK,8,0)</f>
        <v>福建省泉州市江南冷却器厂</v>
      </c>
      <c r="J199" s="286" t="str">
        <f>VLOOKUP($B199,'2、设备合同'!$D:$AK,9,0)</f>
        <v>己内酰胺装置</v>
      </c>
      <c r="K199" s="287" t="str">
        <f>VLOOKUP($B199,'2、设备合同'!$D:$AK,10,0)</f>
        <v>电汇</v>
      </c>
      <c r="L199" s="288" t="str">
        <f>VLOOKUP($B199,'2、设备合同'!$D:$AK,11,0)</f>
        <v>甲方收到乙方20%的预付款保函以及本合同的20%收据后15个工作日支付20%预付款 10%履约保函</v>
      </c>
      <c r="M199" s="289">
        <f>VLOOKUP($B199,'2、设备合同'!$D:$AK,12,0)</f>
        <v>1840000</v>
      </c>
      <c r="N199" s="289">
        <f>VLOOKUP($B199,'2、设备合同'!$D:$AK,13,0)</f>
        <v>1840000</v>
      </c>
      <c r="O199" s="286" t="str">
        <f>VLOOKUP($B199,'2、设备合同'!$D:$AK,14,0)</f>
        <v>甲方授权人到乙方清点并检查货物合格后，签发发货同意书，收到等额专票后15个工作日，支付60%发货款  </v>
      </c>
      <c r="P199" s="289">
        <f>VLOOKUP($B199,'2、设备合同'!$D:$AK,15,0)</f>
        <v>5520000</v>
      </c>
      <c r="Q199" s="289">
        <f>VLOOKUP($B199,'2、设备合同'!$D:$AK,16,0)</f>
        <v>0</v>
      </c>
      <c r="R199" s="286" t="str">
        <f>VLOOKUP($B199,'2、设备合同'!$D:$AK,17,0)</f>
        <v>甲方收到核定的调试合格报告后15个工作日，支付10%调试款</v>
      </c>
      <c r="S199" s="289">
        <f>VLOOKUP($B199,'2、设备合同'!$D:$AK,18,0)</f>
        <v>920000</v>
      </c>
      <c r="T199" s="289">
        <f>VLOOKUP($B199,'2、设备合同'!$D:$AK,19,0)</f>
        <v>0</v>
      </c>
      <c r="U199" s="286" t="str">
        <f>VLOOKUP($B199,'2、设备合同'!$D:$AK,20,0)</f>
        <v>10%质保金，验收合格12个月或到货现场18个月</v>
      </c>
      <c r="V199" s="289">
        <f>VLOOKUP($B199,'2、设备合同'!$D:$AK,21,0)</f>
        <v>920000</v>
      </c>
      <c r="W199" s="289">
        <f>VLOOKUP($B199,'2、设备合同'!$D:$AK,22,0)</f>
        <v>0</v>
      </c>
      <c r="X199" s="286">
        <f>VLOOKUP($B199,'2、设备合同'!$D:$AK,23,0)</f>
        <v>0</v>
      </c>
      <c r="Y199" s="289">
        <f>VLOOKUP($B199,'2、设备合同'!$D:$AK,24,0)</f>
        <v>0</v>
      </c>
      <c r="Z199" s="289">
        <f>VLOOKUP($B199,'2、设备合同'!$D:$AK,25,0)</f>
        <v>0</v>
      </c>
      <c r="AA199" s="286">
        <f>VLOOKUP($B199,'2、设备合同'!$D:$AK,26,0)</f>
        <v>0</v>
      </c>
      <c r="AB199" s="289">
        <f>VLOOKUP($B199,'2、设备合同'!$D:$AK,27,0)</f>
        <v>0</v>
      </c>
      <c r="AC199" s="289">
        <f>VLOOKUP($B199,'2、设备合同'!$D:$AK,28,0)</f>
        <v>0</v>
      </c>
      <c r="AD199" s="286">
        <f>VLOOKUP($B199,'2、设备合同'!$D:$AK,29,0)</f>
        <v>0</v>
      </c>
      <c r="AE199" s="289">
        <f>VLOOKUP($B199,'2、设备合同'!$D:$AK,30,0)</f>
        <v>0</v>
      </c>
      <c r="AF199" s="289">
        <f>VLOOKUP($B199,'2、设备合同'!$D:$AK,31,0)</f>
        <v>0</v>
      </c>
      <c r="AG199" s="289">
        <f>VLOOKUP($B199,'2、设备合同'!$D:$AK,32,0)</f>
        <v>0</v>
      </c>
      <c r="AH199" s="289">
        <f>VLOOKUP($B199,'2、设备合同'!$D:$AK,33,0)</f>
        <v>0</v>
      </c>
      <c r="AI199" s="308">
        <f>VLOOKUP($B199,'2、设备合同'!$D:$AK,34,0)</f>
        <v>0</v>
      </c>
      <c r="AJ199" s="309">
        <f t="shared" si="57"/>
        <v>1840000</v>
      </c>
      <c r="AK199" s="289">
        <f t="shared" si="58"/>
        <v>7360000</v>
      </c>
      <c r="AL199" s="310">
        <f t="shared" si="59"/>
        <v>0.2</v>
      </c>
      <c r="AM199" s="289">
        <f t="shared" si="60"/>
        <v>9200000</v>
      </c>
      <c r="AN199" s="311" t="str">
        <f t="shared" si="61"/>
        <v>数据正确</v>
      </c>
    </row>
    <row r="200" s="228" customFormat="1" customHeight="1" spans="1:40">
      <c r="A200" s="228" t="str">
        <f t="shared" si="51"/>
        <v/>
      </c>
      <c r="B200" s="261">
        <v>195</v>
      </c>
      <c r="C200" s="266" t="str">
        <f>VLOOKUP($B200,'4、其他合同'!$D:$AK,2,0)</f>
        <v>YRKJXZ-170029</v>
      </c>
      <c r="D200" s="267" t="s">
        <v>25</v>
      </c>
      <c r="E200" s="267">
        <f>VLOOKUP($B200,'4、其他合同'!$D:$AK,4,0)</f>
        <v>0</v>
      </c>
      <c r="F200" s="268">
        <f>VLOOKUP($B200,'4、其他合同'!$D:$AK,5,0)</f>
        <v>42958</v>
      </c>
      <c r="G200" s="269">
        <f>VLOOKUP($B200,'4、其他合同'!$D:$AK,6,0)</f>
        <v>23450</v>
      </c>
      <c r="H200" s="269" t="str">
        <f>VLOOKUP($B200,'4、其他合同'!$D:$AK,7,0)</f>
        <v>联想台式电脑7台</v>
      </c>
      <c r="I200" s="269" t="str">
        <f>VLOOKUP($B200,'4、其他合同'!$D:$AK,8,0)</f>
        <v>福州威迅电子有限公司</v>
      </c>
      <c r="J200" s="290">
        <f>VLOOKUP($B200,'4、其他合同'!$D:$AK,9,0)</f>
        <v>0</v>
      </c>
      <c r="K200" s="291" t="str">
        <f>VLOOKUP($B200,'4、其他合同'!$D:$AK,10,0)</f>
        <v>电汇</v>
      </c>
      <c r="L200" s="292" t="str">
        <f>VLOOKUP($B200,'4、其他合同'!$D:$AK,11,0)</f>
        <v>甲方收到货款验收合格以及全额的发票后15个工作日支付100%的货款</v>
      </c>
      <c r="M200" s="293">
        <f>VLOOKUP($B200,'4、其他合同'!$D:$AK,12,0)</f>
        <v>23450</v>
      </c>
      <c r="N200" s="293">
        <f>VLOOKUP($B200,'4、其他合同'!$D:$AK,13,0)</f>
        <v>0</v>
      </c>
      <c r="O200" s="290">
        <f>VLOOKUP($B200,'4、其他合同'!$D:$AK,14,0)</f>
        <v>0</v>
      </c>
      <c r="P200" s="293">
        <f>VLOOKUP($B200,'4、其他合同'!$D:$AK,15,0)</f>
        <v>0</v>
      </c>
      <c r="Q200" s="293">
        <f>VLOOKUP($B200,'4、其他合同'!$D:$AK,16,0)</f>
        <v>0</v>
      </c>
      <c r="R200" s="290">
        <f>VLOOKUP($B200,'4、其他合同'!$D:$AK,17,0)</f>
        <v>0</v>
      </c>
      <c r="S200" s="293">
        <f>VLOOKUP($B200,'4、其他合同'!$D:$AK,18,0)</f>
        <v>0</v>
      </c>
      <c r="T200" s="293">
        <f>VLOOKUP($B200,'4、其他合同'!$D:$AK,19,0)</f>
        <v>0</v>
      </c>
      <c r="U200" s="290">
        <f>VLOOKUP($B200,'4、其他合同'!$D:$AK,20,0)</f>
        <v>0</v>
      </c>
      <c r="V200" s="293">
        <f>VLOOKUP($B200,'4、其他合同'!$D:$AK,21,0)</f>
        <v>0</v>
      </c>
      <c r="W200" s="293">
        <f>VLOOKUP($B200,'4、其他合同'!$D:$AK,22,0)</f>
        <v>0</v>
      </c>
      <c r="X200" s="290">
        <f>VLOOKUP($B200,'4、其他合同'!$D:$AK,23,0)</f>
        <v>0</v>
      </c>
      <c r="Y200" s="293">
        <f>VLOOKUP($B200,'4、其他合同'!$D:$AK,24,0)</f>
        <v>0</v>
      </c>
      <c r="Z200" s="293">
        <f>VLOOKUP($B200,'4、其他合同'!$D:$AK,25,0)</f>
        <v>0</v>
      </c>
      <c r="AA200" s="290">
        <f>VLOOKUP($B200,'4、其他合同'!$D:$AK,26,0)</f>
        <v>0</v>
      </c>
      <c r="AB200" s="293">
        <f>VLOOKUP($B200,'4、其他合同'!$D:$AK,27,0)</f>
        <v>0</v>
      </c>
      <c r="AC200" s="293">
        <f>VLOOKUP($B200,'4、其他合同'!$D:$AK,28,0)</f>
        <v>0</v>
      </c>
      <c r="AD200" s="290">
        <f>VLOOKUP($B200,'4、其他合同'!$D:$AK,29,0)</f>
        <v>0</v>
      </c>
      <c r="AE200" s="293">
        <f>VLOOKUP($B200,'4、其他合同'!$D:$AK,30,0)</f>
        <v>0</v>
      </c>
      <c r="AF200" s="293">
        <f>VLOOKUP($B200,'4、其他合同'!$D:$AK,31,0)</f>
        <v>0</v>
      </c>
      <c r="AG200" s="293">
        <f>VLOOKUP($B200,'4、其他合同'!$D:$AK,32,0)</f>
        <v>0</v>
      </c>
      <c r="AH200" s="293">
        <f>VLOOKUP($B200,'4、其他合同'!$D:$AK,33,0)</f>
        <v>0</v>
      </c>
      <c r="AI200" s="312">
        <f>VLOOKUP($B200,'4、其他合同'!$D:$AK,34,0)</f>
        <v>0</v>
      </c>
      <c r="AJ200" s="309">
        <f t="shared" si="57"/>
        <v>0</v>
      </c>
      <c r="AK200" s="289">
        <f t="shared" si="58"/>
        <v>23450</v>
      </c>
      <c r="AL200" s="310">
        <f t="shared" si="59"/>
        <v>0</v>
      </c>
      <c r="AM200" s="289">
        <f t="shared" si="60"/>
        <v>23450</v>
      </c>
      <c r="AN200" s="311" t="str">
        <f t="shared" si="61"/>
        <v>数据正确</v>
      </c>
    </row>
    <row r="201" s="228" customFormat="1" customHeight="1" spans="1:40">
      <c r="A201" s="228" t="str">
        <f t="shared" ref="A201:A232" si="62">IF(AL201=100%,"已完毕","")</f>
        <v/>
      </c>
      <c r="B201" s="261">
        <v>196</v>
      </c>
      <c r="C201" s="266" t="str">
        <f>VLOOKUP($B201,'4、其他合同'!$D:$AK,2,0)</f>
        <v>YRKJXZ-170031</v>
      </c>
      <c r="D201" s="267" t="s">
        <v>25</v>
      </c>
      <c r="E201" s="267">
        <f>VLOOKUP($B201,'4、其他合同'!$D:$AK,4,0)</f>
        <v>0</v>
      </c>
      <c r="F201" s="268">
        <f>VLOOKUP($B201,'4、其他合同'!$D:$AK,5,0)</f>
        <v>42965</v>
      </c>
      <c r="G201" s="269">
        <f>VLOOKUP($B201,'4、其他合同'!$D:$AK,6,0)</f>
        <v>95640</v>
      </c>
      <c r="H201" s="269" t="str">
        <f>VLOOKUP($B201,'4、其他合同'!$D:$AK,7,0)</f>
        <v>交换机投影仪等信息类物资</v>
      </c>
      <c r="I201" s="269" t="str">
        <f>VLOOKUP($B201,'4、其他合同'!$D:$AK,8,0)</f>
        <v>莆田市广汇电脑有限公司</v>
      </c>
      <c r="J201" s="290">
        <f>VLOOKUP($B201,'4、其他合同'!$D:$AK,9,0)</f>
        <v>0</v>
      </c>
      <c r="K201" s="291" t="str">
        <f>VLOOKUP($B201,'4、其他合同'!$D:$AK,10,0)</f>
        <v>6个月承兑汇票/接受反向贴息</v>
      </c>
      <c r="L201" s="292" t="str">
        <f>VLOOKUP($B201,'4、其他合同'!$D:$AK,11,0)</f>
        <v>甲方收到货款验收合格以及全额的发票后15个工作日支付100%的货款</v>
      </c>
      <c r="M201" s="293">
        <f>VLOOKUP($B201,'4、其他合同'!$D:$AK,12,0)</f>
        <v>95640</v>
      </c>
      <c r="N201" s="293">
        <f>VLOOKUP($B201,'4、其他合同'!$D:$AK,13,0)</f>
        <v>0</v>
      </c>
      <c r="O201" s="290">
        <f>VLOOKUP($B201,'4、其他合同'!$D:$AK,14,0)</f>
        <v>0</v>
      </c>
      <c r="P201" s="293">
        <f>VLOOKUP($B201,'4、其他合同'!$D:$AK,15,0)</f>
        <v>0</v>
      </c>
      <c r="Q201" s="293">
        <f>VLOOKUP($B201,'4、其他合同'!$D:$AK,16,0)</f>
        <v>0</v>
      </c>
      <c r="R201" s="290">
        <f>VLOOKUP($B201,'4、其他合同'!$D:$AK,17,0)</f>
        <v>0</v>
      </c>
      <c r="S201" s="293">
        <f>VLOOKUP($B201,'4、其他合同'!$D:$AK,18,0)</f>
        <v>0</v>
      </c>
      <c r="T201" s="293">
        <f>VLOOKUP($B201,'4、其他合同'!$D:$AK,19,0)</f>
        <v>0</v>
      </c>
      <c r="U201" s="290">
        <f>VLOOKUP($B201,'4、其他合同'!$D:$AK,20,0)</f>
        <v>0</v>
      </c>
      <c r="V201" s="293">
        <f>VLOOKUP($B201,'4、其他合同'!$D:$AK,21,0)</f>
        <v>0</v>
      </c>
      <c r="W201" s="293">
        <f>VLOOKUP($B201,'4、其他合同'!$D:$AK,22,0)</f>
        <v>0</v>
      </c>
      <c r="X201" s="290">
        <f>VLOOKUP($B201,'4、其他合同'!$D:$AK,23,0)</f>
        <v>0</v>
      </c>
      <c r="Y201" s="293">
        <f>VLOOKUP($B201,'4、其他合同'!$D:$AK,24,0)</f>
        <v>0</v>
      </c>
      <c r="Z201" s="293">
        <f>VLOOKUP($B201,'4、其他合同'!$D:$AK,25,0)</f>
        <v>0</v>
      </c>
      <c r="AA201" s="290">
        <f>VLOOKUP($B201,'4、其他合同'!$D:$AK,26,0)</f>
        <v>0</v>
      </c>
      <c r="AB201" s="293">
        <f>VLOOKUP($B201,'4、其他合同'!$D:$AK,27,0)</f>
        <v>0</v>
      </c>
      <c r="AC201" s="293">
        <f>VLOOKUP($B201,'4、其他合同'!$D:$AK,28,0)</f>
        <v>0</v>
      </c>
      <c r="AD201" s="290">
        <f>VLOOKUP($B201,'4、其他合同'!$D:$AK,29,0)</f>
        <v>0</v>
      </c>
      <c r="AE201" s="293">
        <f>VLOOKUP($B201,'4、其他合同'!$D:$AK,30,0)</f>
        <v>0</v>
      </c>
      <c r="AF201" s="293">
        <f>VLOOKUP($B201,'4、其他合同'!$D:$AK,31,0)</f>
        <v>0</v>
      </c>
      <c r="AG201" s="293">
        <f>VLOOKUP($B201,'4、其他合同'!$D:$AK,32,0)</f>
        <v>0</v>
      </c>
      <c r="AH201" s="293">
        <f>VLOOKUP($B201,'4、其他合同'!$D:$AK,33,0)</f>
        <v>0</v>
      </c>
      <c r="AI201" s="312">
        <f>VLOOKUP($B201,'4、其他合同'!$D:$AK,34,0)</f>
        <v>0</v>
      </c>
      <c r="AJ201" s="309">
        <f t="shared" si="57"/>
        <v>0</v>
      </c>
      <c r="AK201" s="289">
        <f t="shared" si="58"/>
        <v>95640</v>
      </c>
      <c r="AL201" s="310">
        <f t="shared" si="59"/>
        <v>0</v>
      </c>
      <c r="AM201" s="289">
        <f t="shared" si="60"/>
        <v>95640</v>
      </c>
      <c r="AN201" s="311" t="str">
        <f t="shared" si="61"/>
        <v>数据正确</v>
      </c>
    </row>
    <row r="202" s="228" customFormat="1" customHeight="1" spans="1:40">
      <c r="A202" s="228" t="str">
        <f t="shared" si="62"/>
        <v/>
      </c>
      <c r="B202" s="256">
        <v>197</v>
      </c>
      <c r="C202" s="266" t="str">
        <f>VLOOKUP($B202,'3、工程合同'!$D:$AL,2,0)</f>
        <v>YRKJGC-170042</v>
      </c>
      <c r="D202" s="267" t="str">
        <f>VLOOKUP($B202,'3、工程合同'!$D:$AL,3,0)</f>
        <v>工程合同</v>
      </c>
      <c r="E202" s="267">
        <f>VLOOKUP($B202,'3、工程合同'!$D:$AL,4,0)</f>
        <v>0</v>
      </c>
      <c r="F202" s="268">
        <f>VLOOKUP($B202,'3、工程合同'!$D:$AL,5,0)</f>
        <v>42964</v>
      </c>
      <c r="G202" s="269">
        <f>VLOOKUP($B202,'3、工程合同'!$D:$AL,6,0)</f>
        <v>8300000</v>
      </c>
      <c r="H202" s="269" t="str">
        <f>VLOOKUP($B202,'3、工程合同'!$D:$AL,7,0)</f>
        <v>预应力管桩（5万米*166元/米）</v>
      </c>
      <c r="I202" s="269" t="str">
        <f>VLOOKUP($B202,'3、工程合同'!$D:$AL,8,0)</f>
        <v>福建峻兴管桩有限公司</v>
      </c>
      <c r="J202" s="290">
        <f>VLOOKUP($B202,'3、工程合同'!$D:$AL,9,0)</f>
        <v>0</v>
      </c>
      <c r="K202" s="291" t="str">
        <f>VLOOKUP($B202,'3、工程合同'!$D:$AL,10,0)</f>
        <v>电汇</v>
      </c>
      <c r="L202" s="292" t="str">
        <f>VLOOKUP($B202,'3、工程合同'!$D:$AL,11,0)</f>
        <v>货到付款，每次供货10000米，收到等额的17%专票后5个工作日支付</v>
      </c>
      <c r="M202" s="293">
        <f>VLOOKUP($B202,'3、工程合同'!$D:$AL,12,0)</f>
        <v>8300000</v>
      </c>
      <c r="N202" s="293">
        <f>VLOOKUP($B202,'3、工程合同'!$D:$AL,13,0)</f>
        <v>1660000</v>
      </c>
      <c r="O202" s="290">
        <f>VLOOKUP($B202,'3、工程合同'!$D:$AL,14,0)</f>
        <v>0</v>
      </c>
      <c r="P202" s="293">
        <f>VLOOKUP($B202,'3、工程合同'!$D:$AL,15,0)</f>
        <v>0</v>
      </c>
      <c r="Q202" s="293">
        <f>VLOOKUP($B202,'3、工程合同'!$D:$AL,16,0)</f>
        <v>0</v>
      </c>
      <c r="R202" s="290">
        <f>VLOOKUP($B202,'3、工程合同'!$D:$AL,17,0)</f>
        <v>0</v>
      </c>
      <c r="S202" s="293">
        <f>VLOOKUP($B202,'3、工程合同'!$D:$AL,18,0)</f>
        <v>0</v>
      </c>
      <c r="T202" s="293">
        <f>VLOOKUP($B202,'3、工程合同'!$D:$AL,19,0)</f>
        <v>0</v>
      </c>
      <c r="U202" s="290">
        <f>VLOOKUP($B202,'3、工程合同'!$D:$AL,20,0)</f>
        <v>0</v>
      </c>
      <c r="V202" s="293">
        <f>VLOOKUP($B202,'3、工程合同'!$D:$AL,21,0)</f>
        <v>0</v>
      </c>
      <c r="W202" s="293">
        <f>VLOOKUP($B202,'3、工程合同'!$D:$AL,22,0)</f>
        <v>0</v>
      </c>
      <c r="X202" s="290">
        <f>VLOOKUP($B202,'3、工程合同'!$D:$AL,23,0)</f>
        <v>0</v>
      </c>
      <c r="Y202" s="293">
        <f>VLOOKUP($B202,'3、工程合同'!$D:$AL,24,0)</f>
        <v>0</v>
      </c>
      <c r="Z202" s="293">
        <f>VLOOKUP($B202,'3、工程合同'!$D:$AL,25,0)</f>
        <v>0</v>
      </c>
      <c r="AA202" s="290">
        <f>VLOOKUP($B202,'3、工程合同'!$D:$AL,26,0)</f>
        <v>0</v>
      </c>
      <c r="AB202" s="293">
        <f>VLOOKUP($B202,'3、工程合同'!$D:$AL,27,0)</f>
        <v>0</v>
      </c>
      <c r="AC202" s="293">
        <f>VLOOKUP($B202,'3、工程合同'!$D:$AL,28,0)</f>
        <v>0</v>
      </c>
      <c r="AD202" s="290">
        <f>VLOOKUP($B202,'3、工程合同'!$D:$AL,29,0)</f>
        <v>0</v>
      </c>
      <c r="AE202" s="293">
        <f>VLOOKUP($B202,'3、工程合同'!$D:$AL,30,0)</f>
        <v>0</v>
      </c>
      <c r="AF202" s="293">
        <f>VLOOKUP($B202,'3、工程合同'!$D:$AL,31,0)</f>
        <v>0</v>
      </c>
      <c r="AG202" s="293">
        <f>VLOOKUP($B202,'3、工程合同'!$D:$AL,32,0)</f>
        <v>0</v>
      </c>
      <c r="AH202" s="293">
        <f>VLOOKUP($B202,'3、工程合同'!$D:$AL,33,0)</f>
        <v>0</v>
      </c>
      <c r="AI202" s="312">
        <f>VLOOKUP($B202,'3、工程合同'!$D:$AL,34,0)</f>
        <v>0</v>
      </c>
      <c r="AJ202" s="309">
        <f t="shared" si="57"/>
        <v>1660000</v>
      </c>
      <c r="AK202" s="289">
        <f t="shared" si="58"/>
        <v>6640000</v>
      </c>
      <c r="AL202" s="310">
        <f t="shared" si="59"/>
        <v>0.2</v>
      </c>
      <c r="AM202" s="289">
        <f t="shared" si="60"/>
        <v>8300000</v>
      </c>
      <c r="AN202" s="311" t="str">
        <f t="shared" si="61"/>
        <v>数据正确</v>
      </c>
    </row>
    <row r="203" s="228" customFormat="1" customHeight="1" spans="1:40">
      <c r="A203" s="228" t="str">
        <f t="shared" si="62"/>
        <v/>
      </c>
      <c r="B203" s="261">
        <v>198</v>
      </c>
      <c r="C203" s="262" t="str">
        <f>VLOOKUP($B203,'2、设备合同'!$D:$AK,2,0)</f>
        <v>YRKJEQ-170054</v>
      </c>
      <c r="D203" s="263" t="str">
        <f>VLOOKUP($B203,'2、设备合同'!$D:$AK,3,0)</f>
        <v>设备合同</v>
      </c>
      <c r="E203" s="263">
        <f>VLOOKUP($B203,'2、设备合同'!$D:$AK,4,0)</f>
        <v>2017060068</v>
      </c>
      <c r="F203" s="264">
        <f>VLOOKUP($B203,'2、设备合同'!$D:$AK,5,0)</f>
        <v>42926</v>
      </c>
      <c r="G203" s="265">
        <f>VLOOKUP($B203,'2、设备合同'!$D:$AK,6,0)</f>
        <v>1350000</v>
      </c>
      <c r="H203" s="265" t="str">
        <f>VLOOKUP($B203,'2、设备合同'!$D:$AK,7,0)</f>
        <v>重排反应混合器5套（合同未收）</v>
      </c>
      <c r="I203" s="265" t="str">
        <f>VLOOKUP($B203,'2、设备合同'!$D:$AK,8,0)</f>
        <v>靖江华泰机械制造有限公司</v>
      </c>
      <c r="J203" s="286">
        <f>VLOOKUP($B203,'2、设备合同'!$D:$AK,9,0)</f>
        <v>0</v>
      </c>
      <c r="K203" s="287" t="str">
        <f>VLOOKUP($B203,'2、设备合同'!$D:$AK,10,0)</f>
        <v>6个月承兑汇票/电汇下浮2%</v>
      </c>
      <c r="L203" s="288" t="str">
        <f>VLOOKUP($B203,'2、设备合同'!$D:$AK,11,0)</f>
        <v>甲方收到乙方20%的预付款保函以及本合同的20%专票后15个工作日支付20%预付款</v>
      </c>
      <c r="M203" s="289">
        <f>VLOOKUP($B203,'2、设备合同'!$D:$AK,12,0)</f>
        <v>270000</v>
      </c>
      <c r="N203" s="289">
        <f>VLOOKUP($B203,'2、设备合同'!$D:$AK,13,0)</f>
        <v>270000</v>
      </c>
      <c r="O203" s="286" t="str">
        <f>VLOOKUP($B203,'2、设备合同'!$D:$AK,14,0)</f>
        <v>甲方授权人到乙方清点并检查货物合格后，签发发货同意书，收到60%专票后15个工作日，支付40%发货款  </v>
      </c>
      <c r="P203" s="289">
        <f>VLOOKUP($B203,'2、设备合同'!$D:$AK,15,0)</f>
        <v>540000</v>
      </c>
      <c r="Q203" s="289">
        <f>VLOOKUP($B203,'2、设备合同'!$D:$AK,16,0)</f>
        <v>0</v>
      </c>
      <c r="R203" s="286" t="str">
        <f>VLOOKUP($B203,'2、设备合同'!$D:$AK,17,0)</f>
        <v>甲方收到核定的调试合格报告后15个工作日，支付30%调试款</v>
      </c>
      <c r="S203" s="289">
        <f>VLOOKUP($B203,'2、设备合同'!$D:$AK,18,0)</f>
        <v>405000</v>
      </c>
      <c r="T203" s="289">
        <f>VLOOKUP($B203,'2、设备合同'!$D:$AK,19,0)</f>
        <v>0</v>
      </c>
      <c r="U203" s="286" t="str">
        <f>VLOOKUP($B203,'2、设备合同'!$D:$AK,20,0)</f>
        <v>10%质保金，验收合格12个月或到货现场18个月</v>
      </c>
      <c r="V203" s="289">
        <f>VLOOKUP($B203,'2、设备合同'!$D:$AK,21,0)</f>
        <v>135000</v>
      </c>
      <c r="W203" s="289">
        <f>VLOOKUP($B203,'2、设备合同'!$D:$AK,22,0)</f>
        <v>0</v>
      </c>
      <c r="X203" s="286">
        <f>VLOOKUP($B203,'2、设备合同'!$D:$AK,23,0)</f>
        <v>0</v>
      </c>
      <c r="Y203" s="289">
        <f>VLOOKUP($B203,'2、设备合同'!$D:$AK,24,0)</f>
        <v>0</v>
      </c>
      <c r="Z203" s="289">
        <f>VLOOKUP($B203,'2、设备合同'!$D:$AK,25,0)</f>
        <v>0</v>
      </c>
      <c r="AA203" s="286">
        <f>VLOOKUP($B203,'2、设备合同'!$D:$AK,26,0)</f>
        <v>0</v>
      </c>
      <c r="AB203" s="289">
        <f>VLOOKUP($B203,'2、设备合同'!$D:$AK,27,0)</f>
        <v>0</v>
      </c>
      <c r="AC203" s="289">
        <f>VLOOKUP($B203,'2、设备合同'!$D:$AK,28,0)</f>
        <v>0</v>
      </c>
      <c r="AD203" s="286">
        <f>VLOOKUP($B203,'2、设备合同'!$D:$AK,29,0)</f>
        <v>0</v>
      </c>
      <c r="AE203" s="289">
        <f>VLOOKUP($B203,'2、设备合同'!$D:$AK,30,0)</f>
        <v>0</v>
      </c>
      <c r="AF203" s="289">
        <f>VLOOKUP($B203,'2、设备合同'!$D:$AK,31,0)</f>
        <v>0</v>
      </c>
      <c r="AG203" s="289">
        <f>VLOOKUP($B203,'2、设备合同'!$D:$AK,32,0)</f>
        <v>0</v>
      </c>
      <c r="AH203" s="289">
        <f>VLOOKUP($B203,'2、设备合同'!$D:$AK,33,0)</f>
        <v>0</v>
      </c>
      <c r="AI203" s="308">
        <f>VLOOKUP($B203,'2、设备合同'!$D:$AK,34,0)</f>
        <v>0</v>
      </c>
      <c r="AJ203" s="309">
        <f t="shared" si="57"/>
        <v>270000</v>
      </c>
      <c r="AK203" s="289">
        <f t="shared" si="58"/>
        <v>1080000</v>
      </c>
      <c r="AL203" s="310">
        <f t="shared" si="59"/>
        <v>0.2</v>
      </c>
      <c r="AM203" s="289">
        <f t="shared" si="60"/>
        <v>1350000</v>
      </c>
      <c r="AN203" s="311" t="str">
        <f t="shared" si="61"/>
        <v>数据正确</v>
      </c>
    </row>
    <row r="204" customHeight="1" spans="1:40">
      <c r="A204" s="228" t="str">
        <f t="shared" si="62"/>
        <v/>
      </c>
      <c r="B204" s="261">
        <v>199</v>
      </c>
      <c r="C204" s="262" t="str">
        <f>VLOOKUP($B204,'2、设备合同'!$D:$AK,2,0)</f>
        <v>YRKJEQ-170056</v>
      </c>
      <c r="D204" s="263" t="str">
        <f>VLOOKUP($B204,'2、设备合同'!$D:$AK,3,0)</f>
        <v>设备合同</v>
      </c>
      <c r="E204" s="263">
        <f>VLOOKUP($B204,'2、设备合同'!$D:$AK,4,0)</f>
        <v>2017060017</v>
      </c>
      <c r="F204" s="264">
        <f>VLOOKUP($B204,'2、设备合同'!$D:$AK,5,0)</f>
        <v>42934</v>
      </c>
      <c r="G204" s="265">
        <f>VLOOKUP($B204,'2、设备合同'!$D:$AK,6,0)</f>
        <v>2150000</v>
      </c>
      <c r="H204" s="265" t="str">
        <f>VLOOKUP($B204,'2、设备合同'!$D:$AK,7,0)</f>
        <v>化工流程泵27台</v>
      </c>
      <c r="I204" s="265" t="str">
        <f>VLOOKUP($B204,'2、设备合同'!$D:$AK,8,0)</f>
        <v>江苏双达泵阀集团有限公司</v>
      </c>
      <c r="J204" s="286">
        <f>VLOOKUP($B204,'2、设备合同'!$D:$AK,9,0)</f>
        <v>0</v>
      </c>
      <c r="K204" s="287" t="str">
        <f>VLOOKUP($B204,'2、设备合同'!$D:$AK,10,0)</f>
        <v>6个月承兑汇票/电汇不下浮</v>
      </c>
      <c r="L204" s="288" t="str">
        <f>VLOOKUP($B204,'2、设备合同'!$D:$AK,11,0)</f>
        <v>甲方收到乙方20%的预付款保函以及本合同的10%履约保函,20%发票后15个工作日支付20%预付款</v>
      </c>
      <c r="M204" s="289">
        <f>VLOOKUP($B204,'2、设备合同'!$D:$AK,12,0)</f>
        <v>430000</v>
      </c>
      <c r="N204" s="289">
        <f>VLOOKUP($B204,'2、设备合同'!$D:$AK,13,0)</f>
        <v>430000</v>
      </c>
      <c r="O204" s="286" t="str">
        <f>VLOOKUP($B204,'2、设备合同'!$D:$AK,14,0)</f>
        <v>甲方到乙方现场确认无误后，收到40%专票，15个工作日内支付40%发货款</v>
      </c>
      <c r="P204" s="289">
        <f>VLOOKUP($B204,'2、设备合同'!$D:$AK,15,0)</f>
        <v>860000</v>
      </c>
      <c r="Q204" s="289">
        <f>VLOOKUP($B204,'2、设备合同'!$D:$AK,16,0)</f>
        <v>0</v>
      </c>
      <c r="R204" s="286" t="str">
        <f>VLOOKUP($B204,'2、设备合同'!$D:$AK,17,0)</f>
        <v>甲方收到货物，并验收合格后收到全额的专票后，支付30%的验收款</v>
      </c>
      <c r="S204" s="289">
        <f>VLOOKUP($B204,'2、设备合同'!$D:$AK,18,0)</f>
        <v>645000</v>
      </c>
      <c r="T204" s="289">
        <f>VLOOKUP($B204,'2、设备合同'!$D:$AK,19,0)</f>
        <v>0</v>
      </c>
      <c r="U204" s="286" t="str">
        <f>VLOOKUP($B204,'2、设备合同'!$D:$AK,20,0)</f>
        <v>10%质保金，验收合格12个月或到货现场18个月</v>
      </c>
      <c r="V204" s="289">
        <f>VLOOKUP($B204,'2、设备合同'!$D:$AK,21,0)</f>
        <v>215000</v>
      </c>
      <c r="W204" s="289">
        <f>VLOOKUP($B204,'2、设备合同'!$D:$AK,22,0)</f>
        <v>0</v>
      </c>
      <c r="X204" s="286">
        <f>VLOOKUP($B204,'2、设备合同'!$D:$AK,23,0)</f>
        <v>0</v>
      </c>
      <c r="Y204" s="289">
        <f>VLOOKUP($B204,'2、设备合同'!$D:$AK,24,0)</f>
        <v>0</v>
      </c>
      <c r="Z204" s="289">
        <f>VLOOKUP($B204,'2、设备合同'!$D:$AK,25,0)</f>
        <v>0</v>
      </c>
      <c r="AA204" s="286">
        <f>VLOOKUP($B204,'2、设备合同'!$D:$AK,26,0)</f>
        <v>0</v>
      </c>
      <c r="AB204" s="289">
        <f>VLOOKUP($B204,'2、设备合同'!$D:$AK,27,0)</f>
        <v>0</v>
      </c>
      <c r="AC204" s="289">
        <f>VLOOKUP($B204,'2、设备合同'!$D:$AK,28,0)</f>
        <v>0</v>
      </c>
      <c r="AD204" s="286">
        <f>VLOOKUP($B204,'2、设备合同'!$D:$AK,29,0)</f>
        <v>0</v>
      </c>
      <c r="AE204" s="289">
        <f>VLOOKUP($B204,'2、设备合同'!$D:$AK,30,0)</f>
        <v>0</v>
      </c>
      <c r="AF204" s="289">
        <f>VLOOKUP($B204,'2、设备合同'!$D:$AK,31,0)</f>
        <v>0</v>
      </c>
      <c r="AG204" s="289">
        <f>VLOOKUP($B204,'2、设备合同'!$D:$AK,32,0)</f>
        <v>0</v>
      </c>
      <c r="AH204" s="289">
        <f>VLOOKUP($B204,'2、设备合同'!$D:$AK,33,0)</f>
        <v>0</v>
      </c>
      <c r="AI204" s="308">
        <f>VLOOKUP($B204,'2、设备合同'!$D:$AK,34,0)</f>
        <v>0</v>
      </c>
      <c r="AJ204" s="309">
        <f t="shared" si="57"/>
        <v>430000</v>
      </c>
      <c r="AK204" s="289">
        <f t="shared" si="58"/>
        <v>1720000</v>
      </c>
      <c r="AL204" s="310">
        <f t="shared" si="59"/>
        <v>0.2</v>
      </c>
      <c r="AM204" s="289">
        <f t="shared" si="60"/>
        <v>2150000</v>
      </c>
      <c r="AN204" s="311" t="str">
        <f t="shared" si="61"/>
        <v>数据正确</v>
      </c>
    </row>
    <row r="205" customHeight="1" spans="1:40">
      <c r="A205" s="228" t="str">
        <f t="shared" si="62"/>
        <v/>
      </c>
      <c r="B205" s="261">
        <v>200</v>
      </c>
      <c r="C205" s="262" t="str">
        <f>VLOOKUP($B205,'2、设备合同'!$D:$AK,2,0)</f>
        <v>YRKJEQ-170053</v>
      </c>
      <c r="D205" s="263" t="str">
        <f>VLOOKUP($B205,'2、设备合同'!$D:$AK,3,0)</f>
        <v>设备合同</v>
      </c>
      <c r="E205" s="263" t="str">
        <f>VLOOKUP($B205,'2、设备合同'!$D:$AK,4,0)</f>
        <v>2017060066/2017060041</v>
      </c>
      <c r="F205" s="264">
        <f>VLOOKUP($B205,'2、设备合同'!$D:$AK,5,0)</f>
        <v>42957</v>
      </c>
      <c r="G205" s="265">
        <f>VLOOKUP($B205,'2、设备合同'!$D:$AK,6,0)</f>
        <v>1000000</v>
      </c>
      <c r="H205" s="265" t="str">
        <f>VLOOKUP($B205,'2、设备合同'!$D:$AK,7,0)</f>
        <v>搅拌器26台</v>
      </c>
      <c r="I205" s="265" t="str">
        <f>VLOOKUP($B205,'2、设备合同'!$D:$AK,8,0)</f>
        <v>江苏胜开尔工业技术有限公司</v>
      </c>
      <c r="J205" s="286">
        <f>VLOOKUP($B205,'2、设备合同'!$D:$AK,9,0)</f>
        <v>0</v>
      </c>
      <c r="K205" s="287" t="str">
        <f>VLOOKUP($B205,'2、设备合同'!$D:$AK,10,0)</f>
        <v>6个月承兑汇票/电汇下浮3%</v>
      </c>
      <c r="L205" s="288" t="str">
        <f>VLOOKUP($B205,'2、设备合同'!$D:$AK,11,0)</f>
        <v>甲方收到乙方20%的预付款保函以及本合同的10%履约保函,20%发票后15个工作日支付20%预付款</v>
      </c>
      <c r="M205" s="289">
        <f>VLOOKUP($B205,'2、设备合同'!$D:$AK,12,0)</f>
        <v>200000</v>
      </c>
      <c r="N205" s="289">
        <f>VLOOKUP($B205,'2、设备合同'!$D:$AK,13,0)</f>
        <v>200000</v>
      </c>
      <c r="O205" s="286" t="str">
        <f>VLOOKUP($B205,'2、设备合同'!$D:$AK,14,0)</f>
        <v>甲方到乙方现场确认无误后，收到60%专票，15个工作日内支付60%发货款</v>
      </c>
      <c r="P205" s="289">
        <f>VLOOKUP($B205,'2、设备合同'!$D:$AK,15,0)</f>
        <v>600000</v>
      </c>
      <c r="Q205" s="289">
        <f>VLOOKUP($B205,'2、设备合同'!$D:$AK,16,0)</f>
        <v>0</v>
      </c>
      <c r="R205" s="286" t="str">
        <f>VLOOKUP($B205,'2、设备合同'!$D:$AK,17,0)</f>
        <v>甲方收到货物，并验收合格后收到全额的专票后，支付10%的验收款</v>
      </c>
      <c r="S205" s="289">
        <f>VLOOKUP($B205,'2、设备合同'!$D:$AK,18,0)</f>
        <v>100000</v>
      </c>
      <c r="T205" s="289">
        <f>VLOOKUP($B205,'2、设备合同'!$D:$AK,19,0)</f>
        <v>0</v>
      </c>
      <c r="U205" s="286" t="str">
        <f>VLOOKUP($B205,'2、设备合同'!$D:$AK,20,0)</f>
        <v>10%质保金，验收合格12个月或到货现场18个月</v>
      </c>
      <c r="V205" s="289">
        <f>VLOOKUP($B205,'2、设备合同'!$D:$AK,21,0)</f>
        <v>100000</v>
      </c>
      <c r="W205" s="289">
        <f>VLOOKUP($B205,'2、设备合同'!$D:$AK,22,0)</f>
        <v>0</v>
      </c>
      <c r="X205" s="286">
        <f>VLOOKUP($B205,'2、设备合同'!$D:$AK,23,0)</f>
        <v>0</v>
      </c>
      <c r="Y205" s="289">
        <f>VLOOKUP($B205,'2、设备合同'!$D:$AK,24,0)</f>
        <v>0</v>
      </c>
      <c r="Z205" s="289">
        <f>VLOOKUP($B205,'2、设备合同'!$D:$AK,25,0)</f>
        <v>0</v>
      </c>
      <c r="AA205" s="286">
        <f>VLOOKUP($B205,'2、设备合同'!$D:$AK,26,0)</f>
        <v>0</v>
      </c>
      <c r="AB205" s="289">
        <f>VLOOKUP($B205,'2、设备合同'!$D:$AK,27,0)</f>
        <v>0</v>
      </c>
      <c r="AC205" s="289">
        <f>VLOOKUP($B205,'2、设备合同'!$D:$AK,28,0)</f>
        <v>0</v>
      </c>
      <c r="AD205" s="286">
        <f>VLOOKUP($B205,'2、设备合同'!$D:$AK,29,0)</f>
        <v>0</v>
      </c>
      <c r="AE205" s="289">
        <f>VLOOKUP($B205,'2、设备合同'!$D:$AK,30,0)</f>
        <v>0</v>
      </c>
      <c r="AF205" s="289">
        <f>VLOOKUP($B205,'2、设备合同'!$D:$AK,31,0)</f>
        <v>0</v>
      </c>
      <c r="AG205" s="289">
        <f>VLOOKUP($B205,'2、设备合同'!$D:$AK,32,0)</f>
        <v>0</v>
      </c>
      <c r="AH205" s="289">
        <f>VLOOKUP($B205,'2、设备合同'!$D:$AK,33,0)</f>
        <v>0</v>
      </c>
      <c r="AI205" s="308">
        <f>VLOOKUP($B205,'2、设备合同'!$D:$AK,34,0)</f>
        <v>0</v>
      </c>
      <c r="AJ205" s="309">
        <f t="shared" si="57"/>
        <v>200000</v>
      </c>
      <c r="AK205" s="289">
        <f t="shared" si="58"/>
        <v>800000</v>
      </c>
      <c r="AL205" s="310">
        <f t="shared" si="59"/>
        <v>0.2</v>
      </c>
      <c r="AM205" s="289">
        <f t="shared" si="60"/>
        <v>1000000</v>
      </c>
      <c r="AN205" s="311" t="str">
        <f t="shared" si="61"/>
        <v>数据正确</v>
      </c>
    </row>
    <row r="206" s="228" customFormat="1" customHeight="1" spans="1:40">
      <c r="A206" s="228" t="str">
        <f t="shared" si="62"/>
        <v/>
      </c>
      <c r="B206" s="261">
        <v>201</v>
      </c>
      <c r="C206" s="262" t="str">
        <f>VLOOKUP($B206,'2、设备合同'!$D:$AK,2,0)</f>
        <v>YRKJEQ-170035-1</v>
      </c>
      <c r="D206" s="263" t="str">
        <f>VLOOKUP($B206,'2、设备合同'!$D:$AK,3,0)</f>
        <v>设备合同</v>
      </c>
      <c r="E206" s="263">
        <f>VLOOKUP($B206,'2、设备合同'!$D:$AK,4,0)</f>
        <v>0</v>
      </c>
      <c r="F206" s="264">
        <f>VLOOKUP($B206,'2、设备合同'!$D:$AK,5,0)</f>
        <v>42963</v>
      </c>
      <c r="G206" s="265">
        <f>VLOOKUP($B206,'2、设备合同'!$D:$AK,6,0)</f>
        <v>810000</v>
      </c>
      <c r="H206" s="265" t="str">
        <f>VLOOKUP($B206,'2、设备合同'!$D:$AK,7,0)</f>
        <v>屏蔽泵17台（加签）</v>
      </c>
      <c r="I206" s="265" t="str">
        <f>VLOOKUP($B206,'2、设备合同'!$D:$AK,8,0)</f>
        <v>厦门予中化工有限公司</v>
      </c>
      <c r="J206" s="286">
        <f>VLOOKUP($B206,'2、设备合同'!$D:$AK,9,0)</f>
        <v>0</v>
      </c>
      <c r="K206" s="287" t="str">
        <f>VLOOKUP($B206,'2、设备合同'!$D:$AK,10,0)</f>
        <v>电汇</v>
      </c>
      <c r="L206" s="288" t="str">
        <f>VLOOKUP($B206,'2、设备合同'!$D:$AK,11,0)</f>
        <v>甲方收到乙方20%收据15个工作日支付预付款20%</v>
      </c>
      <c r="M206" s="289">
        <f>VLOOKUP($B206,'2、设备合同'!$D:$AK,12,0)</f>
        <v>162000</v>
      </c>
      <c r="N206" s="289">
        <f>VLOOKUP($B206,'2、设备合同'!$D:$AK,13,0)</f>
        <v>162000</v>
      </c>
      <c r="O206" s="286" t="str">
        <f>VLOOKUP($B206,'2、设备合同'!$D:$AK,14,0)</f>
        <v>甲方提供全额专票，交货期内一个月支付75%发货款</v>
      </c>
      <c r="P206" s="289">
        <f>VLOOKUP($B206,'2、设备合同'!$D:$AK,15,0)</f>
        <v>607500</v>
      </c>
      <c r="Q206" s="289">
        <f>VLOOKUP($B206,'2、设备合同'!$D:$AK,16,0)</f>
        <v>0</v>
      </c>
      <c r="R206" s="286" t="str">
        <f>VLOOKUP($B206,'2、设备合同'!$D:$AK,17,0)</f>
        <v>开车调试验收合格后，一个月内支付3%验收款</v>
      </c>
      <c r="S206" s="289">
        <f>VLOOKUP($B206,'2、设备合同'!$D:$AK,18,0)</f>
        <v>24300</v>
      </c>
      <c r="T206" s="289">
        <f>VLOOKUP($B206,'2、设备合同'!$D:$AK,19,0)</f>
        <v>0</v>
      </c>
      <c r="U206" s="286" t="str">
        <f>VLOOKUP($B206,'2、设备合同'!$D:$AK,20,0)</f>
        <v>2%质保金，验收合格12个月或到货现场18个月</v>
      </c>
      <c r="V206" s="289">
        <f>VLOOKUP($B206,'2、设备合同'!$D:$AK,21,0)</f>
        <v>16200</v>
      </c>
      <c r="W206" s="289">
        <f>VLOOKUP($B206,'2、设备合同'!$D:$AK,22,0)</f>
        <v>0</v>
      </c>
      <c r="X206" s="286">
        <f>VLOOKUP($B206,'2、设备合同'!$D:$AK,23,0)</f>
        <v>0</v>
      </c>
      <c r="Y206" s="289">
        <f>VLOOKUP($B206,'2、设备合同'!$D:$AK,24,0)</f>
        <v>0</v>
      </c>
      <c r="Z206" s="289">
        <f>VLOOKUP($B206,'2、设备合同'!$D:$AK,25,0)</f>
        <v>0</v>
      </c>
      <c r="AA206" s="286">
        <f>VLOOKUP($B206,'2、设备合同'!$D:$AK,26,0)</f>
        <v>0</v>
      </c>
      <c r="AB206" s="289">
        <f>VLOOKUP($B206,'2、设备合同'!$D:$AK,27,0)</f>
        <v>0</v>
      </c>
      <c r="AC206" s="289">
        <f>VLOOKUP($B206,'2、设备合同'!$D:$AK,28,0)</f>
        <v>0</v>
      </c>
      <c r="AD206" s="286">
        <f>VLOOKUP($B206,'2、设备合同'!$D:$AK,29,0)</f>
        <v>0</v>
      </c>
      <c r="AE206" s="289">
        <f>VLOOKUP($B206,'2、设备合同'!$D:$AK,30,0)</f>
        <v>0</v>
      </c>
      <c r="AF206" s="289">
        <f>VLOOKUP($B206,'2、设备合同'!$D:$AK,31,0)</f>
        <v>0</v>
      </c>
      <c r="AG206" s="289">
        <f>VLOOKUP($B206,'2、设备合同'!$D:$AK,32,0)</f>
        <v>0</v>
      </c>
      <c r="AH206" s="289">
        <f>VLOOKUP($B206,'2、设备合同'!$D:$AK,33,0)</f>
        <v>0</v>
      </c>
      <c r="AI206" s="308">
        <f>VLOOKUP($B206,'2、设备合同'!$D:$AK,34,0)</f>
        <v>0</v>
      </c>
      <c r="AJ206" s="309">
        <f t="shared" si="57"/>
        <v>162000</v>
      </c>
      <c r="AK206" s="289">
        <f t="shared" si="58"/>
        <v>648000</v>
      </c>
      <c r="AL206" s="310">
        <f t="shared" si="59"/>
        <v>0.2</v>
      </c>
      <c r="AM206" s="289">
        <f t="shared" si="60"/>
        <v>810000</v>
      </c>
      <c r="AN206" s="311" t="str">
        <f t="shared" si="61"/>
        <v>数据正确</v>
      </c>
    </row>
    <row r="207" s="228" customFormat="1" customHeight="1" spans="1:40">
      <c r="A207" s="228" t="str">
        <f t="shared" si="62"/>
        <v/>
      </c>
      <c r="B207" s="261">
        <v>202</v>
      </c>
      <c r="C207" s="266" t="str">
        <f>VLOOKUP($B207,'3、工程合同'!$D:$AL,2,0)</f>
        <v>-</v>
      </c>
      <c r="D207" s="267" t="str">
        <f>VLOOKUP($B207,'3、工程合同'!$D:$AL,3,0)</f>
        <v>工程合同</v>
      </c>
      <c r="E207" s="267" t="str">
        <f>VLOOKUP($B207,'3、工程合同'!$D:$AL,4,0)</f>
        <v>-</v>
      </c>
      <c r="F207" s="268">
        <f>VLOOKUP($B207,'3、工程合同'!$D:$AL,5,0)</f>
        <v>42977</v>
      </c>
      <c r="G207" s="269">
        <f>VLOOKUP($B207,'3、工程合同'!$D:$AL,6,0)</f>
        <v>3000000</v>
      </c>
      <c r="H207" s="269" t="str">
        <f>VLOOKUP($B207,'3、工程合同'!$D:$AL,7,0)</f>
        <v>安装工程第三方无损检测（Ⅰ标段）</v>
      </c>
      <c r="I207" s="269" t="str">
        <f>VLOOKUP($B207,'3、工程合同'!$D:$AL,8,0)</f>
        <v>北京蓝光恒远工业检测有限公司</v>
      </c>
      <c r="J207" s="290">
        <f>VLOOKUP($B207,'3、工程合同'!$D:$AL,9,0)</f>
        <v>0</v>
      </c>
      <c r="K207" s="291">
        <f>VLOOKUP($B207,'3、工程合同'!$D:$AL,10,0)</f>
        <v>0</v>
      </c>
      <c r="L207" s="292">
        <f>VLOOKUP($B207,'3、工程合同'!$D:$AL,11,0)</f>
        <v>0</v>
      </c>
      <c r="M207" s="293">
        <f>VLOOKUP($B207,'3、工程合同'!$D:$AL,12,0)</f>
        <v>3000000</v>
      </c>
      <c r="N207" s="293">
        <f>VLOOKUP($B207,'3、工程合同'!$D:$AL,13,0)</f>
        <v>0</v>
      </c>
      <c r="O207" s="290">
        <f>VLOOKUP($B207,'3、工程合同'!$D:$AL,14,0)</f>
        <v>0</v>
      </c>
      <c r="P207" s="293">
        <f>VLOOKUP($B207,'3、工程合同'!$D:$AL,15,0)</f>
        <v>0</v>
      </c>
      <c r="Q207" s="293">
        <f>VLOOKUP($B207,'3、工程合同'!$D:$AL,16,0)</f>
        <v>0</v>
      </c>
      <c r="R207" s="290">
        <f>VLOOKUP($B207,'3、工程合同'!$D:$AL,17,0)</f>
        <v>0</v>
      </c>
      <c r="S207" s="293">
        <f>VLOOKUP($B207,'3、工程合同'!$D:$AL,18,0)</f>
        <v>0</v>
      </c>
      <c r="T207" s="293">
        <f>VLOOKUP($B207,'3、工程合同'!$D:$AL,19,0)</f>
        <v>0</v>
      </c>
      <c r="U207" s="290">
        <f>VLOOKUP($B207,'3、工程合同'!$D:$AL,20,0)</f>
        <v>0</v>
      </c>
      <c r="V207" s="293">
        <f>VLOOKUP($B207,'3、工程合同'!$D:$AL,21,0)</f>
        <v>0</v>
      </c>
      <c r="W207" s="293">
        <f>VLOOKUP($B207,'3、工程合同'!$D:$AL,22,0)</f>
        <v>0</v>
      </c>
      <c r="X207" s="290">
        <f>VLOOKUP($B207,'3、工程合同'!$D:$AL,23,0)</f>
        <v>0</v>
      </c>
      <c r="Y207" s="293">
        <f>VLOOKUP($B207,'3、工程合同'!$D:$AL,24,0)</f>
        <v>0</v>
      </c>
      <c r="Z207" s="293">
        <f>VLOOKUP($B207,'3、工程合同'!$D:$AL,25,0)</f>
        <v>0</v>
      </c>
      <c r="AA207" s="290">
        <f>VLOOKUP($B207,'3、工程合同'!$D:$AL,26,0)</f>
        <v>0</v>
      </c>
      <c r="AB207" s="293">
        <f>VLOOKUP($B207,'3、工程合同'!$D:$AL,27,0)</f>
        <v>0</v>
      </c>
      <c r="AC207" s="293">
        <f>VLOOKUP($B207,'3、工程合同'!$D:$AL,28,0)</f>
        <v>0</v>
      </c>
      <c r="AD207" s="290">
        <f>VLOOKUP($B207,'3、工程合同'!$D:$AL,29,0)</f>
        <v>0</v>
      </c>
      <c r="AE207" s="293">
        <f>VLOOKUP($B207,'3、工程合同'!$D:$AL,30,0)</f>
        <v>0</v>
      </c>
      <c r="AF207" s="293">
        <f>VLOOKUP($B207,'3、工程合同'!$D:$AL,31,0)</f>
        <v>0</v>
      </c>
      <c r="AG207" s="293">
        <f>VLOOKUP($B207,'3、工程合同'!$D:$AL,32,0)</f>
        <v>0</v>
      </c>
      <c r="AH207" s="293">
        <f>VLOOKUP($B207,'3、工程合同'!$D:$AL,33,0)</f>
        <v>0</v>
      </c>
      <c r="AI207" s="312">
        <f>VLOOKUP($B207,'3、工程合同'!$D:$AL,34,0)</f>
        <v>0</v>
      </c>
      <c r="AJ207" s="309">
        <f t="shared" si="57"/>
        <v>0</v>
      </c>
      <c r="AK207" s="289">
        <f t="shared" si="58"/>
        <v>3000000</v>
      </c>
      <c r="AL207" s="310">
        <f t="shared" si="59"/>
        <v>0</v>
      </c>
      <c r="AM207" s="289">
        <f t="shared" si="60"/>
        <v>3000000</v>
      </c>
      <c r="AN207" s="311" t="str">
        <f t="shared" si="61"/>
        <v>数据正确</v>
      </c>
    </row>
    <row r="208" s="228" customFormat="1" customHeight="1" spans="1:40">
      <c r="A208" s="228" t="str">
        <f t="shared" si="62"/>
        <v/>
      </c>
      <c r="B208" s="261">
        <v>203</v>
      </c>
      <c r="C208" s="266" t="str">
        <f>VLOOKUP($B208,'3、工程合同'!$D:$AL,2,0)</f>
        <v>YRKJ-2017GC-SGHT013</v>
      </c>
      <c r="D208" s="267" t="str">
        <f>VLOOKUP($B208,'3、工程合同'!$D:$AL,3,0)</f>
        <v>工程合同</v>
      </c>
      <c r="E208" s="267" t="str">
        <f>VLOOKUP($B208,'3、工程合同'!$D:$AL,4,0)</f>
        <v>-</v>
      </c>
      <c r="F208" s="268">
        <f>VLOOKUP($B208,'3、工程合同'!$D:$AL,5,0)</f>
        <v>42944</v>
      </c>
      <c r="G208" s="269">
        <f>VLOOKUP($B208,'3、工程合同'!$D:$AL,6,0)</f>
        <v>58000000</v>
      </c>
      <c r="H208" s="269" t="str">
        <f>VLOOKUP($B208,'3、工程合同'!$D:$AL,7,0)</f>
        <v>建筑安装工程(Ⅱ标段)</v>
      </c>
      <c r="I208" s="269" t="str">
        <f>VLOOKUP($B208,'3、工程合同'!$D:$AL,8,0)</f>
        <v>中国化学工程第三建设有限公司</v>
      </c>
      <c r="J208" s="290">
        <f>VLOOKUP($B208,'3、工程合同'!$D:$AL,9,0)</f>
        <v>0</v>
      </c>
      <c r="K208" s="291">
        <f>VLOOKUP($B208,'3、工程合同'!$D:$AL,10,0)</f>
        <v>0</v>
      </c>
      <c r="L208" s="292">
        <f>VLOOKUP($B208,'3、工程合同'!$D:$AL,11,0)</f>
        <v>0</v>
      </c>
      <c r="M208" s="293">
        <f>VLOOKUP($B208,'3、工程合同'!$D:$AL,12,0)</f>
        <v>58000000</v>
      </c>
      <c r="N208" s="293">
        <f>VLOOKUP($B208,'3、工程合同'!$D:$AL,13,0)</f>
        <v>0</v>
      </c>
      <c r="O208" s="290">
        <f>VLOOKUP($B208,'3、工程合同'!$D:$AL,14,0)</f>
        <v>0</v>
      </c>
      <c r="P208" s="293">
        <f>VLOOKUP($B208,'3、工程合同'!$D:$AL,15,0)</f>
        <v>0</v>
      </c>
      <c r="Q208" s="293">
        <f>VLOOKUP($B208,'3、工程合同'!$D:$AL,16,0)</f>
        <v>0</v>
      </c>
      <c r="R208" s="290">
        <f>VLOOKUP($B208,'3、工程合同'!$D:$AL,17,0)</f>
        <v>0</v>
      </c>
      <c r="S208" s="293">
        <f>VLOOKUP($B208,'3、工程合同'!$D:$AL,18,0)</f>
        <v>0</v>
      </c>
      <c r="T208" s="293">
        <f>VLOOKUP($B208,'3、工程合同'!$D:$AL,19,0)</f>
        <v>0</v>
      </c>
      <c r="U208" s="290">
        <f>VLOOKUP($B208,'3、工程合同'!$D:$AL,20,0)</f>
        <v>0</v>
      </c>
      <c r="V208" s="293">
        <f>VLOOKUP($B208,'3、工程合同'!$D:$AL,21,0)</f>
        <v>0</v>
      </c>
      <c r="W208" s="293">
        <f>VLOOKUP($B208,'3、工程合同'!$D:$AL,22,0)</f>
        <v>0</v>
      </c>
      <c r="X208" s="290">
        <f>VLOOKUP($B208,'3、工程合同'!$D:$AL,23,0)</f>
        <v>0</v>
      </c>
      <c r="Y208" s="293">
        <f>VLOOKUP($B208,'3、工程合同'!$D:$AL,24,0)</f>
        <v>0</v>
      </c>
      <c r="Z208" s="293">
        <f>VLOOKUP($B208,'3、工程合同'!$D:$AL,25,0)</f>
        <v>0</v>
      </c>
      <c r="AA208" s="290">
        <f>VLOOKUP($B208,'3、工程合同'!$D:$AL,26,0)</f>
        <v>0</v>
      </c>
      <c r="AB208" s="293">
        <f>VLOOKUP($B208,'3、工程合同'!$D:$AL,27,0)</f>
        <v>0</v>
      </c>
      <c r="AC208" s="293">
        <f>VLOOKUP($B208,'3、工程合同'!$D:$AL,28,0)</f>
        <v>0</v>
      </c>
      <c r="AD208" s="290">
        <f>VLOOKUP($B208,'3、工程合同'!$D:$AL,29,0)</f>
        <v>0</v>
      </c>
      <c r="AE208" s="293">
        <f>VLOOKUP($B208,'3、工程合同'!$D:$AL,30,0)</f>
        <v>0</v>
      </c>
      <c r="AF208" s="293">
        <f>VLOOKUP($B208,'3、工程合同'!$D:$AL,31,0)</f>
        <v>0</v>
      </c>
      <c r="AG208" s="293">
        <f>VLOOKUP($B208,'3、工程合同'!$D:$AL,32,0)</f>
        <v>0</v>
      </c>
      <c r="AH208" s="293">
        <f>VLOOKUP($B208,'3、工程合同'!$D:$AL,33,0)</f>
        <v>0</v>
      </c>
      <c r="AI208" s="312">
        <f>VLOOKUP($B208,'3、工程合同'!$D:$AL,34,0)</f>
        <v>0</v>
      </c>
      <c r="AJ208" s="309">
        <f t="shared" si="57"/>
        <v>0</v>
      </c>
      <c r="AK208" s="289">
        <f t="shared" si="58"/>
        <v>58000000</v>
      </c>
      <c r="AL208" s="310">
        <f t="shared" si="59"/>
        <v>0</v>
      </c>
      <c r="AM208" s="289">
        <f t="shared" si="60"/>
        <v>58000000</v>
      </c>
      <c r="AN208" s="311" t="str">
        <f t="shared" si="61"/>
        <v>数据正确</v>
      </c>
    </row>
    <row r="209" s="228" customFormat="1" customHeight="1" spans="1:40">
      <c r="A209" s="228" t="str">
        <f t="shared" si="62"/>
        <v/>
      </c>
      <c r="B209" s="261">
        <v>204</v>
      </c>
      <c r="C209" s="266" t="str">
        <f>VLOOKUP($B209,'3、工程合同'!$D:$AL,2,0)</f>
        <v>YRKJ-2017GC-SGHT014</v>
      </c>
      <c r="D209" s="267" t="str">
        <f>VLOOKUP($B209,'3、工程合同'!$D:$AL,3,0)</f>
        <v>工程合同</v>
      </c>
      <c r="E209" s="267" t="str">
        <f>VLOOKUP($B209,'3、工程合同'!$D:$AL,4,0)</f>
        <v>-</v>
      </c>
      <c r="F209" s="268">
        <f>VLOOKUP($B209,'3、工程合同'!$D:$AL,5,0)</f>
        <v>42944</v>
      </c>
      <c r="G209" s="269">
        <f>VLOOKUP($B209,'3、工程合同'!$D:$AL,6,0)</f>
        <v>45000000</v>
      </c>
      <c r="H209" s="269" t="str">
        <f>VLOOKUP($B209,'3、工程合同'!$D:$AL,7,0)</f>
        <v>建筑安装工程(Ⅲ标段) </v>
      </c>
      <c r="I209" s="269" t="str">
        <f>VLOOKUP($B209,'3、工程合同'!$D:$AL,8,0)</f>
        <v>湖南省工业设备安装有限公司</v>
      </c>
      <c r="J209" s="290">
        <f>VLOOKUP($B209,'3、工程合同'!$D:$AL,9,0)</f>
        <v>0</v>
      </c>
      <c r="K209" s="291" t="str">
        <f>VLOOKUP($B209,'3、工程合同'!$D:$AL,10,0)</f>
        <v>6个月承兑汇票/电汇下浮3%</v>
      </c>
      <c r="L209" s="292" t="str">
        <f>VLOOKUP($B209,'3、工程合同'!$D:$AL,11,0)</f>
        <v>无预付款，按月支付进度款，支付至验收完成工程对应价的80%</v>
      </c>
      <c r="M209" s="293">
        <f>VLOOKUP($B209,'3、工程合同'!$D:$AL,12,0)</f>
        <v>36000000</v>
      </c>
      <c r="N209" s="293">
        <f>VLOOKUP($B209,'3、工程合同'!$D:$AL,13,0)</f>
        <v>2051000</v>
      </c>
      <c r="O209" s="290">
        <f>VLOOKUP($B209,'3、工程合同'!$D:$AL,14,0)</f>
        <v>0</v>
      </c>
      <c r="P209" s="293">
        <f>VLOOKUP($B209,'3、工程合同'!$D:$AL,15,0)</f>
        <v>9000000</v>
      </c>
      <c r="Q209" s="293">
        <f>VLOOKUP($B209,'3、工程合同'!$D:$AL,16,0)</f>
        <v>0</v>
      </c>
      <c r="R209" s="290">
        <f>VLOOKUP($B209,'3、工程合同'!$D:$AL,17,0)</f>
        <v>0</v>
      </c>
      <c r="S209" s="293">
        <f>VLOOKUP($B209,'3、工程合同'!$D:$AL,18,0)</f>
        <v>0</v>
      </c>
      <c r="T209" s="293">
        <f>VLOOKUP($B209,'3、工程合同'!$D:$AL,19,0)</f>
        <v>0</v>
      </c>
      <c r="U209" s="290">
        <f>VLOOKUP($B209,'3、工程合同'!$D:$AL,20,0)</f>
        <v>0</v>
      </c>
      <c r="V209" s="293">
        <f>VLOOKUP($B209,'3、工程合同'!$D:$AL,21,0)</f>
        <v>0</v>
      </c>
      <c r="W209" s="293">
        <f>VLOOKUP($B209,'3、工程合同'!$D:$AL,22,0)</f>
        <v>0</v>
      </c>
      <c r="X209" s="290">
        <f>VLOOKUP($B209,'3、工程合同'!$D:$AL,23,0)</f>
        <v>0</v>
      </c>
      <c r="Y209" s="293">
        <f>VLOOKUP($B209,'3、工程合同'!$D:$AL,24,0)</f>
        <v>0</v>
      </c>
      <c r="Z209" s="293">
        <f>VLOOKUP($B209,'3、工程合同'!$D:$AL,25,0)</f>
        <v>0</v>
      </c>
      <c r="AA209" s="290">
        <f>VLOOKUP($B209,'3、工程合同'!$D:$AL,26,0)</f>
        <v>0</v>
      </c>
      <c r="AB209" s="293">
        <f>VLOOKUP($B209,'3、工程合同'!$D:$AL,27,0)</f>
        <v>0</v>
      </c>
      <c r="AC209" s="293">
        <f>VLOOKUP($B209,'3、工程合同'!$D:$AL,28,0)</f>
        <v>0</v>
      </c>
      <c r="AD209" s="290">
        <f>VLOOKUP($B209,'3、工程合同'!$D:$AL,29,0)</f>
        <v>0</v>
      </c>
      <c r="AE209" s="293">
        <f>VLOOKUP($B209,'3、工程合同'!$D:$AL,30,0)</f>
        <v>0</v>
      </c>
      <c r="AF209" s="293">
        <f>VLOOKUP($B209,'3、工程合同'!$D:$AL,31,0)</f>
        <v>0</v>
      </c>
      <c r="AG209" s="293">
        <f>VLOOKUP($B209,'3、工程合同'!$D:$AL,32,0)</f>
        <v>0</v>
      </c>
      <c r="AH209" s="293">
        <f>VLOOKUP($B209,'3、工程合同'!$D:$AL,33,0)</f>
        <v>0</v>
      </c>
      <c r="AI209" s="312">
        <f>VLOOKUP($B209,'3、工程合同'!$D:$AL,34,0)</f>
        <v>0</v>
      </c>
      <c r="AJ209" s="309">
        <f t="shared" si="57"/>
        <v>2051000</v>
      </c>
      <c r="AK209" s="289">
        <f t="shared" si="58"/>
        <v>42949000</v>
      </c>
      <c r="AL209" s="310">
        <f t="shared" si="59"/>
        <v>0.0455777777777778</v>
      </c>
      <c r="AM209" s="289">
        <f t="shared" si="60"/>
        <v>45000000</v>
      </c>
      <c r="AN209" s="311" t="str">
        <f t="shared" si="61"/>
        <v>数据正确</v>
      </c>
    </row>
    <row r="210" s="228" customFormat="1" customHeight="1" spans="1:40">
      <c r="A210" s="228" t="str">
        <f t="shared" si="62"/>
        <v/>
      </c>
      <c r="B210" s="261">
        <v>205</v>
      </c>
      <c r="C210" s="262" t="str">
        <f>VLOOKUP($B210,'1、EPC合同'!$D:$AK,2,0)</f>
        <v>-</v>
      </c>
      <c r="D210" s="263" t="str">
        <f>VLOOKUP($B210,'1、EPC合同'!$D:$AK,3,0)</f>
        <v>EPC合同</v>
      </c>
      <c r="E210" s="263" t="str">
        <f>VLOOKUP($B210,'1、EPC合同'!$D:$AK,4,0)</f>
        <v>-</v>
      </c>
      <c r="F210" s="264" t="str">
        <f>VLOOKUP($B210,'1、EPC合同'!$D:$AK,5,0)</f>
        <v>-</v>
      </c>
      <c r="G210" s="265">
        <f>VLOOKUP($B210,'1、EPC合同'!$D:$AK,6,0)</f>
        <v>119000000</v>
      </c>
      <c r="H210" s="265" t="str">
        <f>VLOOKUP($B210,'1、EPC合同'!$D:$AK,7,0)</f>
        <v>污水处理场PC</v>
      </c>
      <c r="I210" s="265" t="str">
        <f>VLOOKUP($B210,'1、EPC合同'!$D:$AK,8,0)</f>
        <v>苏州科环环保科技有限公司/湖南新金诚建设工程有限公司</v>
      </c>
      <c r="J210" s="286" t="str">
        <f>VLOOKUP($B210,'1、EPC合同'!$D:$AK,9,0)</f>
        <v>污水处理场</v>
      </c>
      <c r="K210" s="287" t="str">
        <f>VLOOKUP($B210,'1、EPC合同'!$D:$AK,10,0)</f>
        <v>6个月承兑汇汇票/电汇下浮9%</v>
      </c>
      <c r="L210" s="288">
        <f>VLOOKUP($B210,'1、EPC合同'!$D:$AK,11,0)</f>
        <v>0</v>
      </c>
      <c r="M210" s="289">
        <f>VLOOKUP($B210,'1、EPC合同'!$D:$AK,12,0)</f>
        <v>119000000</v>
      </c>
      <c r="N210" s="289">
        <f>VLOOKUP($B210,'1、EPC合同'!$D:$AK,13,0)</f>
        <v>0</v>
      </c>
      <c r="O210" s="286">
        <f>VLOOKUP($B210,'1、EPC合同'!$D:$AK,14,0)</f>
        <v>0</v>
      </c>
      <c r="P210" s="289">
        <f>VLOOKUP($B210,'1、EPC合同'!$D:$AK,15,0)</f>
        <v>0</v>
      </c>
      <c r="Q210" s="289">
        <f>VLOOKUP($B210,'1、EPC合同'!$D:$AK,16,0)</f>
        <v>0</v>
      </c>
      <c r="R210" s="286">
        <f>VLOOKUP($B210,'1、EPC合同'!$D:$AK,17,0)</f>
        <v>0</v>
      </c>
      <c r="S210" s="289">
        <f>VLOOKUP($B210,'1、EPC合同'!$D:$AK,18,0)</f>
        <v>0</v>
      </c>
      <c r="T210" s="289">
        <f>VLOOKUP($B210,'1、EPC合同'!$D:$AK,19,0)</f>
        <v>0</v>
      </c>
      <c r="U210" s="286">
        <f>VLOOKUP($B210,'1、EPC合同'!$D:$AK,20,0)</f>
        <v>0</v>
      </c>
      <c r="V210" s="289">
        <f>VLOOKUP($B210,'1、EPC合同'!$D:$AK,21,0)</f>
        <v>0</v>
      </c>
      <c r="W210" s="289">
        <f>VLOOKUP($B210,'1、EPC合同'!$D:$AK,22,0)</f>
        <v>0</v>
      </c>
      <c r="X210" s="286">
        <f>VLOOKUP($B210,'1、EPC合同'!$D:$AK,23,0)</f>
        <v>0</v>
      </c>
      <c r="Y210" s="289">
        <f>VLOOKUP($B210,'1、EPC合同'!$D:$AK,24,0)</f>
        <v>0</v>
      </c>
      <c r="Z210" s="289">
        <f>VLOOKUP($B210,'1、EPC合同'!$D:$AK,25,0)</f>
        <v>0</v>
      </c>
      <c r="AA210" s="286">
        <f>VLOOKUP($B210,'1、EPC合同'!$D:$AK,26,0)</f>
        <v>0</v>
      </c>
      <c r="AB210" s="289">
        <f>VLOOKUP($B210,'1、EPC合同'!$D:$AK,27,0)</f>
        <v>0</v>
      </c>
      <c r="AC210" s="289">
        <f>VLOOKUP($B210,'1、EPC合同'!$D:$AK,28,0)</f>
        <v>0</v>
      </c>
      <c r="AD210" s="286">
        <f>VLOOKUP($B210,'1、EPC合同'!$D:$AK,29,0)</f>
        <v>0</v>
      </c>
      <c r="AE210" s="289">
        <f>VLOOKUP($B210,'1、EPC合同'!$D:$AK,30,0)</f>
        <v>0</v>
      </c>
      <c r="AF210" s="289">
        <f>VLOOKUP($B210,'1、EPC合同'!$D:$AK,31,0)</f>
        <v>0</v>
      </c>
      <c r="AG210" s="289">
        <f>VLOOKUP($B210,'1、EPC合同'!$D:$AK,32,0)</f>
        <v>0</v>
      </c>
      <c r="AH210" s="289">
        <f>VLOOKUP($B210,'1、EPC合同'!$D:$AK,33,0)</f>
        <v>0</v>
      </c>
      <c r="AI210" s="308">
        <f>VLOOKUP($B210,'1、EPC合同'!$D:$AK,34,0)</f>
        <v>0</v>
      </c>
      <c r="AJ210" s="309">
        <f t="shared" si="57"/>
        <v>0</v>
      </c>
      <c r="AK210" s="289">
        <f t="shared" si="58"/>
        <v>119000000</v>
      </c>
      <c r="AL210" s="310">
        <f t="shared" si="59"/>
        <v>0</v>
      </c>
      <c r="AM210" s="289">
        <f t="shared" si="60"/>
        <v>119000000</v>
      </c>
      <c r="AN210" s="311" t="str">
        <f t="shared" si="61"/>
        <v>数据正确</v>
      </c>
    </row>
    <row r="211" s="228" customFormat="1" customHeight="1" spans="1:40">
      <c r="A211" s="228" t="str">
        <f t="shared" si="62"/>
        <v/>
      </c>
      <c r="B211" s="261">
        <v>206</v>
      </c>
      <c r="C211" s="266" t="str">
        <f>VLOOKUP($B211,'3、工程合同'!$D:$AL,2,0)</f>
        <v>AG-KJ-20170001</v>
      </c>
      <c r="D211" s="267" t="str">
        <f>VLOOKUP($B211,'3、工程合同'!$D:$AL,3,0)</f>
        <v>工程合同</v>
      </c>
      <c r="E211" s="267" t="str">
        <f>VLOOKUP($B211,'3、工程合同'!$D:$AL,4,0)</f>
        <v>-</v>
      </c>
      <c r="F211" s="268">
        <f>VLOOKUP($B211,'3、工程合同'!$D:$AL,5,0)</f>
        <v>42977</v>
      </c>
      <c r="G211" s="269">
        <f>VLOOKUP($B211,'3、工程合同'!$D:$AL,6,0)</f>
        <v>1800000</v>
      </c>
      <c r="H211" s="269" t="str">
        <f>VLOOKUP($B211,'3、工程合同'!$D:$AL,7,0)</f>
        <v>安装工程第三方无损检测（Ⅱ标段）</v>
      </c>
      <c r="I211" s="269" t="str">
        <f>VLOOKUP($B211,'3、工程合同'!$D:$AL,8,0)</f>
        <v>福建省特安安全技术服务中心</v>
      </c>
      <c r="J211" s="290">
        <f>VLOOKUP($B211,'3、工程合同'!$D:$AL,9,0)</f>
        <v>0</v>
      </c>
      <c r="K211" s="291">
        <f>VLOOKUP($B211,'3、工程合同'!$D:$AL,10,0)</f>
        <v>0</v>
      </c>
      <c r="L211" s="292" t="str">
        <f>VLOOKUP($B211,'3、工程合同'!$D:$AL,11,0)</f>
        <v>-</v>
      </c>
      <c r="M211" s="293">
        <f>VLOOKUP($B211,'3、工程合同'!$D:$AL,12,0)</f>
        <v>1800000</v>
      </c>
      <c r="N211" s="293">
        <f>VLOOKUP($B211,'3、工程合同'!$D:$AL,13,0)</f>
        <v>0</v>
      </c>
      <c r="O211" s="290">
        <f>VLOOKUP($B211,'3、工程合同'!$D:$AL,14,0)</f>
        <v>0</v>
      </c>
      <c r="P211" s="293">
        <f>VLOOKUP($B211,'3、工程合同'!$D:$AL,15,0)</f>
        <v>0</v>
      </c>
      <c r="Q211" s="293">
        <f>VLOOKUP($B211,'3、工程合同'!$D:$AL,16,0)</f>
        <v>0</v>
      </c>
      <c r="R211" s="290">
        <f>VLOOKUP($B211,'3、工程合同'!$D:$AL,17,0)</f>
        <v>0</v>
      </c>
      <c r="S211" s="293">
        <f>VLOOKUP($B211,'3、工程合同'!$D:$AL,18,0)</f>
        <v>0</v>
      </c>
      <c r="T211" s="293">
        <f>VLOOKUP($B211,'3、工程合同'!$D:$AL,19,0)</f>
        <v>0</v>
      </c>
      <c r="U211" s="290">
        <f>VLOOKUP($B211,'3、工程合同'!$D:$AL,20,0)</f>
        <v>0</v>
      </c>
      <c r="V211" s="293">
        <f>VLOOKUP($B211,'3、工程合同'!$D:$AL,21,0)</f>
        <v>0</v>
      </c>
      <c r="W211" s="293">
        <f>VLOOKUP($B211,'3、工程合同'!$D:$AL,22,0)</f>
        <v>0</v>
      </c>
      <c r="X211" s="290">
        <f>VLOOKUP($B211,'3、工程合同'!$D:$AL,23,0)</f>
        <v>0</v>
      </c>
      <c r="Y211" s="293">
        <f>VLOOKUP($B211,'3、工程合同'!$D:$AL,24,0)</f>
        <v>0</v>
      </c>
      <c r="Z211" s="293">
        <f>VLOOKUP($B211,'3、工程合同'!$D:$AL,25,0)</f>
        <v>0</v>
      </c>
      <c r="AA211" s="290">
        <f>VLOOKUP($B211,'3、工程合同'!$D:$AL,26,0)</f>
        <v>0</v>
      </c>
      <c r="AB211" s="293">
        <f>VLOOKUP($B211,'3、工程合同'!$D:$AL,27,0)</f>
        <v>0</v>
      </c>
      <c r="AC211" s="293">
        <f>VLOOKUP($B211,'3、工程合同'!$D:$AL,28,0)</f>
        <v>0</v>
      </c>
      <c r="AD211" s="290">
        <f>VLOOKUP($B211,'3、工程合同'!$D:$AL,29,0)</f>
        <v>0</v>
      </c>
      <c r="AE211" s="293">
        <f>VLOOKUP($B211,'3、工程合同'!$D:$AL,30,0)</f>
        <v>0</v>
      </c>
      <c r="AF211" s="293">
        <f>VLOOKUP($B211,'3、工程合同'!$D:$AL,31,0)</f>
        <v>0</v>
      </c>
      <c r="AG211" s="293">
        <f>VLOOKUP($B211,'3、工程合同'!$D:$AL,32,0)</f>
        <v>0</v>
      </c>
      <c r="AH211" s="293">
        <f>VLOOKUP($B211,'3、工程合同'!$D:$AL,33,0)</f>
        <v>0</v>
      </c>
      <c r="AI211" s="312">
        <f>VLOOKUP($B211,'3、工程合同'!$D:$AL,34,0)</f>
        <v>0</v>
      </c>
      <c r="AJ211" s="309">
        <f t="shared" si="57"/>
        <v>0</v>
      </c>
      <c r="AK211" s="289">
        <f t="shared" si="58"/>
        <v>1800000</v>
      </c>
      <c r="AL211" s="310">
        <f t="shared" si="59"/>
        <v>0</v>
      </c>
      <c r="AM211" s="289">
        <f t="shared" si="60"/>
        <v>1800000</v>
      </c>
      <c r="AN211" s="311" t="str">
        <f t="shared" si="61"/>
        <v>数据正确</v>
      </c>
    </row>
    <row r="212" s="228" customFormat="1" customHeight="1" spans="1:40">
      <c r="A212" s="228" t="str">
        <f t="shared" si="62"/>
        <v/>
      </c>
      <c r="B212" s="261">
        <v>207</v>
      </c>
      <c r="C212" s="266" t="str">
        <f>VLOOKUP($B212,'3、工程合同'!$D:$AL,2,0)</f>
        <v>YRKJ-2017GC-SGHT012</v>
      </c>
      <c r="D212" s="267" t="str">
        <f>VLOOKUP($B212,'3、工程合同'!$D:$AL,3,0)</f>
        <v>工程合同</v>
      </c>
      <c r="E212" s="267" t="str">
        <f>VLOOKUP($B212,'3、工程合同'!$D:$AL,4,0)</f>
        <v>-</v>
      </c>
      <c r="F212" s="268">
        <f>VLOOKUP($B212,'3、工程合同'!$D:$AL,5,0)</f>
        <v>42944</v>
      </c>
      <c r="G212" s="269">
        <f>VLOOKUP($B212,'3、工程合同'!$D:$AL,6,0)</f>
        <v>70000000</v>
      </c>
      <c r="H212" s="269" t="str">
        <f>VLOOKUP($B212,'3、工程合同'!$D:$AL,7,0)</f>
        <v>建筑安装工程(Ⅰ标段)</v>
      </c>
      <c r="I212" s="269" t="str">
        <f>VLOOKUP($B212,'3、工程合同'!$D:$AL,8,0)</f>
        <v>中国化学工程第十六建设有限公司</v>
      </c>
      <c r="J212" s="290">
        <f>VLOOKUP($B212,'3、工程合同'!$D:$AL,9,0)</f>
        <v>0</v>
      </c>
      <c r="K212" s="291">
        <f>VLOOKUP($B212,'3、工程合同'!$D:$AL,10,0)</f>
        <v>0</v>
      </c>
      <c r="L212" s="292" t="str">
        <f>VLOOKUP($B212,'3、工程合同'!$D:$AL,11,0)</f>
        <v>按实际完成工程价款的80%支付</v>
      </c>
      <c r="M212" s="293">
        <f>VLOOKUP($B212,'3、工程合同'!$D:$AL,12,0)</f>
        <v>723247</v>
      </c>
      <c r="N212" s="293">
        <f>VLOOKUP($B212,'3、工程合同'!$D:$AL,13,0)</f>
        <v>578000</v>
      </c>
      <c r="O212" s="290" t="str">
        <f>VLOOKUP($B212,'3、工程合同'!$D:$AL,14,0)</f>
        <v>按实际完成工程价款的80%支付</v>
      </c>
      <c r="P212" s="293">
        <f>VLOOKUP($B212,'3、工程合同'!$D:$AL,15,0)</f>
        <v>0</v>
      </c>
      <c r="Q212" s="293">
        <f>VLOOKUP($B212,'3、工程合同'!$D:$AL,16,0)</f>
        <v>0</v>
      </c>
      <c r="R212" s="290" t="str">
        <f>VLOOKUP($B212,'3、工程合同'!$D:$AL,17,0)</f>
        <v>按实际完成工程价款的80%支付</v>
      </c>
      <c r="S212" s="293">
        <f>VLOOKUP($B212,'3、工程合同'!$D:$AL,18,0)</f>
        <v>0</v>
      </c>
      <c r="T212" s="293">
        <f>VLOOKUP($B212,'3、工程合同'!$D:$AL,19,0)</f>
        <v>0</v>
      </c>
      <c r="U212" s="290" t="str">
        <f>VLOOKUP($B212,'3、工程合同'!$D:$AL,20,0)</f>
        <v>按实际完成工程价款的80%支付</v>
      </c>
      <c r="V212" s="293">
        <f>VLOOKUP($B212,'3、工程合同'!$D:$AL,21,0)</f>
        <v>0</v>
      </c>
      <c r="W212" s="293">
        <f>VLOOKUP($B212,'3、工程合同'!$D:$AL,22,0)</f>
        <v>0</v>
      </c>
      <c r="X212" s="290" t="str">
        <f>VLOOKUP($B212,'3、工程合同'!$D:$AL,23,0)</f>
        <v>按实际完成工程价款的80%支付</v>
      </c>
      <c r="Y212" s="293">
        <f>VLOOKUP($B212,'3、工程合同'!$D:$AL,24,0)</f>
        <v>0</v>
      </c>
      <c r="Z212" s="293">
        <f>VLOOKUP($B212,'3、工程合同'!$D:$AL,25,0)</f>
        <v>0</v>
      </c>
      <c r="AA212" s="290" t="str">
        <f>VLOOKUP($B212,'3、工程合同'!$D:$AL,26,0)</f>
        <v>按实际完成工程价款的80%支付</v>
      </c>
      <c r="AB212" s="293">
        <f>VLOOKUP($B212,'3、工程合同'!$D:$AL,27,0)</f>
        <v>0</v>
      </c>
      <c r="AC212" s="293">
        <f>VLOOKUP($B212,'3、工程合同'!$D:$AL,28,0)</f>
        <v>0</v>
      </c>
      <c r="AD212" s="290" t="str">
        <f>VLOOKUP($B212,'3、工程合同'!$D:$AL,29,0)</f>
        <v>按实际完成工程价款的80%支付</v>
      </c>
      <c r="AE212" s="293">
        <f>VLOOKUP($B212,'3、工程合同'!$D:$AL,30,0)</f>
        <v>0</v>
      </c>
      <c r="AF212" s="293">
        <f>VLOOKUP($B212,'3、工程合同'!$D:$AL,31,0)</f>
        <v>0</v>
      </c>
      <c r="AG212" s="293" t="str">
        <f>VLOOKUP($B212,'3、工程合同'!$D:$AL,32,0)</f>
        <v>按实际完成工程价款的80%支付</v>
      </c>
      <c r="AH212" s="293">
        <f>VLOOKUP($B212,'3、工程合同'!$D:$AL,33,0)</f>
        <v>69276753</v>
      </c>
      <c r="AI212" s="312">
        <f>VLOOKUP($B212,'3、工程合同'!$D:$AL,34,0)</f>
        <v>0</v>
      </c>
      <c r="AJ212" s="309">
        <f t="shared" si="57"/>
        <v>578000</v>
      </c>
      <c r="AK212" s="289">
        <f t="shared" si="58"/>
        <v>69422000</v>
      </c>
      <c r="AL212" s="310">
        <f t="shared" si="59"/>
        <v>0.00825714285714286</v>
      </c>
      <c r="AM212" s="289">
        <f t="shared" si="60"/>
        <v>70000000</v>
      </c>
      <c r="AN212" s="311" t="str">
        <f t="shared" si="61"/>
        <v>数据正确</v>
      </c>
    </row>
    <row r="213" s="228" customFormat="1" customHeight="1" spans="1:40">
      <c r="A213" s="228" t="str">
        <f t="shared" si="62"/>
        <v/>
      </c>
      <c r="B213" s="261">
        <v>208</v>
      </c>
      <c r="C213" s="266" t="str">
        <f>VLOOKUP($B213,'3、工程合同'!$D:$AL,2,0)</f>
        <v>YRKJGC-170045</v>
      </c>
      <c r="D213" s="267" t="str">
        <f>VLOOKUP($B213,'3、工程合同'!$D:$AL,3,0)</f>
        <v>工程合同</v>
      </c>
      <c r="E213" s="267">
        <f>VLOOKUP($B213,'3、工程合同'!$D:$AL,4,0)</f>
        <v>0</v>
      </c>
      <c r="F213" s="268">
        <f>VLOOKUP($B213,'3、工程合同'!$D:$AL,5,0)</f>
        <v>42977</v>
      </c>
      <c r="G213" s="269">
        <f>VLOOKUP($B213,'3、工程合同'!$D:$AL,6,0)</f>
        <v>341633.42</v>
      </c>
      <c r="H213" s="269" t="str">
        <f>VLOOKUP($B213,'3、工程合同'!$D:$AL,7,0)</f>
        <v>10KV电力电缆协议</v>
      </c>
      <c r="I213" s="269" t="str">
        <f>VLOOKUP($B213,'3、工程合同'!$D:$AL,8,0)</f>
        <v>安徽天彩电缆集团有限公司</v>
      </c>
      <c r="J213" s="290">
        <f>VLOOKUP($B213,'3、工程合同'!$D:$AL,9,0)</f>
        <v>0</v>
      </c>
      <c r="K213" s="291" t="str">
        <f>VLOOKUP($B213,'3、工程合同'!$D:$AL,10,0)</f>
        <v>电汇</v>
      </c>
      <c r="L213" s="292" t="str">
        <f>VLOOKUP($B213,'3、工程合同'!$D:$AL,11,0)</f>
        <v>甲方到乙方检验合格，签发发货同意书，收到全额17%专票，支付80%货款；乙方提供60万履约保函</v>
      </c>
      <c r="M213" s="293">
        <f>VLOOKUP($B213,'3、工程合同'!$D:$AL,12,0)</f>
        <v>273306.736</v>
      </c>
      <c r="N213" s="293">
        <f>VLOOKUP($B213,'3、工程合同'!$D:$AL,13,0)</f>
        <v>0</v>
      </c>
      <c r="O213" s="290" t="str">
        <f>VLOOKUP($B213,'3、工程合同'!$D:$AL,14,0)</f>
        <v>安装验收合格后15个工作日支付15%</v>
      </c>
      <c r="P213" s="293">
        <f>VLOOKUP($B213,'3、工程合同'!$D:$AL,15,0)</f>
        <v>51245.013</v>
      </c>
      <c r="Q213" s="293">
        <f>VLOOKUP($B213,'3、工程合同'!$D:$AL,16,0)</f>
        <v>0</v>
      </c>
      <c r="R213" s="290" t="str">
        <f>VLOOKUP($B213,'3、工程合同'!$D:$AL,17,0)</f>
        <v>5%质保金，自验收合格，满12月或货到现场18个月支付</v>
      </c>
      <c r="S213" s="293">
        <f>VLOOKUP($B213,'3、工程合同'!$D:$AL,18,0)</f>
        <v>17081.671</v>
      </c>
      <c r="T213" s="293">
        <f>VLOOKUP($B213,'3、工程合同'!$D:$AL,19,0)</f>
        <v>0</v>
      </c>
      <c r="U213" s="290">
        <f>VLOOKUP($B213,'3、工程合同'!$D:$AL,20,0)</f>
        <v>0</v>
      </c>
      <c r="V213" s="293">
        <f>VLOOKUP($B213,'3、工程合同'!$D:$AL,21,0)</f>
        <v>0</v>
      </c>
      <c r="W213" s="293">
        <f>VLOOKUP($B213,'3、工程合同'!$D:$AL,22,0)</f>
        <v>0</v>
      </c>
      <c r="X213" s="290">
        <f>VLOOKUP($B213,'3、工程合同'!$D:$AL,23,0)</f>
        <v>0</v>
      </c>
      <c r="Y213" s="293">
        <f>VLOOKUP($B213,'3、工程合同'!$D:$AL,24,0)</f>
        <v>0</v>
      </c>
      <c r="Z213" s="293">
        <f>VLOOKUP($B213,'3、工程合同'!$D:$AL,25,0)</f>
        <v>0</v>
      </c>
      <c r="AA213" s="290">
        <f>VLOOKUP($B213,'3、工程合同'!$D:$AL,26,0)</f>
        <v>0</v>
      </c>
      <c r="AB213" s="293">
        <f>VLOOKUP($B213,'3、工程合同'!$D:$AL,27,0)</f>
        <v>0</v>
      </c>
      <c r="AC213" s="293">
        <f>VLOOKUP($B213,'3、工程合同'!$D:$AL,28,0)</f>
        <v>0</v>
      </c>
      <c r="AD213" s="290">
        <f>VLOOKUP($B213,'3、工程合同'!$D:$AL,29,0)</f>
        <v>0</v>
      </c>
      <c r="AE213" s="293">
        <f>VLOOKUP($B213,'3、工程合同'!$D:$AL,30,0)</f>
        <v>0</v>
      </c>
      <c r="AF213" s="293">
        <f>VLOOKUP($B213,'3、工程合同'!$D:$AL,31,0)</f>
        <v>0</v>
      </c>
      <c r="AG213" s="293">
        <f>VLOOKUP($B213,'3、工程合同'!$D:$AL,32,0)</f>
        <v>0</v>
      </c>
      <c r="AH213" s="293">
        <f>VLOOKUP($B213,'3、工程合同'!$D:$AL,33,0)</f>
        <v>0</v>
      </c>
      <c r="AI213" s="312">
        <f>VLOOKUP($B213,'3、工程合同'!$D:$AL,34,0)</f>
        <v>0</v>
      </c>
      <c r="AJ213" s="309">
        <f t="shared" si="57"/>
        <v>0</v>
      </c>
      <c r="AK213" s="289">
        <f t="shared" si="58"/>
        <v>341633.42</v>
      </c>
      <c r="AL213" s="310">
        <f t="shared" si="59"/>
        <v>0</v>
      </c>
      <c r="AM213" s="289">
        <f t="shared" si="60"/>
        <v>341633.42</v>
      </c>
      <c r="AN213" s="311" t="str">
        <f t="shared" si="61"/>
        <v>数据正确</v>
      </c>
    </row>
    <row r="214" s="228" customFormat="1" customHeight="1" spans="1:40">
      <c r="A214" s="228" t="str">
        <f t="shared" si="62"/>
        <v/>
      </c>
      <c r="B214" s="261">
        <v>209</v>
      </c>
      <c r="C214" s="266" t="str">
        <f>VLOOKUP($B214,'3、工程合同'!$D:$AL,2,0)</f>
        <v>YRKJGC-170046</v>
      </c>
      <c r="D214" s="267" t="str">
        <f>VLOOKUP($B214,'3、工程合同'!$D:$AL,3,0)</f>
        <v>工程合同</v>
      </c>
      <c r="E214" s="267">
        <f>VLOOKUP($B214,'3、工程合同'!$D:$AL,4,0)</f>
        <v>0</v>
      </c>
      <c r="F214" s="268">
        <f>VLOOKUP($B214,'3、工程合同'!$D:$AL,5,0)</f>
        <v>42977</v>
      </c>
      <c r="G214" s="269">
        <f>VLOOKUP($B214,'3、工程合同'!$D:$AL,6,0)</f>
        <v>1282350</v>
      </c>
      <c r="H214" s="269" t="str">
        <f>VLOOKUP($B214,'3、工程合同'!$D:$AL,7,0)</f>
        <v>10KV电力电缆协议</v>
      </c>
      <c r="I214" s="269" t="str">
        <f>VLOOKUP($B214,'3、工程合同'!$D:$AL,8,0)</f>
        <v>江苏上上电缆集团有限公司</v>
      </c>
      <c r="J214" s="290">
        <f>VLOOKUP($B214,'3、工程合同'!$D:$AL,9,0)</f>
        <v>0</v>
      </c>
      <c r="K214" s="291" t="str">
        <f>VLOOKUP($B214,'3、工程合同'!$D:$AL,10,0)</f>
        <v>电汇</v>
      </c>
      <c r="L214" s="292" t="str">
        <f>VLOOKUP($B214,'3、工程合同'!$D:$AL,11,0)</f>
        <v>甲方到乙方检验合格，签发发货同意书，收到全额17%专票，支付80%货款；乙方提供60万履约保函；乙方开具100万预付款保函，甲方支付100万元预付款，在最后一笔订单支付80%中扣除，多退少补</v>
      </c>
      <c r="M214" s="293">
        <f>VLOOKUP($B214,'3、工程合同'!$D:$AL,12,0)</f>
        <v>1225880</v>
      </c>
      <c r="N214" s="293">
        <f>VLOOKUP($B214,'3、工程合同'!$D:$AL,13,0)</f>
        <v>1000000</v>
      </c>
      <c r="O214" s="290" t="str">
        <f>VLOOKUP($B214,'3、工程合同'!$D:$AL,14,0)</f>
        <v>-</v>
      </c>
      <c r="P214" s="293">
        <f>VLOOKUP($B214,'3、工程合同'!$D:$AL,15,0)</f>
        <v>42352.5</v>
      </c>
      <c r="Q214" s="293">
        <f>VLOOKUP($B214,'3、工程合同'!$D:$AL,16,0)</f>
        <v>0</v>
      </c>
      <c r="R214" s="290" t="str">
        <f>VLOOKUP($B214,'3、工程合同'!$D:$AL,17,0)</f>
        <v>-</v>
      </c>
      <c r="S214" s="293">
        <f>VLOOKUP($B214,'3、工程合同'!$D:$AL,18,0)</f>
        <v>14117.5</v>
      </c>
      <c r="T214" s="293">
        <f>VLOOKUP($B214,'3、工程合同'!$D:$AL,19,0)</f>
        <v>0</v>
      </c>
      <c r="U214" s="290" t="str">
        <f>VLOOKUP($B214,'3、工程合同'!$D:$AL,20,0)</f>
        <v>-</v>
      </c>
      <c r="V214" s="293">
        <f>VLOOKUP($B214,'3、工程合同'!$D:$AL,21,0)</f>
        <v>0</v>
      </c>
      <c r="W214" s="293">
        <f>VLOOKUP($B214,'3、工程合同'!$D:$AL,22,0)</f>
        <v>0</v>
      </c>
      <c r="X214" s="290" t="str">
        <f>VLOOKUP($B214,'3、工程合同'!$D:$AL,23,0)</f>
        <v>-</v>
      </c>
      <c r="Y214" s="293">
        <f>VLOOKUP($B214,'3、工程合同'!$D:$AL,24,0)</f>
        <v>0</v>
      </c>
      <c r="Z214" s="293">
        <f>VLOOKUP($B214,'3、工程合同'!$D:$AL,25,0)</f>
        <v>0</v>
      </c>
      <c r="AA214" s="290" t="str">
        <f>VLOOKUP($B214,'3、工程合同'!$D:$AL,26,0)</f>
        <v>-</v>
      </c>
      <c r="AB214" s="293">
        <f>VLOOKUP($B214,'3、工程合同'!$D:$AL,27,0)</f>
        <v>0</v>
      </c>
      <c r="AC214" s="293">
        <f>VLOOKUP($B214,'3、工程合同'!$D:$AL,28,0)</f>
        <v>0</v>
      </c>
      <c r="AD214" s="290" t="str">
        <f>VLOOKUP($B214,'3、工程合同'!$D:$AL,29,0)</f>
        <v>-</v>
      </c>
      <c r="AE214" s="293">
        <f>VLOOKUP($B214,'3、工程合同'!$D:$AL,30,0)</f>
        <v>0</v>
      </c>
      <c r="AF214" s="293">
        <f>VLOOKUP($B214,'3、工程合同'!$D:$AL,31,0)</f>
        <v>0</v>
      </c>
      <c r="AG214" s="293" t="str">
        <f>VLOOKUP($B214,'3、工程合同'!$D:$AL,32,0)</f>
        <v>-</v>
      </c>
      <c r="AH214" s="293">
        <f>VLOOKUP($B214,'3、工程合同'!$D:$AL,33,0)</f>
        <v>0</v>
      </c>
      <c r="AI214" s="312">
        <f>VLOOKUP($B214,'3、工程合同'!$D:$AL,34,0)</f>
        <v>0</v>
      </c>
      <c r="AJ214" s="309">
        <f t="shared" si="57"/>
        <v>1000000</v>
      </c>
      <c r="AK214" s="289">
        <f t="shared" si="58"/>
        <v>282350</v>
      </c>
      <c r="AL214" s="310">
        <f t="shared" si="59"/>
        <v>0.779818302335556</v>
      </c>
      <c r="AM214" s="289">
        <f t="shared" si="60"/>
        <v>1282350</v>
      </c>
      <c r="AN214" s="311" t="str">
        <f t="shared" si="61"/>
        <v>数据正确</v>
      </c>
    </row>
    <row r="215" s="228" customFormat="1" customHeight="1" spans="1:40">
      <c r="A215" s="228" t="str">
        <f t="shared" si="62"/>
        <v/>
      </c>
      <c r="B215" s="261">
        <v>210</v>
      </c>
      <c r="C215" s="266" t="str">
        <f>VLOOKUP($B215,'3、工程合同'!$D:$AL,2,0)</f>
        <v>YRKJGC-170047</v>
      </c>
      <c r="D215" s="267" t="str">
        <f>VLOOKUP($B215,'3、工程合同'!$D:$AL,3,0)</f>
        <v>工程合同</v>
      </c>
      <c r="E215" s="267">
        <f>VLOOKUP($B215,'3、工程合同'!$D:$AL,4,0)</f>
        <v>0</v>
      </c>
      <c r="F215" s="268">
        <f>VLOOKUP($B215,'3、工程合同'!$D:$AL,5,0)</f>
        <v>42977</v>
      </c>
      <c r="G215" s="269">
        <f>VLOOKUP($B215,'3、工程合同'!$D:$AL,6,0)</f>
        <v>381737.2</v>
      </c>
      <c r="H215" s="269" t="str">
        <f>VLOOKUP($B215,'3、工程合同'!$D:$AL,7,0)</f>
        <v>10KV电力电缆协议</v>
      </c>
      <c r="I215" s="269" t="str">
        <f>VLOOKUP($B215,'3、工程合同'!$D:$AL,8,0)</f>
        <v>福建南平太阳电缆股份有限公司</v>
      </c>
      <c r="J215" s="290">
        <f>VLOOKUP($B215,'3、工程合同'!$D:$AL,9,0)</f>
        <v>0</v>
      </c>
      <c r="K215" s="291" t="str">
        <f>VLOOKUP($B215,'3、工程合同'!$D:$AL,10,0)</f>
        <v>电汇</v>
      </c>
      <c r="L215" s="292" t="str">
        <f>VLOOKUP($B215,'3、工程合同'!$D:$AL,11,0)</f>
        <v>甲方到乙方检验合格，签发发货同意书，收到全额17%专票，支付80%货款；乙方提供60万履约保函；乙方开具50万预付款保函，甲方支付50万元预付款，在最后一笔订单支付80%中扣除，多退少补</v>
      </c>
      <c r="M215" s="293">
        <f>VLOOKUP($B215,'3、工程合同'!$D:$AL,12,0)</f>
        <v>305389.76</v>
      </c>
      <c r="N215" s="293">
        <f>VLOOKUP($B215,'3、工程合同'!$D:$AL,13,0)</f>
        <v>0</v>
      </c>
      <c r="O215" s="290" t="str">
        <f>VLOOKUP($B215,'3、工程合同'!$D:$AL,14,0)</f>
        <v>安装验收合格后15个工作日支付15%</v>
      </c>
      <c r="P215" s="293">
        <f>VLOOKUP($B215,'3、工程合同'!$D:$AL,15,0)</f>
        <v>57260.58</v>
      </c>
      <c r="Q215" s="293">
        <f>VLOOKUP($B215,'3、工程合同'!$D:$AL,16,0)</f>
        <v>0</v>
      </c>
      <c r="R215" s="290" t="str">
        <f>VLOOKUP($B215,'3、工程合同'!$D:$AL,17,0)</f>
        <v>5%质保金，自验收合格，满12月或货到现场18个月支付</v>
      </c>
      <c r="S215" s="293">
        <f>VLOOKUP($B215,'3、工程合同'!$D:$AL,18,0)</f>
        <v>19086.86</v>
      </c>
      <c r="T215" s="293">
        <f>VLOOKUP($B215,'3、工程合同'!$D:$AL,19,0)</f>
        <v>0</v>
      </c>
      <c r="U215" s="290">
        <f>VLOOKUP($B215,'3、工程合同'!$D:$AL,20,0)</f>
        <v>0</v>
      </c>
      <c r="V215" s="293">
        <f>VLOOKUP($B215,'3、工程合同'!$D:$AL,21,0)</f>
        <v>0</v>
      </c>
      <c r="W215" s="293">
        <f>VLOOKUP($B215,'3、工程合同'!$D:$AL,22,0)</f>
        <v>0</v>
      </c>
      <c r="X215" s="290">
        <f>VLOOKUP($B215,'3、工程合同'!$D:$AL,23,0)</f>
        <v>0</v>
      </c>
      <c r="Y215" s="293">
        <f>VLOOKUP($B215,'3、工程合同'!$D:$AL,24,0)</f>
        <v>0</v>
      </c>
      <c r="Z215" s="293">
        <f>VLOOKUP($B215,'3、工程合同'!$D:$AL,25,0)</f>
        <v>0</v>
      </c>
      <c r="AA215" s="290">
        <f>VLOOKUP($B215,'3、工程合同'!$D:$AL,26,0)</f>
        <v>0</v>
      </c>
      <c r="AB215" s="293">
        <f>VLOOKUP($B215,'3、工程合同'!$D:$AL,27,0)</f>
        <v>0</v>
      </c>
      <c r="AC215" s="293">
        <f>VLOOKUP($B215,'3、工程合同'!$D:$AL,28,0)</f>
        <v>0</v>
      </c>
      <c r="AD215" s="290">
        <f>VLOOKUP($B215,'3、工程合同'!$D:$AL,29,0)</f>
        <v>0</v>
      </c>
      <c r="AE215" s="293">
        <f>VLOOKUP($B215,'3、工程合同'!$D:$AL,30,0)</f>
        <v>0</v>
      </c>
      <c r="AF215" s="293">
        <f>VLOOKUP($B215,'3、工程合同'!$D:$AL,31,0)</f>
        <v>0</v>
      </c>
      <c r="AG215" s="293">
        <f>VLOOKUP($B215,'3、工程合同'!$D:$AL,32,0)</f>
        <v>0</v>
      </c>
      <c r="AH215" s="293">
        <f>VLOOKUP($B215,'3、工程合同'!$D:$AL,33,0)</f>
        <v>0</v>
      </c>
      <c r="AI215" s="312">
        <f>VLOOKUP($B215,'3、工程合同'!$D:$AL,34,0)</f>
        <v>0</v>
      </c>
      <c r="AJ215" s="309">
        <f t="shared" si="57"/>
        <v>0</v>
      </c>
      <c r="AK215" s="289">
        <f t="shared" si="58"/>
        <v>381737.2</v>
      </c>
      <c r="AL215" s="310">
        <f t="shared" si="59"/>
        <v>0</v>
      </c>
      <c r="AM215" s="289">
        <f t="shared" si="60"/>
        <v>381737.2</v>
      </c>
      <c r="AN215" s="311" t="str">
        <f t="shared" si="61"/>
        <v>数据正确</v>
      </c>
    </row>
    <row r="216" s="228" customFormat="1" customHeight="1" spans="1:40">
      <c r="A216" s="228" t="str">
        <f t="shared" si="62"/>
        <v/>
      </c>
      <c r="B216" s="261">
        <v>211</v>
      </c>
      <c r="C216" s="266" t="str">
        <f>VLOOKUP($B216,'3、工程合同'!$D:$AL,2,0)</f>
        <v>-</v>
      </c>
      <c r="D216" s="267" t="str">
        <f>VLOOKUP($B216,'3、工程合同'!$D:$AL,3,0)</f>
        <v>工程合同</v>
      </c>
      <c r="E216" s="267">
        <f>VLOOKUP($B216,'3、工程合同'!$D:$AL,4,0)</f>
        <v>0</v>
      </c>
      <c r="F216" s="268">
        <f>VLOOKUP($B216,'3、工程合同'!$D:$AL,5,0)</f>
        <v>42977</v>
      </c>
      <c r="G216" s="269">
        <f>VLOOKUP($B216,'3、工程合同'!$D:$AL,6,0)</f>
        <v>936671.03</v>
      </c>
      <c r="H216" s="269" t="str">
        <f>VLOOKUP($B216,'3、工程合同'!$D:$AL,7,0)</f>
        <v>10KV电力电缆协议</v>
      </c>
      <c r="I216" s="269" t="str">
        <f>VLOOKUP($B216,'3、工程合同'!$D:$AL,8,0)</f>
        <v>明星电缆销售有限公司</v>
      </c>
      <c r="J216" s="290">
        <f>VLOOKUP($B216,'3、工程合同'!$D:$AL,9,0)</f>
        <v>0</v>
      </c>
      <c r="K216" s="291" t="str">
        <f>VLOOKUP($B216,'3、工程合同'!$D:$AL,10,0)</f>
        <v>电汇</v>
      </c>
      <c r="L216" s="292" t="str">
        <f>VLOOKUP($B216,'3、工程合同'!$D:$AL,11,0)</f>
        <v>甲方到乙方检验合格，签发发货同意书，收到全额17%专票，支付80%货款；乙方提供60万履约保函；乙方开具50万预付款保函，甲方支付50万元预付款，在最后一笔订单支付81%中扣除，多退少补</v>
      </c>
      <c r="M216" s="293">
        <f>VLOOKUP($B216,'3、工程合同'!$D:$AL,12,0)</f>
        <v>755764.21</v>
      </c>
      <c r="N216" s="293">
        <f>VLOOKUP($B216,'3、工程合同'!$D:$AL,13,0)</f>
        <v>0</v>
      </c>
      <c r="O216" s="290" t="str">
        <f>VLOOKUP($B216,'3、工程合同'!$D:$AL,14,0)</f>
        <v>安装验收合格后15个工作日支付16%</v>
      </c>
      <c r="P216" s="293">
        <f>VLOOKUP($B216,'3、工程合同'!$D:$AL,15,0)</f>
        <v>135680.115</v>
      </c>
      <c r="Q216" s="293">
        <f>VLOOKUP($B216,'3、工程合同'!$D:$AL,16,0)</f>
        <v>0</v>
      </c>
      <c r="R216" s="290" t="str">
        <f>VLOOKUP($B216,'3、工程合同'!$D:$AL,17,0)</f>
        <v>5%质保金，自验收合格，满12月或货到现场19个月支付</v>
      </c>
      <c r="S216" s="293">
        <f>VLOOKUP($B216,'3、工程合同'!$D:$AL,18,0)</f>
        <v>45226.705</v>
      </c>
      <c r="T216" s="293">
        <f>VLOOKUP($B216,'3、工程合同'!$D:$AL,19,0)</f>
        <v>0</v>
      </c>
      <c r="U216" s="290">
        <f>VLOOKUP($B216,'3、工程合同'!$D:$AL,20,0)</f>
        <v>0</v>
      </c>
      <c r="V216" s="293">
        <f>VLOOKUP($B216,'3、工程合同'!$D:$AL,21,0)</f>
        <v>0</v>
      </c>
      <c r="W216" s="293">
        <f>VLOOKUP($B216,'3、工程合同'!$D:$AL,22,0)</f>
        <v>0</v>
      </c>
      <c r="X216" s="290">
        <f>VLOOKUP($B216,'3、工程合同'!$D:$AL,23,0)</f>
        <v>0</v>
      </c>
      <c r="Y216" s="293">
        <f>VLOOKUP($B216,'3、工程合同'!$D:$AL,24,0)</f>
        <v>0</v>
      </c>
      <c r="Z216" s="293">
        <f>VLOOKUP($B216,'3、工程合同'!$D:$AL,25,0)</f>
        <v>0</v>
      </c>
      <c r="AA216" s="290">
        <f>VLOOKUP($B216,'3、工程合同'!$D:$AL,26,0)</f>
        <v>0</v>
      </c>
      <c r="AB216" s="293">
        <f>VLOOKUP($B216,'3、工程合同'!$D:$AL,27,0)</f>
        <v>0</v>
      </c>
      <c r="AC216" s="293">
        <f>VLOOKUP($B216,'3、工程合同'!$D:$AL,28,0)</f>
        <v>0</v>
      </c>
      <c r="AD216" s="290">
        <f>VLOOKUP($B216,'3、工程合同'!$D:$AL,29,0)</f>
        <v>0</v>
      </c>
      <c r="AE216" s="293">
        <f>VLOOKUP($B216,'3、工程合同'!$D:$AL,30,0)</f>
        <v>0</v>
      </c>
      <c r="AF216" s="293">
        <f>VLOOKUP($B216,'3、工程合同'!$D:$AL,31,0)</f>
        <v>0</v>
      </c>
      <c r="AG216" s="293">
        <f>VLOOKUP($B216,'3、工程合同'!$D:$AL,32,0)</f>
        <v>0</v>
      </c>
      <c r="AH216" s="293">
        <f>VLOOKUP($B216,'3、工程合同'!$D:$AL,33,0)</f>
        <v>0</v>
      </c>
      <c r="AI216" s="312">
        <f>VLOOKUP($B216,'3、工程合同'!$D:$AL,34,0)</f>
        <v>0</v>
      </c>
      <c r="AJ216" s="309">
        <f t="shared" si="57"/>
        <v>0</v>
      </c>
      <c r="AK216" s="289">
        <f t="shared" si="58"/>
        <v>936671.03</v>
      </c>
      <c r="AL216" s="310">
        <f t="shared" si="59"/>
        <v>0</v>
      </c>
      <c r="AM216" s="289">
        <f t="shared" si="60"/>
        <v>936671.03</v>
      </c>
      <c r="AN216" s="311" t="str">
        <f t="shared" si="61"/>
        <v>数据正确</v>
      </c>
    </row>
    <row r="217" s="228" customFormat="1" customHeight="1" spans="1:40">
      <c r="A217" s="228" t="str">
        <f t="shared" si="62"/>
        <v/>
      </c>
      <c r="B217" s="261">
        <v>212</v>
      </c>
      <c r="C217" s="262" t="str">
        <f>VLOOKUP($B217,'2、设备合同'!$D:$AK,2,0)</f>
        <v>YRKJEQ-170012-1</v>
      </c>
      <c r="D217" s="263" t="str">
        <f>VLOOKUP($B217,'2、设备合同'!$D:$AK,3,0)</f>
        <v>设备合同</v>
      </c>
      <c r="E217" s="263">
        <f>VLOOKUP($B217,'2、设备合同'!$D:$AK,4,0)</f>
        <v>2017020025</v>
      </c>
      <c r="F217" s="264">
        <f>VLOOKUP($B217,'2、设备合同'!$D:$AK,5,0)</f>
        <v>42833</v>
      </c>
      <c r="G217" s="265">
        <f>VLOOKUP($B217,'2、设备合同'!$D:$AK,6,0)</f>
        <v>36000</v>
      </c>
      <c r="H217" s="265" t="str">
        <f>VLOOKUP($B217,'2、设备合同'!$D:$AK,7,0)</f>
        <v>化工流程泵共83台（加签一台）</v>
      </c>
      <c r="I217" s="265" t="str">
        <f>VLOOKUP($B217,'2、设备合同'!$D:$AK,8,0)</f>
        <v>江苏双达泵阀集团有限公司</v>
      </c>
      <c r="J217" s="286" t="str">
        <f>VLOOKUP($B217,'2、设备合同'!$D:$AK,9,0)</f>
        <v>氨肟化装置</v>
      </c>
      <c r="K217" s="287" t="str">
        <f>VLOOKUP($B217,'2、设备合同'!$D:$AK,10,0)</f>
        <v>6个月承兑汇票，如采用现金转账，扣除付款金额的2%</v>
      </c>
      <c r="L217" s="288" t="str">
        <f>VLOOKUP($B217,'2、设备合同'!$D:$AK,11,0)</f>
        <v>-</v>
      </c>
      <c r="M217" s="289">
        <f>VLOOKUP($B217,'2、设备合同'!$D:$AK,12,0)</f>
        <v>36000</v>
      </c>
      <c r="N217" s="289">
        <f>VLOOKUP($B217,'2、设备合同'!$D:$AK,13,0)</f>
        <v>0</v>
      </c>
      <c r="O217" s="286">
        <f>VLOOKUP($B217,'2、设备合同'!$D:$AK,14,0)</f>
        <v>0</v>
      </c>
      <c r="P217" s="289">
        <f>VLOOKUP($B217,'2、设备合同'!$D:$AK,15,0)</f>
        <v>0</v>
      </c>
      <c r="Q217" s="289">
        <f>VLOOKUP($B217,'2、设备合同'!$D:$AK,16,0)</f>
        <v>0</v>
      </c>
      <c r="R217" s="286">
        <f>VLOOKUP($B217,'2、设备合同'!$D:$AK,17,0)</f>
        <v>0</v>
      </c>
      <c r="S217" s="289">
        <f>VLOOKUP($B217,'2、设备合同'!$D:$AK,18,0)</f>
        <v>0</v>
      </c>
      <c r="T217" s="289">
        <f>VLOOKUP($B217,'2、设备合同'!$D:$AK,19,0)</f>
        <v>0</v>
      </c>
      <c r="U217" s="286">
        <f>VLOOKUP($B217,'2、设备合同'!$D:$AK,20,0)</f>
        <v>0</v>
      </c>
      <c r="V217" s="289">
        <f>VLOOKUP($B217,'2、设备合同'!$D:$AK,21,0)</f>
        <v>0</v>
      </c>
      <c r="W217" s="289">
        <f>VLOOKUP($B217,'2、设备合同'!$D:$AK,22,0)</f>
        <v>0</v>
      </c>
      <c r="X217" s="286">
        <f>VLOOKUP($B217,'2、设备合同'!$D:$AK,23,0)</f>
        <v>0</v>
      </c>
      <c r="Y217" s="289">
        <f>VLOOKUP($B217,'2、设备合同'!$D:$AK,24,0)</f>
        <v>0</v>
      </c>
      <c r="Z217" s="289">
        <f>VLOOKUP($B217,'2、设备合同'!$D:$AK,25,0)</f>
        <v>0</v>
      </c>
      <c r="AA217" s="286">
        <f>VLOOKUP($B217,'2、设备合同'!$D:$AK,26,0)</f>
        <v>0</v>
      </c>
      <c r="AB217" s="289">
        <f>VLOOKUP($B217,'2、设备合同'!$D:$AK,27,0)</f>
        <v>0</v>
      </c>
      <c r="AC217" s="289">
        <f>VLOOKUP($B217,'2、设备合同'!$D:$AK,28,0)</f>
        <v>0</v>
      </c>
      <c r="AD217" s="286">
        <f>VLOOKUP($B217,'2、设备合同'!$D:$AK,29,0)</f>
        <v>0</v>
      </c>
      <c r="AE217" s="289">
        <f>VLOOKUP($B217,'2、设备合同'!$D:$AK,30,0)</f>
        <v>0</v>
      </c>
      <c r="AF217" s="289">
        <f>VLOOKUP($B217,'2、设备合同'!$D:$AK,31,0)</f>
        <v>0</v>
      </c>
      <c r="AG217" s="289">
        <f>VLOOKUP($B217,'2、设备合同'!$D:$AK,32,0)</f>
        <v>0</v>
      </c>
      <c r="AH217" s="289">
        <f>VLOOKUP($B217,'2、设备合同'!$D:$AK,33,0)</f>
        <v>0</v>
      </c>
      <c r="AI217" s="308">
        <f>VLOOKUP($B217,'2、设备合同'!$D:$AK,34,0)</f>
        <v>0</v>
      </c>
      <c r="AJ217" s="309">
        <f t="shared" ref="AJ217:AJ239" si="63">N217+Q217+T217+W217+Z217+AC217+AF217+AI217</f>
        <v>0</v>
      </c>
      <c r="AK217" s="289">
        <f t="shared" ref="AK217:AK239" si="64">G217-AJ217</f>
        <v>36000</v>
      </c>
      <c r="AL217" s="310">
        <f t="shared" ref="AL217:AL239" si="65">AJ217/G217</f>
        <v>0</v>
      </c>
      <c r="AM217" s="289">
        <f t="shared" ref="AM217:AM239" si="66">M217+P217+S217+V217+Y217+AB217+AE217+AH217</f>
        <v>36000</v>
      </c>
      <c r="AN217" s="311" t="str">
        <f t="shared" ref="AN217:AN239" si="67">IF(AM217-G217=0,"数据正确","数据错误")</f>
        <v>数据正确</v>
      </c>
    </row>
    <row r="218" s="228" customFormat="1" customHeight="1" spans="1:40">
      <c r="A218" s="228" t="str">
        <f t="shared" si="62"/>
        <v/>
      </c>
      <c r="B218" s="261">
        <v>213</v>
      </c>
      <c r="C218" s="262" t="str">
        <f>VLOOKUP($B218,'2、设备合同'!$D:$AK,2,0)</f>
        <v>YRKJEQ-170034</v>
      </c>
      <c r="D218" s="263" t="str">
        <f>VLOOKUP($B218,'2、设备合同'!$D:$AK,3,0)</f>
        <v>设备合同</v>
      </c>
      <c r="E218" s="263">
        <f>VLOOKUP($B218,'2、设备合同'!$D:$AK,4,0)</f>
        <v>2017050012</v>
      </c>
      <c r="F218" s="264">
        <f>VLOOKUP($B218,'2、设备合同'!$D:$AK,5,0)</f>
        <v>42906</v>
      </c>
      <c r="G218" s="265">
        <f>VLOOKUP($B218,'2、设备合同'!$D:$AK,6,0)</f>
        <v>3980000</v>
      </c>
      <c r="H218" s="265" t="str">
        <f>VLOOKUP($B218,'2、设备合同'!$D:$AK,7,0)</f>
        <v>浆料泵4台</v>
      </c>
      <c r="I218" s="265" t="str">
        <f>VLOOKUP($B218,'2、设备合同'!$D:$AK,8,0)</f>
        <v>大连海密梯克泵业有限公司</v>
      </c>
      <c r="J218" s="286" t="str">
        <f>VLOOKUP($B218,'2、设备合同'!$D:$AK,9,0)</f>
        <v>环己酮装置</v>
      </c>
      <c r="K218" s="287" t="str">
        <f>VLOOKUP($B218,'2、设备合同'!$D:$AK,10,0)</f>
        <v>6个月承兑汇票/电汇不下浮</v>
      </c>
      <c r="L218" s="288" t="str">
        <f>VLOOKUP($B218,'2、设备合同'!$D:$AK,11,0)</f>
        <v>甲方收到乙方20%的预付款保函以及本合同的10%履约保函，等额专票后15个工作日支付20%预付款</v>
      </c>
      <c r="M218" s="289">
        <f>VLOOKUP($B218,'2、设备合同'!$D:$AK,12,0)</f>
        <v>796000</v>
      </c>
      <c r="N218" s="289">
        <f>VLOOKUP($B218,'2、设备合同'!$D:$AK,13,0)</f>
        <v>0</v>
      </c>
      <c r="O218" s="286" t="str">
        <f>VLOOKUP($B218,'2、设备合同'!$D:$AK,14,0)</f>
        <v>甲方到乙方现场确认无误后，收到17%等额专票，15个工作日内支付40%发货款</v>
      </c>
      <c r="P218" s="289">
        <f>VLOOKUP($B218,'2、设备合同'!$D:$AK,15,0)</f>
        <v>1592000</v>
      </c>
      <c r="Q218" s="289">
        <f>VLOOKUP($B218,'2、设备合同'!$D:$AK,16,0)</f>
        <v>0</v>
      </c>
      <c r="R218" s="286" t="str">
        <f>VLOOKUP($B218,'2、设备合同'!$D:$AK,17,0)</f>
        <v>开车验收合格后，提供全额专票，一个月内支付30%验收款</v>
      </c>
      <c r="S218" s="289">
        <f>VLOOKUP($B218,'2、设备合同'!$D:$AK,18,0)</f>
        <v>1194000</v>
      </c>
      <c r="T218" s="289">
        <f>VLOOKUP($B218,'2、设备合同'!$D:$AK,19,0)</f>
        <v>0</v>
      </c>
      <c r="U218" s="286" t="str">
        <f>VLOOKUP($B218,'2、设备合同'!$D:$AK,20,0)</f>
        <v>10%质保金，验收合格12个月或到货现场18个月</v>
      </c>
      <c r="V218" s="289">
        <f>VLOOKUP($B218,'2、设备合同'!$D:$AK,21,0)</f>
        <v>398000</v>
      </c>
      <c r="W218" s="289">
        <f>VLOOKUP($B218,'2、设备合同'!$D:$AK,22,0)</f>
        <v>0</v>
      </c>
      <c r="X218" s="286">
        <f>VLOOKUP($B218,'2、设备合同'!$D:$AK,23,0)</f>
        <v>0</v>
      </c>
      <c r="Y218" s="289">
        <f>VLOOKUP($B218,'2、设备合同'!$D:$AK,24,0)</f>
        <v>0</v>
      </c>
      <c r="Z218" s="289">
        <f>VLOOKUP($B218,'2、设备合同'!$D:$AK,25,0)</f>
        <v>0</v>
      </c>
      <c r="AA218" s="286">
        <f>VLOOKUP($B218,'2、设备合同'!$D:$AK,26,0)</f>
        <v>0</v>
      </c>
      <c r="AB218" s="289">
        <f>VLOOKUP($B218,'2、设备合同'!$D:$AK,27,0)</f>
        <v>0</v>
      </c>
      <c r="AC218" s="289">
        <f>VLOOKUP($B218,'2、设备合同'!$D:$AK,28,0)</f>
        <v>0</v>
      </c>
      <c r="AD218" s="286">
        <f>VLOOKUP($B218,'2、设备合同'!$D:$AK,29,0)</f>
        <v>0</v>
      </c>
      <c r="AE218" s="289">
        <f>VLOOKUP($B218,'2、设备合同'!$D:$AK,30,0)</f>
        <v>0</v>
      </c>
      <c r="AF218" s="289">
        <f>VLOOKUP($B218,'2、设备合同'!$D:$AK,31,0)</f>
        <v>0</v>
      </c>
      <c r="AG218" s="289">
        <f>VLOOKUP($B218,'2、设备合同'!$D:$AK,32,0)</f>
        <v>0</v>
      </c>
      <c r="AH218" s="289">
        <f>VLOOKUP($B218,'2、设备合同'!$D:$AK,33,0)</f>
        <v>0</v>
      </c>
      <c r="AI218" s="308">
        <f>VLOOKUP($B218,'2、设备合同'!$D:$AK,34,0)</f>
        <v>0</v>
      </c>
      <c r="AJ218" s="309">
        <f t="shared" si="63"/>
        <v>0</v>
      </c>
      <c r="AK218" s="289">
        <f t="shared" si="64"/>
        <v>3980000</v>
      </c>
      <c r="AL218" s="310">
        <f t="shared" si="65"/>
        <v>0</v>
      </c>
      <c r="AM218" s="289">
        <f t="shared" si="66"/>
        <v>3980000</v>
      </c>
      <c r="AN218" s="311" t="str">
        <f t="shared" si="67"/>
        <v>数据正确</v>
      </c>
    </row>
    <row r="219" s="228" customFormat="1" customHeight="1" spans="1:40">
      <c r="A219" s="228" t="str">
        <f t="shared" si="62"/>
        <v/>
      </c>
      <c r="B219" s="261">
        <v>214</v>
      </c>
      <c r="C219" s="262" t="str">
        <f>VLOOKUP($B219,'2、设备合同'!$D:$AK,2,0)</f>
        <v>YRKJEQ-170036</v>
      </c>
      <c r="D219" s="263" t="str">
        <f>VLOOKUP($B219,'2、设备合同'!$D:$AK,3,0)</f>
        <v>设备合同</v>
      </c>
      <c r="E219" s="263">
        <f>VLOOKUP($B219,'2、设备合同'!$D:$AK,4,0)</f>
        <v>2017050044</v>
      </c>
      <c r="F219" s="264">
        <f>VLOOKUP($B219,'2、设备合同'!$D:$AK,5,0)</f>
        <v>42909</v>
      </c>
      <c r="G219" s="265">
        <f>VLOOKUP($B219,'2、设备合同'!$D:$AK,6,0)</f>
        <v>560000</v>
      </c>
      <c r="H219" s="265" t="str">
        <f>VLOOKUP($B219,'2、设备合同'!$D:$AK,7,0)</f>
        <v>自吸泵51台</v>
      </c>
      <c r="I219" s="265" t="str">
        <f>VLOOKUP($B219,'2、设备合同'!$D:$AK,8,0)</f>
        <v>江苏长凯机械设备有限公司</v>
      </c>
      <c r="J219" s="286">
        <f>VLOOKUP($B219,'2、设备合同'!$D:$AK,9,0)</f>
        <v>0</v>
      </c>
      <c r="K219" s="287" t="str">
        <f>VLOOKUP($B219,'2、设备合同'!$D:$AK,10,0)</f>
        <v>6个月承兑汇票/电汇不下浮</v>
      </c>
      <c r="L219" s="288" t="str">
        <f>VLOOKUP($B219,'2、设备合同'!$D:$AK,11,0)</f>
        <v>甲方收到乙方20%的预付款保函以及本合同的10%履约保函，等额专票后15个工作日支付20%预付款</v>
      </c>
      <c r="M219" s="289">
        <f>VLOOKUP($B219,'2、设备合同'!$D:$AK,12,0)</f>
        <v>112000</v>
      </c>
      <c r="N219" s="289">
        <f>VLOOKUP($B219,'2、设备合同'!$D:$AK,13,0)</f>
        <v>0</v>
      </c>
      <c r="O219" s="286" t="str">
        <f>VLOOKUP($B219,'2、设备合同'!$D:$AK,14,0)</f>
        <v>甲方到乙方现场确认无误后，收到17%等额专票，15个工作日内支付40%发货款</v>
      </c>
      <c r="P219" s="289">
        <f>VLOOKUP($B219,'2、设备合同'!$D:$AK,15,0)</f>
        <v>224000</v>
      </c>
      <c r="Q219" s="289">
        <f>VLOOKUP($B219,'2、设备合同'!$D:$AK,16,0)</f>
        <v>0</v>
      </c>
      <c r="R219" s="286" t="str">
        <f>VLOOKUP($B219,'2、设备合同'!$D:$AK,17,0)</f>
        <v>开车验收合格后，提供全额专票，一个月内支付30%验收款</v>
      </c>
      <c r="S219" s="289">
        <f>VLOOKUP($B219,'2、设备合同'!$D:$AK,18,0)</f>
        <v>168000</v>
      </c>
      <c r="T219" s="289">
        <f>VLOOKUP($B219,'2、设备合同'!$D:$AK,19,0)</f>
        <v>0</v>
      </c>
      <c r="U219" s="286" t="str">
        <f>VLOOKUP($B219,'2、设备合同'!$D:$AK,20,0)</f>
        <v>10%质保金，验收合格12个月或到货现场18个月</v>
      </c>
      <c r="V219" s="289">
        <f>VLOOKUP($B219,'2、设备合同'!$D:$AK,21,0)</f>
        <v>56000</v>
      </c>
      <c r="W219" s="289">
        <f>VLOOKUP($B219,'2、设备合同'!$D:$AK,22,0)</f>
        <v>0</v>
      </c>
      <c r="X219" s="286">
        <f>VLOOKUP($B219,'2、设备合同'!$D:$AK,23,0)</f>
        <v>0</v>
      </c>
      <c r="Y219" s="289">
        <f>VLOOKUP($B219,'2、设备合同'!$D:$AK,24,0)</f>
        <v>0</v>
      </c>
      <c r="Z219" s="289">
        <f>VLOOKUP($B219,'2、设备合同'!$D:$AK,25,0)</f>
        <v>0</v>
      </c>
      <c r="AA219" s="286">
        <f>VLOOKUP($B219,'2、设备合同'!$D:$AK,26,0)</f>
        <v>0</v>
      </c>
      <c r="AB219" s="289">
        <f>VLOOKUP($B219,'2、设备合同'!$D:$AK,27,0)</f>
        <v>0</v>
      </c>
      <c r="AC219" s="289">
        <f>VLOOKUP($B219,'2、设备合同'!$D:$AK,28,0)</f>
        <v>0</v>
      </c>
      <c r="AD219" s="286">
        <f>VLOOKUP($B219,'2、设备合同'!$D:$AK,29,0)</f>
        <v>0</v>
      </c>
      <c r="AE219" s="289">
        <f>VLOOKUP($B219,'2、设备合同'!$D:$AK,30,0)</f>
        <v>0</v>
      </c>
      <c r="AF219" s="289">
        <f>VLOOKUP($B219,'2、设备合同'!$D:$AK,31,0)</f>
        <v>0</v>
      </c>
      <c r="AG219" s="289">
        <f>VLOOKUP($B219,'2、设备合同'!$D:$AK,32,0)</f>
        <v>0</v>
      </c>
      <c r="AH219" s="289">
        <f>VLOOKUP($B219,'2、设备合同'!$D:$AK,33,0)</f>
        <v>0</v>
      </c>
      <c r="AI219" s="308">
        <f>VLOOKUP($B219,'2、设备合同'!$D:$AK,34,0)</f>
        <v>0</v>
      </c>
      <c r="AJ219" s="309">
        <f t="shared" si="63"/>
        <v>0</v>
      </c>
      <c r="AK219" s="289">
        <f t="shared" si="64"/>
        <v>560000</v>
      </c>
      <c r="AL219" s="310">
        <f t="shared" si="65"/>
        <v>0</v>
      </c>
      <c r="AM219" s="289">
        <f t="shared" si="66"/>
        <v>560000</v>
      </c>
      <c r="AN219" s="311" t="str">
        <f t="shared" si="67"/>
        <v>数据正确</v>
      </c>
    </row>
    <row r="220" s="228" customFormat="1" customHeight="1" spans="1:40">
      <c r="A220" s="228" t="str">
        <f t="shared" si="62"/>
        <v/>
      </c>
      <c r="B220" s="261">
        <v>215</v>
      </c>
      <c r="C220" s="262" t="str">
        <f>VLOOKUP($B220,'2、设备合同'!$D:$AK,2,0)</f>
        <v>YRKJEQ-170043</v>
      </c>
      <c r="D220" s="263" t="str">
        <f>VLOOKUP($B220,'2、设备合同'!$D:$AK,3,0)</f>
        <v>设备合同</v>
      </c>
      <c r="E220" s="263">
        <f>VLOOKUP($B220,'2、设备合同'!$D:$AK,4,0)</f>
        <v>2017060010</v>
      </c>
      <c r="F220" s="264">
        <f>VLOOKUP($B220,'2、设备合同'!$D:$AK,5,0)</f>
        <v>42920</v>
      </c>
      <c r="G220" s="265">
        <f>VLOOKUP($B220,'2、设备合同'!$D:$AK,6,0)</f>
        <v>85000</v>
      </c>
      <c r="H220" s="265" t="str">
        <f>VLOOKUP($B220,'2、设备合同'!$D:$AK,7,0)</f>
        <v>液下泵4台</v>
      </c>
      <c r="I220" s="265" t="str">
        <f>VLOOKUP($B220,'2、设备合同'!$D:$AK,8,0)</f>
        <v>江苏长凯机械设备有限公司</v>
      </c>
      <c r="J220" s="286">
        <f>VLOOKUP($B220,'2、设备合同'!$D:$AK,9,0)</f>
        <v>0</v>
      </c>
      <c r="K220" s="287" t="str">
        <f>VLOOKUP($B220,'2、设备合同'!$D:$AK,10,0)</f>
        <v>6个月承兑汇票/电汇不下浮</v>
      </c>
      <c r="L220" s="288" t="str">
        <f>VLOOKUP($B220,'2、设备合同'!$D:$AK,11,0)</f>
        <v>甲方收到乙方20%的预付款保函以等额专票后15个工作日支付20%预付款</v>
      </c>
      <c r="M220" s="289">
        <f>VLOOKUP($B220,'2、设备合同'!$D:$AK,12,0)</f>
        <v>17000</v>
      </c>
      <c r="N220" s="289">
        <f>VLOOKUP($B220,'2、设备合同'!$D:$AK,13,0)</f>
        <v>0</v>
      </c>
      <c r="O220" s="286" t="str">
        <f>VLOOKUP($B220,'2、设备合同'!$D:$AK,14,0)</f>
        <v>甲方到乙方现场确认无误后，收到17%等额专票，15个工作日内支付40%发货款</v>
      </c>
      <c r="P220" s="289">
        <f>VLOOKUP($B220,'2、设备合同'!$D:$AK,15,0)</f>
        <v>34000</v>
      </c>
      <c r="Q220" s="289">
        <f>VLOOKUP($B220,'2、设备合同'!$D:$AK,16,0)</f>
        <v>0</v>
      </c>
      <c r="R220" s="286" t="str">
        <f>VLOOKUP($B220,'2、设备合同'!$D:$AK,17,0)</f>
        <v>开车验收合格后，提供全额专票，一个月内支付30%验收款</v>
      </c>
      <c r="S220" s="289">
        <f>VLOOKUP($B220,'2、设备合同'!$D:$AK,18,0)</f>
        <v>25500</v>
      </c>
      <c r="T220" s="289">
        <f>VLOOKUP($B220,'2、设备合同'!$D:$AK,19,0)</f>
        <v>0</v>
      </c>
      <c r="U220" s="286" t="str">
        <f>VLOOKUP($B220,'2、设备合同'!$D:$AK,20,0)</f>
        <v>10%质保金，验收合格12个月或到货现场18个月</v>
      </c>
      <c r="V220" s="289">
        <f>VLOOKUP($B220,'2、设备合同'!$D:$AK,21,0)</f>
        <v>8500</v>
      </c>
      <c r="W220" s="289">
        <f>VLOOKUP($B220,'2、设备合同'!$D:$AK,22,0)</f>
        <v>0</v>
      </c>
      <c r="X220" s="286">
        <f>VLOOKUP($B220,'2、设备合同'!$D:$AK,23,0)</f>
        <v>0</v>
      </c>
      <c r="Y220" s="289">
        <f>VLOOKUP($B220,'2、设备合同'!$D:$AK,24,0)</f>
        <v>0</v>
      </c>
      <c r="Z220" s="289">
        <f>VLOOKUP($B220,'2、设备合同'!$D:$AK,25,0)</f>
        <v>0</v>
      </c>
      <c r="AA220" s="286">
        <f>VLOOKUP($B220,'2、设备合同'!$D:$AK,26,0)</f>
        <v>0</v>
      </c>
      <c r="AB220" s="289">
        <f>VLOOKUP($B220,'2、设备合同'!$D:$AK,27,0)</f>
        <v>0</v>
      </c>
      <c r="AC220" s="289">
        <f>VLOOKUP($B220,'2、设备合同'!$D:$AK,28,0)</f>
        <v>0</v>
      </c>
      <c r="AD220" s="286">
        <f>VLOOKUP($B220,'2、设备合同'!$D:$AK,29,0)</f>
        <v>0</v>
      </c>
      <c r="AE220" s="289">
        <f>VLOOKUP($B220,'2、设备合同'!$D:$AK,30,0)</f>
        <v>0</v>
      </c>
      <c r="AF220" s="289">
        <f>VLOOKUP($B220,'2、设备合同'!$D:$AK,31,0)</f>
        <v>0</v>
      </c>
      <c r="AG220" s="289">
        <f>VLOOKUP($B220,'2、设备合同'!$D:$AK,32,0)</f>
        <v>0</v>
      </c>
      <c r="AH220" s="289">
        <f>VLOOKUP($B220,'2、设备合同'!$D:$AK,33,0)</f>
        <v>0</v>
      </c>
      <c r="AI220" s="308">
        <f>VLOOKUP($B220,'2、设备合同'!$D:$AK,34,0)</f>
        <v>0</v>
      </c>
      <c r="AJ220" s="309">
        <f t="shared" si="63"/>
        <v>0</v>
      </c>
      <c r="AK220" s="289">
        <f t="shared" si="64"/>
        <v>85000</v>
      </c>
      <c r="AL220" s="310">
        <f t="shared" si="65"/>
        <v>0</v>
      </c>
      <c r="AM220" s="289">
        <f t="shared" si="66"/>
        <v>85000</v>
      </c>
      <c r="AN220" s="311" t="str">
        <f t="shared" si="67"/>
        <v>数据正确</v>
      </c>
    </row>
    <row r="221" s="228" customFormat="1" customHeight="1" spans="1:40">
      <c r="A221" s="228" t="str">
        <f t="shared" si="62"/>
        <v/>
      </c>
      <c r="B221" s="261">
        <v>216</v>
      </c>
      <c r="C221" s="262" t="str">
        <f>VLOOKUP($B221,'2、设备合同'!$D:$AK,2,0)</f>
        <v>YRKJEQ-170065</v>
      </c>
      <c r="D221" s="263" t="str">
        <f>VLOOKUP($B221,'2、设备合同'!$D:$AK,3,0)</f>
        <v>设备合同</v>
      </c>
      <c r="E221" s="263">
        <f>VLOOKUP($B221,'2、设备合同'!$D:$AK,4,0)</f>
        <v>2017060074</v>
      </c>
      <c r="F221" s="264">
        <f>VLOOKUP($B221,'2、设备合同'!$D:$AK,5,0)</f>
        <v>42942</v>
      </c>
      <c r="G221" s="265">
        <f>VLOOKUP($B221,'2、设备合同'!$D:$AK,6,0)</f>
        <v>140000</v>
      </c>
      <c r="H221" s="265" t="str">
        <f>VLOOKUP($B221,'2、设备合同'!$D:$AK,7,0)</f>
        <v>罗茨风机2台</v>
      </c>
      <c r="I221" s="265" t="str">
        <f>VLOOKUP($B221,'2、设备合同'!$D:$AK,8,0)</f>
        <v>山东省章丘鼓风机股份有限公司</v>
      </c>
      <c r="J221" s="286">
        <f>VLOOKUP($B221,'2、设备合同'!$D:$AK,9,0)</f>
        <v>0</v>
      </c>
      <c r="K221" s="287" t="str">
        <f>VLOOKUP($B221,'2、设备合同'!$D:$AK,10,0)</f>
        <v>6个月承兑汇票/电汇不下浮</v>
      </c>
      <c r="L221" s="288" t="str">
        <f>VLOOKUP($B221,'2、设备合同'!$D:$AK,11,0)</f>
        <v>甲方收到乙方30%的预付款保函以等额专票后15个工作日支付30%预付款</v>
      </c>
      <c r="M221" s="289">
        <f>VLOOKUP($B221,'2、设备合同'!$D:$AK,12,0)</f>
        <v>42000</v>
      </c>
      <c r="N221" s="289">
        <f>VLOOKUP($B221,'2、设备合同'!$D:$AK,13,0)</f>
        <v>42000</v>
      </c>
      <c r="O221" s="286" t="str">
        <f>VLOOKUP($B221,'2、设备合同'!$D:$AK,14,0)</f>
        <v>甲方到乙方现场确认无误后，收到17%等额专票，15个工作日内支付60%发货款</v>
      </c>
      <c r="P221" s="289">
        <f>VLOOKUP($B221,'2、设备合同'!$D:$AK,15,0)</f>
        <v>84000</v>
      </c>
      <c r="Q221" s="289">
        <f>VLOOKUP($B221,'2、设备合同'!$D:$AK,16,0)</f>
        <v>0</v>
      </c>
      <c r="R221" s="286" t="str">
        <f>VLOOKUP($B221,'2、设备合同'!$D:$AK,17,0)</f>
        <v>10%质保金，验收合格12个月或到货现场18个月</v>
      </c>
      <c r="S221" s="289">
        <f>VLOOKUP($B221,'2、设备合同'!$D:$AK,18,0)</f>
        <v>14000</v>
      </c>
      <c r="T221" s="289">
        <f>VLOOKUP($B221,'2、设备合同'!$D:$AK,19,0)</f>
        <v>0</v>
      </c>
      <c r="U221" s="286">
        <f>VLOOKUP($B221,'2、设备合同'!$D:$AK,20,0)</f>
        <v>0</v>
      </c>
      <c r="V221" s="289">
        <f>VLOOKUP($B221,'2、设备合同'!$D:$AK,21,0)</f>
        <v>0</v>
      </c>
      <c r="W221" s="289">
        <f>VLOOKUP($B221,'2、设备合同'!$D:$AK,22,0)</f>
        <v>0</v>
      </c>
      <c r="X221" s="286">
        <f>VLOOKUP($B221,'2、设备合同'!$D:$AK,23,0)</f>
        <v>0</v>
      </c>
      <c r="Y221" s="289">
        <f>VLOOKUP($B221,'2、设备合同'!$D:$AK,24,0)</f>
        <v>0</v>
      </c>
      <c r="Z221" s="289">
        <f>VLOOKUP($B221,'2、设备合同'!$D:$AK,25,0)</f>
        <v>0</v>
      </c>
      <c r="AA221" s="286">
        <f>VLOOKUP($B221,'2、设备合同'!$D:$AK,26,0)</f>
        <v>0</v>
      </c>
      <c r="AB221" s="289">
        <f>VLOOKUP($B221,'2、设备合同'!$D:$AK,27,0)</f>
        <v>0</v>
      </c>
      <c r="AC221" s="289">
        <f>VLOOKUP($B221,'2、设备合同'!$D:$AK,28,0)</f>
        <v>0</v>
      </c>
      <c r="AD221" s="286">
        <f>VLOOKUP($B221,'2、设备合同'!$D:$AK,29,0)</f>
        <v>0</v>
      </c>
      <c r="AE221" s="289">
        <f>VLOOKUP($B221,'2、设备合同'!$D:$AK,30,0)</f>
        <v>0</v>
      </c>
      <c r="AF221" s="289">
        <f>VLOOKUP($B221,'2、设备合同'!$D:$AK,31,0)</f>
        <v>0</v>
      </c>
      <c r="AG221" s="289">
        <f>VLOOKUP($B221,'2、设备合同'!$D:$AK,32,0)</f>
        <v>0</v>
      </c>
      <c r="AH221" s="289">
        <f>VLOOKUP($B221,'2、设备合同'!$D:$AK,33,0)</f>
        <v>0</v>
      </c>
      <c r="AI221" s="308">
        <f>VLOOKUP($B221,'2、设备合同'!$D:$AK,34,0)</f>
        <v>0</v>
      </c>
      <c r="AJ221" s="309">
        <f t="shared" si="63"/>
        <v>42000</v>
      </c>
      <c r="AK221" s="289">
        <f t="shared" si="64"/>
        <v>98000</v>
      </c>
      <c r="AL221" s="310">
        <f t="shared" si="65"/>
        <v>0.3</v>
      </c>
      <c r="AM221" s="289">
        <f t="shared" si="66"/>
        <v>140000</v>
      </c>
      <c r="AN221" s="311" t="str">
        <f t="shared" si="67"/>
        <v>数据正确</v>
      </c>
    </row>
    <row r="222" s="228" customFormat="1" customHeight="1" spans="1:40">
      <c r="A222" s="228" t="str">
        <f t="shared" si="62"/>
        <v/>
      </c>
      <c r="B222" s="261">
        <v>217</v>
      </c>
      <c r="C222" s="262" t="str">
        <f>VLOOKUP($B222,'2、设备合同'!$D:$AK,2,0)</f>
        <v>YRKJEQ-170067</v>
      </c>
      <c r="D222" s="263" t="str">
        <f>VLOOKUP($B222,'2、设备合同'!$D:$AK,3,0)</f>
        <v>设备合同</v>
      </c>
      <c r="E222" s="263">
        <f>VLOOKUP($B222,'2、设备合同'!$D:$AK,4,0)</f>
        <v>2017050009</v>
      </c>
      <c r="F222" s="264">
        <f>VLOOKUP($B222,'2、设备合同'!$D:$AK,5,0)</f>
        <v>42975</v>
      </c>
      <c r="G222" s="265">
        <f>VLOOKUP($B222,'2、设备合同'!$D:$AK,6,0)</f>
        <v>288000</v>
      </c>
      <c r="H222" s="265" t="str">
        <f>VLOOKUP($B222,'2、设备合同'!$D:$AK,7,0)</f>
        <v>液氨卸车压缩机2台</v>
      </c>
      <c r="I222" s="265" t="str">
        <f>VLOOKUP($B222,'2、设备合同'!$D:$AK,8,0)</f>
        <v>蚌埠市中通压缩机制造有限公司</v>
      </c>
      <c r="J222" s="286">
        <f>VLOOKUP($B222,'2、设备合同'!$D:$AK,9,0)</f>
        <v>0</v>
      </c>
      <c r="K222" s="287" t="str">
        <f>VLOOKUP($B222,'2、设备合同'!$D:$AK,10,0)</f>
        <v>6个月承兑汇票/电汇没说明</v>
      </c>
      <c r="L222" s="288" t="str">
        <f>VLOOKUP($B222,'2、设备合同'!$D:$AK,11,0)</f>
        <v>甲方到乙方现场确认无误后，收到17%等额专票，15个工作日内支付60%发货款。10%履约保函</v>
      </c>
      <c r="M222" s="289">
        <f>VLOOKUP($B222,'2、设备合同'!$D:$AK,12,0)</f>
        <v>172800</v>
      </c>
      <c r="N222" s="289">
        <f>VLOOKUP($B222,'2、设备合同'!$D:$AK,13,0)</f>
        <v>0</v>
      </c>
      <c r="O222" s="286" t="str">
        <f>VLOOKUP($B222,'2、设备合同'!$D:$AK,14,0)</f>
        <v>甲方核定的调试合格报告及足额的发票后付30%的验收款</v>
      </c>
      <c r="P222" s="289">
        <f>VLOOKUP($B222,'2、设备合同'!$D:$AK,15,0)</f>
        <v>86400</v>
      </c>
      <c r="Q222" s="289">
        <f>VLOOKUP($B222,'2、设备合同'!$D:$AK,16,0)</f>
        <v>0</v>
      </c>
      <c r="R222" s="286" t="str">
        <f>VLOOKUP($B222,'2、设备合同'!$D:$AK,17,0)</f>
        <v>10%质保金，验收合格12个月或到货现场18个月</v>
      </c>
      <c r="S222" s="289">
        <f>VLOOKUP($B222,'2、设备合同'!$D:$AK,18,0)</f>
        <v>28800</v>
      </c>
      <c r="T222" s="289">
        <f>VLOOKUP($B222,'2、设备合同'!$D:$AK,19,0)</f>
        <v>0</v>
      </c>
      <c r="U222" s="286">
        <f>VLOOKUP($B222,'2、设备合同'!$D:$AK,20,0)</f>
        <v>0</v>
      </c>
      <c r="V222" s="289">
        <f>VLOOKUP($B222,'2、设备合同'!$D:$AK,21,0)</f>
        <v>0</v>
      </c>
      <c r="W222" s="289">
        <f>VLOOKUP($B222,'2、设备合同'!$D:$AK,22,0)</f>
        <v>0</v>
      </c>
      <c r="X222" s="286">
        <f>VLOOKUP($B222,'2、设备合同'!$D:$AK,23,0)</f>
        <v>0</v>
      </c>
      <c r="Y222" s="289">
        <f>VLOOKUP($B222,'2、设备合同'!$D:$AK,24,0)</f>
        <v>0</v>
      </c>
      <c r="Z222" s="289">
        <f>VLOOKUP($B222,'2、设备合同'!$D:$AK,25,0)</f>
        <v>0</v>
      </c>
      <c r="AA222" s="286">
        <f>VLOOKUP($B222,'2、设备合同'!$D:$AK,26,0)</f>
        <v>0</v>
      </c>
      <c r="AB222" s="289">
        <f>VLOOKUP($B222,'2、设备合同'!$D:$AK,27,0)</f>
        <v>0</v>
      </c>
      <c r="AC222" s="289">
        <f>VLOOKUP($B222,'2、设备合同'!$D:$AK,28,0)</f>
        <v>0</v>
      </c>
      <c r="AD222" s="286">
        <f>VLOOKUP($B222,'2、设备合同'!$D:$AK,29,0)</f>
        <v>0</v>
      </c>
      <c r="AE222" s="289">
        <f>VLOOKUP($B222,'2、设备合同'!$D:$AK,30,0)</f>
        <v>0</v>
      </c>
      <c r="AF222" s="289">
        <f>VLOOKUP($B222,'2、设备合同'!$D:$AK,31,0)</f>
        <v>0</v>
      </c>
      <c r="AG222" s="289">
        <f>VLOOKUP($B222,'2、设备合同'!$D:$AK,32,0)</f>
        <v>0</v>
      </c>
      <c r="AH222" s="289">
        <f>VLOOKUP($B222,'2、设备合同'!$D:$AK,33,0)</f>
        <v>0</v>
      </c>
      <c r="AI222" s="308">
        <f>VLOOKUP($B222,'2、设备合同'!$D:$AK,34,0)</f>
        <v>0</v>
      </c>
      <c r="AJ222" s="309">
        <f t="shared" si="63"/>
        <v>0</v>
      </c>
      <c r="AK222" s="289">
        <f t="shared" si="64"/>
        <v>288000</v>
      </c>
      <c r="AL222" s="310">
        <f t="shared" si="65"/>
        <v>0</v>
      </c>
      <c r="AM222" s="289">
        <f t="shared" si="66"/>
        <v>288000</v>
      </c>
      <c r="AN222" s="311" t="str">
        <f t="shared" si="67"/>
        <v>数据正确</v>
      </c>
    </row>
    <row r="223" s="228" customFormat="1" customHeight="1" spans="1:40">
      <c r="A223" s="228" t="str">
        <f t="shared" si="62"/>
        <v/>
      </c>
      <c r="B223" s="261">
        <v>218</v>
      </c>
      <c r="C223" s="262" t="str">
        <f>VLOOKUP($B223,'2、设备合同'!$D:$AK,2,0)</f>
        <v>YRKJEQ-170068</v>
      </c>
      <c r="D223" s="263" t="str">
        <f>VLOOKUP($B223,'2、设备合同'!$D:$AK,3,0)</f>
        <v>设备合同</v>
      </c>
      <c r="E223" s="263">
        <f>VLOOKUP($B223,'2、设备合同'!$D:$AK,4,0)</f>
        <v>2017060079</v>
      </c>
      <c r="F223" s="264">
        <f>VLOOKUP($B223,'2、设备合同'!$D:$AK,5,0)</f>
        <v>42948</v>
      </c>
      <c r="G223" s="265">
        <f>VLOOKUP($B223,'2、设备合同'!$D:$AK,6,0)</f>
        <v>1500000</v>
      </c>
      <c r="H223" s="265" t="str">
        <f>VLOOKUP($B223,'2、设备合同'!$D:$AK,7,0)</f>
        <v>循环水泵驱动用汽轮机</v>
      </c>
      <c r="I223" s="265" t="str">
        <f>VLOOKUP($B223,'2、设备合同'!$D:$AK,8,0)</f>
        <v>杭州大路实业有限公司</v>
      </c>
      <c r="J223" s="286">
        <f>VLOOKUP($B223,'2、设备合同'!$D:$AK,9,0)</f>
        <v>0</v>
      </c>
      <c r="K223" s="287" t="str">
        <f>VLOOKUP($B223,'2、设备合同'!$D:$AK,10,0)</f>
        <v>6个月承兑汇票/电汇不下浮</v>
      </c>
      <c r="L223" s="288" t="str">
        <f>VLOOKUP($B223,'2、设备合同'!$D:$AK,11,0)</f>
        <v>甲方收到乙方20%的预付款保函以等额专票后15个工作日支付20%预付款  10%履约保函</v>
      </c>
      <c r="M223" s="289">
        <f>VLOOKUP($B223,'2、设备合同'!$D:$AK,12,0)</f>
        <v>300000</v>
      </c>
      <c r="N223" s="289">
        <f>VLOOKUP($B223,'2、设备合同'!$D:$AK,13,0)</f>
        <v>300000</v>
      </c>
      <c r="O223" s="286" t="str">
        <f>VLOOKUP($B223,'2、设备合同'!$D:$AK,14,0)</f>
        <v>甲方到乙方现场确认无误后，收到17%等额专票，15个工作日内支付40%发货款</v>
      </c>
      <c r="P223" s="289">
        <f>VLOOKUP($B223,'2、设备合同'!$D:$AK,15,0)</f>
        <v>600000</v>
      </c>
      <c r="Q223" s="289">
        <f>VLOOKUP($B223,'2、设备合同'!$D:$AK,16,0)</f>
        <v>0</v>
      </c>
      <c r="R223" s="286" t="str">
        <f>VLOOKUP($B223,'2、设备合同'!$D:$AK,17,0)</f>
        <v>甲方核定的调试合格报告及足额的发票后付30%的验收款</v>
      </c>
      <c r="S223" s="289">
        <f>VLOOKUP($B223,'2、设备合同'!$D:$AK,18,0)</f>
        <v>450000</v>
      </c>
      <c r="T223" s="289">
        <f>VLOOKUP($B223,'2、设备合同'!$D:$AK,19,0)</f>
        <v>0</v>
      </c>
      <c r="U223" s="286" t="str">
        <f>VLOOKUP($B223,'2、设备合同'!$D:$AK,20,0)</f>
        <v>10%质保金，验收合格12个月或到货现场18个月</v>
      </c>
      <c r="V223" s="289">
        <f>VLOOKUP($B223,'2、设备合同'!$D:$AK,21,0)</f>
        <v>150000</v>
      </c>
      <c r="W223" s="289">
        <f>VLOOKUP($B223,'2、设备合同'!$D:$AK,22,0)</f>
        <v>0</v>
      </c>
      <c r="X223" s="286">
        <f>VLOOKUP($B223,'2、设备合同'!$D:$AK,23,0)</f>
        <v>0</v>
      </c>
      <c r="Y223" s="289">
        <f>VLOOKUP($B223,'2、设备合同'!$D:$AK,24,0)</f>
        <v>0</v>
      </c>
      <c r="Z223" s="289">
        <f>VLOOKUP($B223,'2、设备合同'!$D:$AK,25,0)</f>
        <v>0</v>
      </c>
      <c r="AA223" s="286">
        <f>VLOOKUP($B223,'2、设备合同'!$D:$AK,26,0)</f>
        <v>0</v>
      </c>
      <c r="AB223" s="289">
        <f>VLOOKUP($B223,'2、设备合同'!$D:$AK,27,0)</f>
        <v>0</v>
      </c>
      <c r="AC223" s="289">
        <f>VLOOKUP($B223,'2、设备合同'!$D:$AK,28,0)</f>
        <v>0</v>
      </c>
      <c r="AD223" s="286">
        <f>VLOOKUP($B223,'2、设备合同'!$D:$AK,29,0)</f>
        <v>0</v>
      </c>
      <c r="AE223" s="289">
        <f>VLOOKUP($B223,'2、设备合同'!$D:$AK,30,0)</f>
        <v>0</v>
      </c>
      <c r="AF223" s="289">
        <f>VLOOKUP($B223,'2、设备合同'!$D:$AK,31,0)</f>
        <v>0</v>
      </c>
      <c r="AG223" s="289">
        <f>VLOOKUP($B223,'2、设备合同'!$D:$AK,32,0)</f>
        <v>0</v>
      </c>
      <c r="AH223" s="289">
        <f>VLOOKUP($B223,'2、设备合同'!$D:$AK,33,0)</f>
        <v>0</v>
      </c>
      <c r="AI223" s="308">
        <f>VLOOKUP($B223,'2、设备合同'!$D:$AK,34,0)</f>
        <v>0</v>
      </c>
      <c r="AJ223" s="309">
        <f t="shared" si="63"/>
        <v>300000</v>
      </c>
      <c r="AK223" s="289">
        <f t="shared" si="64"/>
        <v>1200000</v>
      </c>
      <c r="AL223" s="310">
        <f t="shared" si="65"/>
        <v>0.2</v>
      </c>
      <c r="AM223" s="289">
        <f t="shared" si="66"/>
        <v>1500000</v>
      </c>
      <c r="AN223" s="311" t="str">
        <f t="shared" si="67"/>
        <v>数据正确</v>
      </c>
    </row>
    <row r="224" s="228" customFormat="1" customHeight="1" spans="1:40">
      <c r="A224" s="228" t="str">
        <f t="shared" si="62"/>
        <v/>
      </c>
      <c r="B224" s="261">
        <v>219</v>
      </c>
      <c r="C224" s="262" t="str">
        <f>VLOOKUP($B224,'2、设备合同'!$D:$AK,2,0)</f>
        <v>YRKJEQ-170069</v>
      </c>
      <c r="D224" s="263" t="str">
        <f>VLOOKUP($B224,'2、设备合同'!$D:$AK,3,0)</f>
        <v>设备合同</v>
      </c>
      <c r="E224" s="263">
        <f>VLOOKUP($B224,'2、设备合同'!$D:$AK,4,0)</f>
        <v>2017060078</v>
      </c>
      <c r="F224" s="264">
        <f>VLOOKUP($B224,'2、设备合同'!$D:$AK,5,0)</f>
        <v>42951</v>
      </c>
      <c r="G224" s="265">
        <f>VLOOKUP($B224,'2、设备合同'!$D:$AK,6,0)</f>
        <v>220000</v>
      </c>
      <c r="H224" s="265" t="str">
        <f>VLOOKUP($B224,'2、设备合同'!$D:$AK,7,0)</f>
        <v>喷射器16台</v>
      </c>
      <c r="I224" s="265" t="str">
        <f>VLOOKUP($B224,'2、设备合同'!$D:$AK,8,0)</f>
        <v>杭州杭真能源科技股份有限公司</v>
      </c>
      <c r="J224" s="286" t="str">
        <f>VLOOKUP($B224,'2、设备合同'!$D:$AK,9,0)</f>
        <v>环己酮装置</v>
      </c>
      <c r="K224" s="287" t="str">
        <f>VLOOKUP($B224,'2、设备合同'!$D:$AK,10,0)</f>
        <v>6个月承兑汇票/电汇不下浮</v>
      </c>
      <c r="L224" s="288" t="str">
        <f>VLOOKUP($B224,'2、设备合同'!$D:$AK,11,0)</f>
        <v>甲方收到乙方20%的预付款保函以等额专票后15个工作日支付20%预付款 </v>
      </c>
      <c r="M224" s="289">
        <f>VLOOKUP($B224,'2、设备合同'!$D:$AK,12,0)</f>
        <v>44000</v>
      </c>
      <c r="N224" s="289">
        <f>VLOOKUP($B224,'2、设备合同'!$D:$AK,13,0)</f>
        <v>44000</v>
      </c>
      <c r="O224" s="286" t="str">
        <f>VLOOKUP($B224,'2、设备合同'!$D:$AK,14,0)</f>
        <v>甲方到乙方现场确认无误后，收到17%等额专票，15个工作日内支付40%发货款</v>
      </c>
      <c r="P224" s="289">
        <f>VLOOKUP($B224,'2、设备合同'!$D:$AK,15,0)</f>
        <v>88000</v>
      </c>
      <c r="Q224" s="289">
        <f>VLOOKUP($B224,'2、设备合同'!$D:$AK,16,0)</f>
        <v>0</v>
      </c>
      <c r="R224" s="286" t="str">
        <f>VLOOKUP($B224,'2、设备合同'!$D:$AK,17,0)</f>
        <v>甲方核定的调试合格报告及足额的发票后付30%的验收款</v>
      </c>
      <c r="S224" s="289">
        <f>VLOOKUP($B224,'2、设备合同'!$D:$AK,18,0)</f>
        <v>66000</v>
      </c>
      <c r="T224" s="289">
        <f>VLOOKUP($B224,'2、设备合同'!$D:$AK,19,0)</f>
        <v>0</v>
      </c>
      <c r="U224" s="286" t="str">
        <f>VLOOKUP($B224,'2、设备合同'!$D:$AK,20,0)</f>
        <v>10%质保金，验收合格12个月或到货现场18个月</v>
      </c>
      <c r="V224" s="289">
        <f>VLOOKUP($B224,'2、设备合同'!$D:$AK,21,0)</f>
        <v>22000</v>
      </c>
      <c r="W224" s="289">
        <f>VLOOKUP($B224,'2、设备合同'!$D:$AK,22,0)</f>
        <v>0</v>
      </c>
      <c r="X224" s="286">
        <f>VLOOKUP($B224,'2、设备合同'!$D:$AK,23,0)</f>
        <v>0</v>
      </c>
      <c r="Y224" s="289">
        <f>VLOOKUP($B224,'2、设备合同'!$D:$AK,24,0)</f>
        <v>0</v>
      </c>
      <c r="Z224" s="289">
        <f>VLOOKUP($B224,'2、设备合同'!$D:$AK,25,0)</f>
        <v>0</v>
      </c>
      <c r="AA224" s="286">
        <f>VLOOKUP($B224,'2、设备合同'!$D:$AK,26,0)</f>
        <v>0</v>
      </c>
      <c r="AB224" s="289">
        <f>VLOOKUP($B224,'2、设备合同'!$D:$AK,27,0)</f>
        <v>0</v>
      </c>
      <c r="AC224" s="289">
        <f>VLOOKUP($B224,'2、设备合同'!$D:$AK,28,0)</f>
        <v>0</v>
      </c>
      <c r="AD224" s="286">
        <f>VLOOKUP($B224,'2、设备合同'!$D:$AK,29,0)</f>
        <v>0</v>
      </c>
      <c r="AE224" s="289">
        <f>VLOOKUP($B224,'2、设备合同'!$D:$AK,30,0)</f>
        <v>0</v>
      </c>
      <c r="AF224" s="289">
        <f>VLOOKUP($B224,'2、设备合同'!$D:$AK,31,0)</f>
        <v>0</v>
      </c>
      <c r="AG224" s="289">
        <f>VLOOKUP($B224,'2、设备合同'!$D:$AK,32,0)</f>
        <v>0</v>
      </c>
      <c r="AH224" s="289">
        <f>VLOOKUP($B224,'2、设备合同'!$D:$AK,33,0)</f>
        <v>0</v>
      </c>
      <c r="AI224" s="308">
        <f>VLOOKUP($B224,'2、设备合同'!$D:$AK,34,0)</f>
        <v>0</v>
      </c>
      <c r="AJ224" s="309">
        <f t="shared" si="63"/>
        <v>44000</v>
      </c>
      <c r="AK224" s="289">
        <f t="shared" si="64"/>
        <v>176000</v>
      </c>
      <c r="AL224" s="310">
        <f t="shared" si="65"/>
        <v>0.2</v>
      </c>
      <c r="AM224" s="289">
        <f t="shared" si="66"/>
        <v>220000</v>
      </c>
      <c r="AN224" s="311" t="str">
        <f t="shared" si="67"/>
        <v>数据正确</v>
      </c>
    </row>
    <row r="225" s="228" customFormat="1" customHeight="1" spans="1:40">
      <c r="A225" s="228" t="str">
        <f t="shared" si="62"/>
        <v/>
      </c>
      <c r="B225" s="261">
        <v>220</v>
      </c>
      <c r="C225" s="262" t="str">
        <f>VLOOKUP($B225,'2、设备合同'!$D:$AK,2,0)</f>
        <v>YRKJEQ-170071</v>
      </c>
      <c r="D225" s="263" t="str">
        <f>VLOOKUP($B225,'2、设备合同'!$D:$AK,3,0)</f>
        <v>设备合同</v>
      </c>
      <c r="E225" s="263">
        <f>VLOOKUP($B225,'2、设备合同'!$D:$AK,4,0)</f>
        <v>2017070057</v>
      </c>
      <c r="F225" s="264">
        <f>VLOOKUP($B225,'2、设备合同'!$D:$AK,5,0)</f>
        <v>42958</v>
      </c>
      <c r="G225" s="265">
        <f>VLOOKUP($B225,'2、设备合同'!$D:$AK,6,0)</f>
        <v>5790000</v>
      </c>
      <c r="H225" s="265" t="str">
        <f>VLOOKUP($B225,'2、设备合同'!$D:$AK,7,0)</f>
        <v>环己酮肟化非标设备包2（29台）</v>
      </c>
      <c r="I225" s="265" t="str">
        <f>VLOOKUP($B225,'2、设备合同'!$D:$AK,8,0)</f>
        <v>常州市东方锅炉压力容器制造有限公司</v>
      </c>
      <c r="J225" s="286">
        <f>VLOOKUP($B225,'2、设备合同'!$D:$AK,9,0)</f>
        <v>0</v>
      </c>
      <c r="K225" s="287" t="str">
        <f>VLOOKUP($B225,'2、设备合同'!$D:$AK,10,0)</f>
        <v>电汇</v>
      </c>
      <c r="L225" s="288" t="str">
        <f>VLOOKUP($B225,'2、设备合同'!$D:$AK,11,0)</f>
        <v>甲方收到乙方20%的预付款保函以等额专票后15个工作日支付20%预付款  10%履约保函</v>
      </c>
      <c r="M225" s="289">
        <f>VLOOKUP($B225,'2、设备合同'!$D:$AK,12,0)</f>
        <v>1158000</v>
      </c>
      <c r="N225" s="289">
        <f>VLOOKUP($B225,'2、设备合同'!$D:$AK,13,0)</f>
        <v>0</v>
      </c>
      <c r="O225" s="286" t="str">
        <f>VLOOKUP($B225,'2、设备合同'!$D:$AK,14,0)</f>
        <v>甲方到乙方现场确认无误后，收到17%等额专票，15个工作日内支付60%发货款</v>
      </c>
      <c r="P225" s="289">
        <f>VLOOKUP($B225,'2、设备合同'!$D:$AK,15,0)</f>
        <v>3474000</v>
      </c>
      <c r="Q225" s="289">
        <f>VLOOKUP($B225,'2、设备合同'!$D:$AK,16,0)</f>
        <v>0</v>
      </c>
      <c r="R225" s="286" t="str">
        <f>VLOOKUP($B225,'2、设备合同'!$D:$AK,17,0)</f>
        <v>甲方核定的调试合格报告及足额的发票后付10%的验收款</v>
      </c>
      <c r="S225" s="289">
        <f>VLOOKUP($B225,'2、设备合同'!$D:$AK,18,0)</f>
        <v>579000</v>
      </c>
      <c r="T225" s="289">
        <f>VLOOKUP($B225,'2、设备合同'!$D:$AK,19,0)</f>
        <v>0</v>
      </c>
      <c r="U225" s="286" t="str">
        <f>VLOOKUP($B225,'2、设备合同'!$D:$AK,20,0)</f>
        <v>10%质保金，验收合格12个月或到货现场18个月</v>
      </c>
      <c r="V225" s="289">
        <f>VLOOKUP($B225,'2、设备合同'!$D:$AK,21,0)</f>
        <v>579000</v>
      </c>
      <c r="W225" s="289">
        <f>VLOOKUP($B225,'2、设备合同'!$D:$AK,22,0)</f>
        <v>0</v>
      </c>
      <c r="X225" s="286">
        <f>VLOOKUP($B225,'2、设备合同'!$D:$AK,23,0)</f>
        <v>0</v>
      </c>
      <c r="Y225" s="289">
        <f>VLOOKUP($B225,'2、设备合同'!$D:$AK,24,0)</f>
        <v>0</v>
      </c>
      <c r="Z225" s="289">
        <f>VLOOKUP($B225,'2、设备合同'!$D:$AK,25,0)</f>
        <v>0</v>
      </c>
      <c r="AA225" s="286">
        <f>VLOOKUP($B225,'2、设备合同'!$D:$AK,26,0)</f>
        <v>0</v>
      </c>
      <c r="AB225" s="289">
        <f>VLOOKUP($B225,'2、设备合同'!$D:$AK,27,0)</f>
        <v>0</v>
      </c>
      <c r="AC225" s="289">
        <f>VLOOKUP($B225,'2、设备合同'!$D:$AK,28,0)</f>
        <v>0</v>
      </c>
      <c r="AD225" s="286">
        <f>VLOOKUP($B225,'2、设备合同'!$D:$AK,29,0)</f>
        <v>0</v>
      </c>
      <c r="AE225" s="289">
        <f>VLOOKUP($B225,'2、设备合同'!$D:$AK,30,0)</f>
        <v>0</v>
      </c>
      <c r="AF225" s="289">
        <f>VLOOKUP($B225,'2、设备合同'!$D:$AK,31,0)</f>
        <v>0</v>
      </c>
      <c r="AG225" s="289">
        <f>VLOOKUP($B225,'2、设备合同'!$D:$AK,32,0)</f>
        <v>0</v>
      </c>
      <c r="AH225" s="289">
        <f>VLOOKUP($B225,'2、设备合同'!$D:$AK,33,0)</f>
        <v>0</v>
      </c>
      <c r="AI225" s="308">
        <f>VLOOKUP($B225,'2、设备合同'!$D:$AK,34,0)</f>
        <v>0</v>
      </c>
      <c r="AJ225" s="309">
        <f t="shared" si="63"/>
        <v>0</v>
      </c>
      <c r="AK225" s="289">
        <f t="shared" si="64"/>
        <v>5790000</v>
      </c>
      <c r="AL225" s="310">
        <f t="shared" si="65"/>
        <v>0</v>
      </c>
      <c r="AM225" s="289">
        <f t="shared" si="66"/>
        <v>5790000</v>
      </c>
      <c r="AN225" s="311" t="str">
        <f t="shared" si="67"/>
        <v>数据正确</v>
      </c>
    </row>
    <row r="226" s="228" customFormat="1" customHeight="1" spans="1:40">
      <c r="A226" s="228" t="str">
        <f t="shared" si="62"/>
        <v/>
      </c>
      <c r="B226" s="261">
        <v>221</v>
      </c>
      <c r="C226" s="262" t="str">
        <f>VLOOKUP($B226,'2、设备合同'!$D:$AK,2,0)</f>
        <v>YRKJEQ-170079</v>
      </c>
      <c r="D226" s="263" t="str">
        <f>VLOOKUP($B226,'2、设备合同'!$D:$AK,3,0)</f>
        <v>设备合同</v>
      </c>
      <c r="E226" s="263">
        <f>VLOOKUP($B226,'2、设备合同'!$D:$AK,4,0)</f>
        <v>2017070065</v>
      </c>
      <c r="F226" s="264">
        <f>VLOOKUP($B226,'2、设备合同'!$D:$AK,5,0)</f>
        <v>42973</v>
      </c>
      <c r="G226" s="265">
        <f>VLOOKUP($B226,'2、设备合同'!$D:$AK,6,0)</f>
        <v>3366000</v>
      </c>
      <c r="H226" s="265" t="str">
        <f>VLOOKUP($B226,'2、设备合同'!$D:$AK,7,0)</f>
        <v>非标设备包3</v>
      </c>
      <c r="I226" s="265" t="str">
        <f>VLOOKUP($B226,'2、设备合同'!$D:$AK,8,0)</f>
        <v>常州市东方锅炉压力容器制造有限公司</v>
      </c>
      <c r="J226" s="286">
        <f>VLOOKUP($B226,'2、设备合同'!$D:$AK,9,0)</f>
        <v>0</v>
      </c>
      <c r="K226" s="287" t="str">
        <f>VLOOKUP($B226,'2、设备合同'!$D:$AK,10,0)</f>
        <v>电汇</v>
      </c>
      <c r="L226" s="288" t="str">
        <f>VLOOKUP($B226,'2、设备合同'!$D:$AK,11,0)</f>
        <v>甲方收到乙方20%的预付款保函以等额专票后15个工作日支付20%预付款  10%履约保函</v>
      </c>
      <c r="M226" s="289">
        <f>VLOOKUP($B226,'2、设备合同'!$D:$AK,12,0)</f>
        <v>673200</v>
      </c>
      <c r="N226" s="289">
        <f>VLOOKUP($B226,'2、设备合同'!$D:$AK,13,0)</f>
        <v>0</v>
      </c>
      <c r="O226" s="286" t="str">
        <f>VLOOKUP($B226,'2、设备合同'!$D:$AK,14,0)</f>
        <v>甲方到乙方现场确认无误后，收到17%等额专票，15个工作日内支付60%发货款</v>
      </c>
      <c r="P226" s="289">
        <f>VLOOKUP($B226,'2、设备合同'!$D:$AK,15,0)</f>
        <v>2019600</v>
      </c>
      <c r="Q226" s="289">
        <f>VLOOKUP($B226,'2、设备合同'!$D:$AK,16,0)</f>
        <v>0</v>
      </c>
      <c r="R226" s="286" t="str">
        <f>VLOOKUP($B226,'2、设备合同'!$D:$AK,17,0)</f>
        <v>甲方核定的调试合格报告及足额的发票后付10%的验收款</v>
      </c>
      <c r="S226" s="289">
        <f>VLOOKUP($B226,'2、设备合同'!$D:$AK,18,0)</f>
        <v>336600</v>
      </c>
      <c r="T226" s="289">
        <f>VLOOKUP($B226,'2、设备合同'!$D:$AK,19,0)</f>
        <v>0</v>
      </c>
      <c r="U226" s="286" t="str">
        <f>VLOOKUP($B226,'2、设备合同'!$D:$AK,20,0)</f>
        <v>10%质保金，验收合格12个月或到货现场18个月</v>
      </c>
      <c r="V226" s="289">
        <f>VLOOKUP($B226,'2、设备合同'!$D:$AK,21,0)</f>
        <v>336600</v>
      </c>
      <c r="W226" s="289">
        <f>VLOOKUP($B226,'2、设备合同'!$D:$AK,22,0)</f>
        <v>0</v>
      </c>
      <c r="X226" s="286">
        <f>VLOOKUP($B226,'2、设备合同'!$D:$AK,23,0)</f>
        <v>0</v>
      </c>
      <c r="Y226" s="289">
        <f>VLOOKUP($B226,'2、设备合同'!$D:$AK,24,0)</f>
        <v>0</v>
      </c>
      <c r="Z226" s="289">
        <f>VLOOKUP($B226,'2、设备合同'!$D:$AK,25,0)</f>
        <v>0</v>
      </c>
      <c r="AA226" s="286">
        <f>VLOOKUP($B226,'2、设备合同'!$D:$AK,26,0)</f>
        <v>0</v>
      </c>
      <c r="AB226" s="289">
        <f>VLOOKUP($B226,'2、设备合同'!$D:$AK,27,0)</f>
        <v>0</v>
      </c>
      <c r="AC226" s="289">
        <f>VLOOKUP($B226,'2、设备合同'!$D:$AK,28,0)</f>
        <v>0</v>
      </c>
      <c r="AD226" s="286">
        <f>VLOOKUP($B226,'2、设备合同'!$D:$AK,29,0)</f>
        <v>0</v>
      </c>
      <c r="AE226" s="289">
        <f>VLOOKUP($B226,'2、设备合同'!$D:$AK,30,0)</f>
        <v>0</v>
      </c>
      <c r="AF226" s="289">
        <f>VLOOKUP($B226,'2、设备合同'!$D:$AK,31,0)</f>
        <v>0</v>
      </c>
      <c r="AG226" s="289">
        <f>VLOOKUP($B226,'2、设备合同'!$D:$AK,32,0)</f>
        <v>0</v>
      </c>
      <c r="AH226" s="289">
        <f>VLOOKUP($B226,'2、设备合同'!$D:$AK,33,0)</f>
        <v>0</v>
      </c>
      <c r="AI226" s="308">
        <f>VLOOKUP($B226,'2、设备合同'!$D:$AK,34,0)</f>
        <v>0</v>
      </c>
      <c r="AJ226" s="309">
        <f t="shared" si="63"/>
        <v>0</v>
      </c>
      <c r="AK226" s="289">
        <f t="shared" si="64"/>
        <v>3366000</v>
      </c>
      <c r="AL226" s="310">
        <f t="shared" si="65"/>
        <v>0</v>
      </c>
      <c r="AM226" s="289">
        <f t="shared" si="66"/>
        <v>3366000</v>
      </c>
      <c r="AN226" s="311" t="str">
        <f t="shared" si="67"/>
        <v>数据正确</v>
      </c>
    </row>
    <row r="227" s="228" customFormat="1" customHeight="1" spans="1:40">
      <c r="A227" s="228" t="str">
        <f t="shared" si="62"/>
        <v/>
      </c>
      <c r="B227" s="261">
        <v>222</v>
      </c>
      <c r="C227" s="262" t="str">
        <f>VLOOKUP($B227,'2、设备合同'!$D:$AK,2,0)</f>
        <v>YRKJEQ-170087</v>
      </c>
      <c r="D227" s="263" t="str">
        <f>VLOOKUP($B227,'2、设备合同'!$D:$AK,3,0)</f>
        <v>设备合同</v>
      </c>
      <c r="E227" s="263">
        <f>VLOOKUP($B227,'2、设备合同'!$D:$AK,4,0)</f>
        <v>2017050023</v>
      </c>
      <c r="F227" s="264">
        <f>VLOOKUP($B227,'2、设备合同'!$D:$AK,5,0)</f>
        <v>42979</v>
      </c>
      <c r="G227" s="265">
        <f>VLOOKUP($B227,'2、设备合同'!$D:$AK,6,0)</f>
        <v>1280000</v>
      </c>
      <c r="H227" s="265" t="str">
        <f>VLOOKUP($B227,'2、设备合同'!$D:$AK,7,0)</f>
        <v>硫铵输送设备5套</v>
      </c>
      <c r="I227" s="265" t="str">
        <f>VLOOKUP($B227,'2、设备合同'!$D:$AK,8,0)</f>
        <v>湖北宜都运机机电股份有限公司</v>
      </c>
      <c r="J227" s="286">
        <f>VLOOKUP($B227,'2、设备合同'!$D:$AK,9,0)</f>
        <v>0</v>
      </c>
      <c r="K227" s="287" t="str">
        <f>VLOOKUP($B227,'2、设备合同'!$D:$AK,10,0)</f>
        <v>电汇</v>
      </c>
      <c r="L227" s="288" t="str">
        <f>VLOOKUP($B227,'2、设备合同'!$D:$AK,11,0)</f>
        <v>甲方收到乙方20%的预付款保函以等额专票后15个工作日支付20%预付款  10%履约保函</v>
      </c>
      <c r="M227" s="289">
        <f>VLOOKUP($B227,'2、设备合同'!$D:$AK,12,0)</f>
        <v>256000</v>
      </c>
      <c r="N227" s="289">
        <f>VLOOKUP($B227,'2、设备合同'!$D:$AK,13,0)</f>
        <v>256000</v>
      </c>
      <c r="O227" s="286" t="str">
        <f>VLOOKUP($B227,'2、设备合同'!$D:$AK,14,0)</f>
        <v>甲方到乙方现场确认无误后，收到17%等额专票，15个工作日内支付60%发货款</v>
      </c>
      <c r="P227" s="289">
        <f>VLOOKUP($B227,'2、设备合同'!$D:$AK,15,0)</f>
        <v>768000</v>
      </c>
      <c r="Q227" s="289">
        <f>VLOOKUP($B227,'2、设备合同'!$D:$AK,16,0)</f>
        <v>0</v>
      </c>
      <c r="R227" s="286" t="str">
        <f>VLOOKUP($B227,'2、设备合同'!$D:$AK,17,0)</f>
        <v>甲方核定的调试合格报告及足额的发票后付10%的验收款</v>
      </c>
      <c r="S227" s="289">
        <f>VLOOKUP($B227,'2、设备合同'!$D:$AK,18,0)</f>
        <v>128000</v>
      </c>
      <c r="T227" s="289">
        <f>VLOOKUP($B227,'2、设备合同'!$D:$AK,19,0)</f>
        <v>0</v>
      </c>
      <c r="U227" s="286" t="str">
        <f>VLOOKUP($B227,'2、设备合同'!$D:$AK,20,0)</f>
        <v>10%质保金，验收合格12个月或到货现场18个月</v>
      </c>
      <c r="V227" s="289">
        <f>VLOOKUP($B227,'2、设备合同'!$D:$AK,21,0)</f>
        <v>128000</v>
      </c>
      <c r="W227" s="289">
        <f>VLOOKUP($B227,'2、设备合同'!$D:$AK,22,0)</f>
        <v>0</v>
      </c>
      <c r="X227" s="286">
        <f>VLOOKUP($B227,'2、设备合同'!$D:$AK,23,0)</f>
        <v>0</v>
      </c>
      <c r="Y227" s="289">
        <f>VLOOKUP($B227,'2、设备合同'!$D:$AK,24,0)</f>
        <v>0</v>
      </c>
      <c r="Z227" s="289">
        <f>VLOOKUP($B227,'2、设备合同'!$D:$AK,25,0)</f>
        <v>0</v>
      </c>
      <c r="AA227" s="286">
        <f>VLOOKUP($B227,'2、设备合同'!$D:$AK,26,0)</f>
        <v>0</v>
      </c>
      <c r="AB227" s="289">
        <f>VLOOKUP($B227,'2、设备合同'!$D:$AK,27,0)</f>
        <v>0</v>
      </c>
      <c r="AC227" s="289">
        <f>VLOOKUP($B227,'2、设备合同'!$D:$AK,28,0)</f>
        <v>0</v>
      </c>
      <c r="AD227" s="286">
        <f>VLOOKUP($B227,'2、设备合同'!$D:$AK,29,0)</f>
        <v>0</v>
      </c>
      <c r="AE227" s="289">
        <f>VLOOKUP($B227,'2、设备合同'!$D:$AK,30,0)</f>
        <v>0</v>
      </c>
      <c r="AF227" s="289">
        <f>VLOOKUP($B227,'2、设备合同'!$D:$AK,31,0)</f>
        <v>0</v>
      </c>
      <c r="AG227" s="289">
        <f>VLOOKUP($B227,'2、设备合同'!$D:$AK,32,0)</f>
        <v>0</v>
      </c>
      <c r="AH227" s="289">
        <f>VLOOKUP($B227,'2、设备合同'!$D:$AK,33,0)</f>
        <v>0</v>
      </c>
      <c r="AI227" s="308">
        <f>VLOOKUP($B227,'2、设备合同'!$D:$AK,34,0)</f>
        <v>0</v>
      </c>
      <c r="AJ227" s="309">
        <f t="shared" si="63"/>
        <v>256000</v>
      </c>
      <c r="AK227" s="289">
        <f t="shared" si="64"/>
        <v>1024000</v>
      </c>
      <c r="AL227" s="310">
        <f t="shared" si="65"/>
        <v>0.2</v>
      </c>
      <c r="AM227" s="289">
        <f t="shared" si="66"/>
        <v>1280000</v>
      </c>
      <c r="AN227" s="311" t="str">
        <f t="shared" si="67"/>
        <v>数据正确</v>
      </c>
    </row>
    <row r="228" s="228" customFormat="1" customHeight="1" spans="1:40">
      <c r="A228" s="228" t="str">
        <f t="shared" si="62"/>
        <v/>
      </c>
      <c r="B228" s="261">
        <v>223</v>
      </c>
      <c r="C228" s="262" t="str">
        <f>VLOOKUP($B228,'2、设备合同'!$D:$AK,2,0)</f>
        <v>YRKJEQ-170086</v>
      </c>
      <c r="D228" s="263" t="str">
        <f>VLOOKUP($B228,'2、设备合同'!$D:$AK,3,0)</f>
        <v>设备合同</v>
      </c>
      <c r="E228" s="263">
        <f>VLOOKUP($B228,'2、设备合同'!$D:$AK,4,0)</f>
        <v>2017070066</v>
      </c>
      <c r="F228" s="264">
        <f>VLOOKUP($B228,'2、设备合同'!$D:$AK,5,0)</f>
        <v>42972</v>
      </c>
      <c r="G228" s="265">
        <f>VLOOKUP($B228,'2、设备合同'!$D:$AK,6,0)</f>
        <v>7820000</v>
      </c>
      <c r="H228" s="265" t="str">
        <f>VLOOKUP($B228,'2、设备合同'!$D:$AK,7,0)</f>
        <v>非标设备包4</v>
      </c>
      <c r="I228" s="265" t="str">
        <f>VLOOKUP($B228,'2、设备合同'!$D:$AK,8,0)</f>
        <v>湖北凯毅石化设备制造有限公司</v>
      </c>
      <c r="J228" s="286">
        <f>VLOOKUP($B228,'2、设备合同'!$D:$AK,9,0)</f>
        <v>0</v>
      </c>
      <c r="K228" s="287" t="str">
        <f>VLOOKUP($B228,'2、设备合同'!$D:$AK,10,0)</f>
        <v>6个月承兑汇票/电汇下浮2%</v>
      </c>
      <c r="L228" s="288" t="str">
        <f>VLOOKUP($B228,'2、设备合同'!$D:$AK,11,0)</f>
        <v>甲方收到乙方30%的预付款保函以等额专票后15个工作日支付30%预付款  10%履约保函</v>
      </c>
      <c r="M228" s="289">
        <f>VLOOKUP($B228,'2、设备合同'!$D:$AK,12,0)</f>
        <v>2346000</v>
      </c>
      <c r="N228" s="289">
        <f>VLOOKUP($B228,'2、设备合同'!$D:$AK,13,0)</f>
        <v>2346000</v>
      </c>
      <c r="O228" s="286" t="str">
        <f>VLOOKUP($B228,'2、设备合同'!$D:$AK,14,0)</f>
        <v>甲方到乙方现场确认无误后，收到17%等额专票，15个工作日内支付50%发货款</v>
      </c>
      <c r="P228" s="289">
        <f>VLOOKUP($B228,'2、设备合同'!$D:$AK,15,0)</f>
        <v>3910000</v>
      </c>
      <c r="Q228" s="289">
        <f>VLOOKUP($B228,'2、设备合同'!$D:$AK,16,0)</f>
        <v>0</v>
      </c>
      <c r="R228" s="286" t="str">
        <f>VLOOKUP($B228,'2、设备合同'!$D:$AK,17,0)</f>
        <v>甲方核定的调试合格报告及足额的发票后付10%的验收款</v>
      </c>
      <c r="S228" s="289">
        <f>VLOOKUP($B228,'2、设备合同'!$D:$AK,18,0)</f>
        <v>782000</v>
      </c>
      <c r="T228" s="289">
        <f>VLOOKUP($B228,'2、设备合同'!$D:$AK,19,0)</f>
        <v>0</v>
      </c>
      <c r="U228" s="286" t="str">
        <f>VLOOKUP($B228,'2、设备合同'!$D:$AK,20,0)</f>
        <v>10%质保金，验收合格12个月或到货现场18个月</v>
      </c>
      <c r="V228" s="289">
        <f>VLOOKUP($B228,'2、设备合同'!$D:$AK,21,0)</f>
        <v>782000</v>
      </c>
      <c r="W228" s="289">
        <f>VLOOKUP($B228,'2、设备合同'!$D:$AK,22,0)</f>
        <v>0</v>
      </c>
      <c r="X228" s="286">
        <f>VLOOKUP($B228,'2、设备合同'!$D:$AK,23,0)</f>
        <v>0</v>
      </c>
      <c r="Y228" s="289">
        <f>VLOOKUP($B228,'2、设备合同'!$D:$AK,24,0)</f>
        <v>0</v>
      </c>
      <c r="Z228" s="289">
        <f>VLOOKUP($B228,'2、设备合同'!$D:$AK,25,0)</f>
        <v>0</v>
      </c>
      <c r="AA228" s="286">
        <f>VLOOKUP($B228,'2、设备合同'!$D:$AK,26,0)</f>
        <v>0</v>
      </c>
      <c r="AB228" s="289">
        <f>VLOOKUP($B228,'2、设备合同'!$D:$AK,27,0)</f>
        <v>0</v>
      </c>
      <c r="AC228" s="289">
        <f>VLOOKUP($B228,'2、设备合同'!$D:$AK,28,0)</f>
        <v>0</v>
      </c>
      <c r="AD228" s="286">
        <f>VLOOKUP($B228,'2、设备合同'!$D:$AK,29,0)</f>
        <v>0</v>
      </c>
      <c r="AE228" s="289">
        <f>VLOOKUP($B228,'2、设备合同'!$D:$AK,30,0)</f>
        <v>0</v>
      </c>
      <c r="AF228" s="289">
        <f>VLOOKUP($B228,'2、设备合同'!$D:$AK,31,0)</f>
        <v>0</v>
      </c>
      <c r="AG228" s="289">
        <f>VLOOKUP($B228,'2、设备合同'!$D:$AK,32,0)</f>
        <v>0</v>
      </c>
      <c r="AH228" s="289">
        <f>VLOOKUP($B228,'2、设备合同'!$D:$AK,33,0)</f>
        <v>0</v>
      </c>
      <c r="AI228" s="308">
        <f>VLOOKUP($B228,'2、设备合同'!$D:$AK,34,0)</f>
        <v>0</v>
      </c>
      <c r="AJ228" s="309">
        <f t="shared" si="63"/>
        <v>2346000</v>
      </c>
      <c r="AK228" s="289">
        <f t="shared" si="64"/>
        <v>5474000</v>
      </c>
      <c r="AL228" s="310">
        <f t="shared" si="65"/>
        <v>0.3</v>
      </c>
      <c r="AM228" s="289">
        <f t="shared" si="66"/>
        <v>7820000</v>
      </c>
      <c r="AN228" s="311" t="str">
        <f t="shared" si="67"/>
        <v>数据正确</v>
      </c>
    </row>
    <row r="229" customHeight="1" spans="1:40">
      <c r="A229" s="228" t="str">
        <f t="shared" si="62"/>
        <v>已完毕</v>
      </c>
      <c r="B229" s="261">
        <v>224</v>
      </c>
      <c r="C229" s="266" t="str">
        <f>VLOOKUP($B229,'4、其他合同'!$D:$AK,2,0)</f>
        <v>-</v>
      </c>
      <c r="D229" s="267" t="s">
        <v>25</v>
      </c>
      <c r="E229" s="267" t="str">
        <f>VLOOKUP($B229,'4、其他合同'!$D:$AK,4,0)</f>
        <v>-</v>
      </c>
      <c r="F229" s="268">
        <f>VLOOKUP($B229,'4、其他合同'!$D:$AK,5,0)</f>
        <v>43008</v>
      </c>
      <c r="G229" s="269">
        <f>VLOOKUP($B229,'4、其他合同'!$D:$AK,6,0)</f>
        <v>39137986.4810001</v>
      </c>
      <c r="H229" s="269" t="str">
        <f>VLOOKUP($B229,'4、其他合同'!$D:$AK,7,0)</f>
        <v>管理费暂估</v>
      </c>
      <c r="I229" s="269" t="str">
        <f>VLOOKUP($B229,'4、其他合同'!$D:$AK,8,0)</f>
        <v>永荣科技</v>
      </c>
      <c r="J229" s="290">
        <f>VLOOKUP($B229,'4、其他合同'!$D:$AK,9,0)</f>
        <v>0</v>
      </c>
      <c r="K229" s="291" t="str">
        <f>VLOOKUP($B229,'4、其他合同'!$D:$AK,10,0)</f>
        <v>电汇</v>
      </c>
      <c r="L229" s="292" t="str">
        <f>VLOOKUP($B229,'4、其他合同'!$D:$AK,11,0)</f>
        <v>-</v>
      </c>
      <c r="M229" s="293">
        <f>VLOOKUP($B229,'4、其他合同'!$D:$AK,12,0)</f>
        <v>39137986.4810001</v>
      </c>
      <c r="N229" s="293">
        <f>VLOOKUP($B229,'4、其他合同'!$D:$AK,13,0)</f>
        <v>39137986.4810001</v>
      </c>
      <c r="O229" s="290">
        <f>VLOOKUP($B229,'4、其他合同'!$D:$AK,14,0)</f>
        <v>0</v>
      </c>
      <c r="P229" s="293">
        <f>VLOOKUP($B229,'4、其他合同'!$D:$AK,15,0)</f>
        <v>0</v>
      </c>
      <c r="Q229" s="293">
        <f>VLOOKUP($B229,'4、其他合同'!$D:$AK,16,0)</f>
        <v>0</v>
      </c>
      <c r="R229" s="290">
        <f>VLOOKUP($B229,'4、其他合同'!$D:$AK,17,0)</f>
        <v>0</v>
      </c>
      <c r="S229" s="293">
        <f>VLOOKUP($B229,'4、其他合同'!$D:$AK,18,0)</f>
        <v>0</v>
      </c>
      <c r="T229" s="293">
        <f>VLOOKUP($B229,'4、其他合同'!$D:$AK,19,0)</f>
        <v>0</v>
      </c>
      <c r="U229" s="290">
        <f>VLOOKUP($B229,'4、其他合同'!$D:$AK,20,0)</f>
        <v>0</v>
      </c>
      <c r="V229" s="293">
        <f>VLOOKUP($B229,'4、其他合同'!$D:$AK,21,0)</f>
        <v>0</v>
      </c>
      <c r="W229" s="293">
        <f>VLOOKUP($B229,'4、其他合同'!$D:$AK,22,0)</f>
        <v>0</v>
      </c>
      <c r="X229" s="290">
        <f>VLOOKUP($B229,'4、其他合同'!$D:$AK,23,0)</f>
        <v>0</v>
      </c>
      <c r="Y229" s="293">
        <f>VLOOKUP($B229,'4、其他合同'!$D:$AK,24,0)</f>
        <v>0</v>
      </c>
      <c r="Z229" s="293">
        <f>VLOOKUP($B229,'4、其他合同'!$D:$AK,25,0)</f>
        <v>0</v>
      </c>
      <c r="AA229" s="290">
        <f>VLOOKUP($B229,'4、其他合同'!$D:$AK,26,0)</f>
        <v>0</v>
      </c>
      <c r="AB229" s="293">
        <f>VLOOKUP($B229,'4、其他合同'!$D:$AK,27,0)</f>
        <v>0</v>
      </c>
      <c r="AC229" s="293">
        <f>VLOOKUP($B229,'4、其他合同'!$D:$AK,28,0)</f>
        <v>0</v>
      </c>
      <c r="AD229" s="290">
        <f>VLOOKUP($B229,'4、其他合同'!$D:$AK,29,0)</f>
        <v>0</v>
      </c>
      <c r="AE229" s="293">
        <f>VLOOKUP($B229,'4、其他合同'!$D:$AK,30,0)</f>
        <v>0</v>
      </c>
      <c r="AF229" s="293">
        <f>VLOOKUP($B229,'4、其他合同'!$D:$AK,31,0)</f>
        <v>0</v>
      </c>
      <c r="AG229" s="293">
        <f>VLOOKUP($B229,'4、其他合同'!$D:$AK,32,0)</f>
        <v>0</v>
      </c>
      <c r="AH229" s="293">
        <f>VLOOKUP($B229,'4、其他合同'!$D:$AK,33,0)</f>
        <v>0</v>
      </c>
      <c r="AI229" s="312">
        <f>VLOOKUP($B229,'4、其他合同'!$D:$AK,34,0)</f>
        <v>0</v>
      </c>
      <c r="AJ229" s="309">
        <f t="shared" si="63"/>
        <v>39137986.4810001</v>
      </c>
      <c r="AK229" s="289">
        <f t="shared" si="64"/>
        <v>0</v>
      </c>
      <c r="AL229" s="310">
        <f t="shared" si="65"/>
        <v>1</v>
      </c>
      <c r="AM229" s="289">
        <f t="shared" si="66"/>
        <v>39137986.4810001</v>
      </c>
      <c r="AN229" s="311" t="str">
        <f t="shared" si="67"/>
        <v>数据正确</v>
      </c>
    </row>
    <row r="230" s="228" customFormat="1" customHeight="1" spans="1:40">
      <c r="A230" s="228" t="str">
        <f t="shared" si="62"/>
        <v/>
      </c>
      <c r="B230" s="261">
        <v>225</v>
      </c>
      <c r="C230" s="262" t="str">
        <f>VLOOKUP($B230,'2、设备合同'!$D:$AK,2,0)</f>
        <v>YRKJEQ-170073</v>
      </c>
      <c r="D230" s="263" t="str">
        <f>VLOOKUP($B230,'2、设备合同'!$D:$AK,3,0)</f>
        <v>设备合同</v>
      </c>
      <c r="E230" s="263">
        <f>VLOOKUP($B230,'2、设备合同'!$D:$AK,4,0)</f>
        <v>0</v>
      </c>
      <c r="F230" s="264">
        <f>VLOOKUP($B230,'2、设备合同'!$D:$AK,5,0)</f>
        <v>42962</v>
      </c>
      <c r="G230" s="265">
        <f>VLOOKUP($B230,'2、设备合同'!$D:$AK,6,0)</f>
        <v>1150000</v>
      </c>
      <c r="H230" s="265" t="str">
        <f>VLOOKUP($B230,'2、设备合同'!$D:$AK,7,0)</f>
        <v>电器一批</v>
      </c>
      <c r="I230" s="265" t="str">
        <f>VLOOKUP($B230,'2、设备合同'!$D:$AK,8,0)</f>
        <v>镇江默勒电器有限公司</v>
      </c>
      <c r="J230" s="286" t="str">
        <f>VLOOKUP($B230,'2、设备合同'!$D:$AK,9,0)</f>
        <v>厂前区配电所</v>
      </c>
      <c r="K230" s="287" t="str">
        <f>VLOOKUP($B230,'2、设备合同'!$D:$AK,10,0)</f>
        <v>6个月承兑汇票/电汇无说明</v>
      </c>
      <c r="L230" s="288" t="str">
        <f>VLOOKUP($B230,'2、设备合同'!$D:$AK,11,0)</f>
        <v>甲方到乙方现场确认无误后，收到17%等额专票，15个工作日内支付60%发货款。</v>
      </c>
      <c r="M230" s="289">
        <f>VLOOKUP($B230,'2、设备合同'!$D:$AK,12,0)</f>
        <v>690000</v>
      </c>
      <c r="N230" s="289">
        <f>VLOOKUP($B230,'2、设备合同'!$D:$AK,13,0)</f>
        <v>690000</v>
      </c>
      <c r="O230" s="286" t="str">
        <f>VLOOKUP($B230,'2、设备合同'!$D:$AK,14,0)</f>
        <v>甲方核定的调试合格报告及足额的发票后付30%的验收款</v>
      </c>
      <c r="P230" s="289">
        <f>VLOOKUP($B230,'2、设备合同'!$D:$AK,15,0)</f>
        <v>345000</v>
      </c>
      <c r="Q230" s="289">
        <f>VLOOKUP($B230,'2、设备合同'!$D:$AK,16,0)</f>
        <v>0</v>
      </c>
      <c r="R230" s="286" t="str">
        <f>VLOOKUP($B230,'2、设备合同'!$D:$AK,17,0)</f>
        <v>10%质保金，验收合格12个月或到货现场18个月</v>
      </c>
      <c r="S230" s="289">
        <f>VLOOKUP($B230,'2、设备合同'!$D:$AK,18,0)</f>
        <v>115000</v>
      </c>
      <c r="T230" s="289">
        <f>VLOOKUP($B230,'2、设备合同'!$D:$AK,19,0)</f>
        <v>0</v>
      </c>
      <c r="U230" s="286">
        <f>VLOOKUP($B230,'2、设备合同'!$D:$AK,20,0)</f>
        <v>0</v>
      </c>
      <c r="V230" s="289">
        <f>VLOOKUP($B230,'2、设备合同'!$D:$AK,21,0)</f>
        <v>0</v>
      </c>
      <c r="W230" s="289">
        <f>VLOOKUP($B230,'2、设备合同'!$D:$AK,22,0)</f>
        <v>0</v>
      </c>
      <c r="X230" s="286">
        <f>VLOOKUP($B230,'2、设备合同'!$D:$AK,23,0)</f>
        <v>0</v>
      </c>
      <c r="Y230" s="289">
        <f>VLOOKUP($B230,'2、设备合同'!$D:$AK,24,0)</f>
        <v>0</v>
      </c>
      <c r="Z230" s="289">
        <f>VLOOKUP($B230,'2、设备合同'!$D:$AK,25,0)</f>
        <v>0</v>
      </c>
      <c r="AA230" s="286">
        <f>VLOOKUP($B230,'2、设备合同'!$D:$AK,26,0)</f>
        <v>0</v>
      </c>
      <c r="AB230" s="289">
        <f>VLOOKUP($B230,'2、设备合同'!$D:$AK,27,0)</f>
        <v>0</v>
      </c>
      <c r="AC230" s="289">
        <f>VLOOKUP($B230,'2、设备合同'!$D:$AK,28,0)</f>
        <v>0</v>
      </c>
      <c r="AD230" s="286">
        <f>VLOOKUP($B230,'2、设备合同'!$D:$AK,29,0)</f>
        <v>0</v>
      </c>
      <c r="AE230" s="289">
        <f>VLOOKUP($B230,'2、设备合同'!$D:$AK,30,0)</f>
        <v>0</v>
      </c>
      <c r="AF230" s="289">
        <f>VLOOKUP($B230,'2、设备合同'!$D:$AK,31,0)</f>
        <v>0</v>
      </c>
      <c r="AG230" s="289">
        <f>VLOOKUP($B230,'2、设备合同'!$D:$AK,32,0)</f>
        <v>0</v>
      </c>
      <c r="AH230" s="289">
        <f>VLOOKUP($B230,'2、设备合同'!$D:$AK,33,0)</f>
        <v>0</v>
      </c>
      <c r="AI230" s="308">
        <f>VLOOKUP($B230,'2、设备合同'!$D:$AK,34,0)</f>
        <v>0</v>
      </c>
      <c r="AJ230" s="309">
        <f t="shared" si="63"/>
        <v>690000</v>
      </c>
      <c r="AK230" s="289">
        <f t="shared" si="64"/>
        <v>460000</v>
      </c>
      <c r="AL230" s="310">
        <f t="shared" si="65"/>
        <v>0.6</v>
      </c>
      <c r="AM230" s="289">
        <f t="shared" si="66"/>
        <v>1150000</v>
      </c>
      <c r="AN230" s="311" t="str">
        <f t="shared" si="67"/>
        <v>数据正确</v>
      </c>
    </row>
    <row r="231" s="228" customFormat="1" customHeight="1" spans="1:40">
      <c r="A231" s="228" t="str">
        <f t="shared" si="62"/>
        <v/>
      </c>
      <c r="B231" s="261">
        <v>226</v>
      </c>
      <c r="C231" s="262" t="str">
        <f>VLOOKUP($B231,'2、设备合同'!$D:$AK,2,0)</f>
        <v>YRKJEQ-170077</v>
      </c>
      <c r="D231" s="263" t="str">
        <f>VLOOKUP($B231,'2、设备合同'!$D:$AK,3,0)</f>
        <v>设备合同</v>
      </c>
      <c r="E231" s="263">
        <f>VLOOKUP($B231,'2、设备合同'!$D:$AK,4,0)</f>
        <v>2017060090</v>
      </c>
      <c r="F231" s="264">
        <f>VLOOKUP($B231,'2、设备合同'!$D:$AK,5,0)</f>
        <v>42962</v>
      </c>
      <c r="G231" s="265">
        <f>VLOOKUP($B231,'2、设备合同'!$D:$AK,6,0)</f>
        <v>1520000</v>
      </c>
      <c r="H231" s="265" t="str">
        <f>VLOOKUP($B231,'2、设备合同'!$D:$AK,7,0)</f>
        <v>柴油发动机</v>
      </c>
      <c r="I231" s="265" t="str">
        <f>VLOOKUP($B231,'2、设备合同'!$D:$AK,8,0)</f>
        <v>伟兴有限公司</v>
      </c>
      <c r="J231" s="286" t="str">
        <f>VLOOKUP($B231,'2、设备合同'!$D:$AK,9,0)</f>
        <v>西北区配电所</v>
      </c>
      <c r="K231" s="287" t="str">
        <f>VLOOKUP($B231,'2、设备合同'!$D:$AK,10,0)</f>
        <v>6个月承兑汇票/电汇无说明</v>
      </c>
      <c r="L231" s="288" t="str">
        <f>VLOOKUP($B231,'2、设备合同'!$D:$AK,11,0)</f>
        <v>甲方收到乙方20%的预付款保函以等额专票后15个工作日支付20%预付款  10%履约保函</v>
      </c>
      <c r="M231" s="289">
        <f>VLOOKUP($B231,'2、设备合同'!$D:$AK,12,0)</f>
        <v>304000</v>
      </c>
      <c r="N231" s="289">
        <f>VLOOKUP($B231,'2、设备合同'!$D:$AK,13,0)</f>
        <v>304000</v>
      </c>
      <c r="O231" s="286" t="str">
        <f>VLOOKUP($B231,'2、设备合同'!$D:$AK,14,0)</f>
        <v>甲方到乙方现场确认无误后，收到17%等额专票，15个工作日内支付40%发货款</v>
      </c>
      <c r="P231" s="289">
        <f>VLOOKUP($B231,'2、设备合同'!$D:$AK,15,0)</f>
        <v>608000</v>
      </c>
      <c r="Q231" s="289">
        <f>VLOOKUP($B231,'2、设备合同'!$D:$AK,16,0)</f>
        <v>0</v>
      </c>
      <c r="R231" s="286" t="str">
        <f>VLOOKUP($B231,'2、设备合同'!$D:$AK,17,0)</f>
        <v>甲方核定的调试合格报告及足额的发票后付30%的验收款</v>
      </c>
      <c r="S231" s="289">
        <f>VLOOKUP($B231,'2、设备合同'!$D:$AK,18,0)</f>
        <v>456000</v>
      </c>
      <c r="T231" s="289">
        <f>VLOOKUP($B231,'2、设备合同'!$D:$AK,19,0)</f>
        <v>0</v>
      </c>
      <c r="U231" s="286" t="str">
        <f>VLOOKUP($B231,'2、设备合同'!$D:$AK,20,0)</f>
        <v>10%质保金，验收合格12个月或到货现场18个月</v>
      </c>
      <c r="V231" s="289">
        <f>VLOOKUP($B231,'2、设备合同'!$D:$AK,21,0)</f>
        <v>152000</v>
      </c>
      <c r="W231" s="289">
        <f>VLOOKUP($B231,'2、设备合同'!$D:$AK,22,0)</f>
        <v>0</v>
      </c>
      <c r="X231" s="286">
        <f>VLOOKUP($B231,'2、设备合同'!$D:$AK,23,0)</f>
        <v>0</v>
      </c>
      <c r="Y231" s="289">
        <f>VLOOKUP($B231,'2、设备合同'!$D:$AK,24,0)</f>
        <v>0</v>
      </c>
      <c r="Z231" s="289">
        <f>VLOOKUP($B231,'2、设备合同'!$D:$AK,25,0)</f>
        <v>0</v>
      </c>
      <c r="AA231" s="286">
        <f>VLOOKUP($B231,'2、设备合同'!$D:$AK,26,0)</f>
        <v>0</v>
      </c>
      <c r="AB231" s="289">
        <f>VLOOKUP($B231,'2、设备合同'!$D:$AK,27,0)</f>
        <v>0</v>
      </c>
      <c r="AC231" s="289">
        <f>VLOOKUP($B231,'2、设备合同'!$D:$AK,28,0)</f>
        <v>0</v>
      </c>
      <c r="AD231" s="286">
        <f>VLOOKUP($B231,'2、设备合同'!$D:$AK,29,0)</f>
        <v>0</v>
      </c>
      <c r="AE231" s="289">
        <f>VLOOKUP($B231,'2、设备合同'!$D:$AK,30,0)</f>
        <v>0</v>
      </c>
      <c r="AF231" s="289">
        <f>VLOOKUP($B231,'2、设备合同'!$D:$AK,31,0)</f>
        <v>0</v>
      </c>
      <c r="AG231" s="289">
        <f>VLOOKUP($B231,'2、设备合同'!$D:$AK,32,0)</f>
        <v>0</v>
      </c>
      <c r="AH231" s="289">
        <f>VLOOKUP($B231,'2、设备合同'!$D:$AK,33,0)</f>
        <v>0</v>
      </c>
      <c r="AI231" s="308">
        <f>VLOOKUP($B231,'2、设备合同'!$D:$AK,34,0)</f>
        <v>0</v>
      </c>
      <c r="AJ231" s="309">
        <f t="shared" si="63"/>
        <v>304000</v>
      </c>
      <c r="AK231" s="289">
        <f t="shared" si="64"/>
        <v>1216000</v>
      </c>
      <c r="AL231" s="310">
        <f t="shared" si="65"/>
        <v>0.2</v>
      </c>
      <c r="AM231" s="289">
        <f t="shared" si="66"/>
        <v>1520000</v>
      </c>
      <c r="AN231" s="311" t="str">
        <f t="shared" si="67"/>
        <v>数据正确</v>
      </c>
    </row>
    <row r="232" s="228" customFormat="1" customHeight="1" spans="1:40">
      <c r="A232" s="228" t="str">
        <f t="shared" si="62"/>
        <v/>
      </c>
      <c r="B232" s="261">
        <v>227</v>
      </c>
      <c r="C232" s="262" t="str">
        <f>VLOOKUP($B232,'2、设备合同'!$D:$AK,2,0)</f>
        <v>YRKJEQ-170080</v>
      </c>
      <c r="D232" s="263" t="str">
        <f>VLOOKUP($B232,'2、设备合同'!$D:$AK,3,0)</f>
        <v>设备合同</v>
      </c>
      <c r="E232" s="263">
        <f>VLOOKUP($B232,'2、设备合同'!$D:$AK,4,0)</f>
        <v>0</v>
      </c>
      <c r="F232" s="264">
        <f>VLOOKUP($B232,'2、设备合同'!$D:$AK,5,0)</f>
        <v>42966</v>
      </c>
      <c r="G232" s="265">
        <f>VLOOKUP($B232,'2、设备合同'!$D:$AK,6,0)</f>
        <v>350000</v>
      </c>
      <c r="H232" s="265" t="str">
        <f>VLOOKUP($B232,'2、设备合同'!$D:$AK,7,0)</f>
        <v>桥架一批</v>
      </c>
      <c r="I232" s="265" t="str">
        <f>VLOOKUP($B232,'2、设备合同'!$D:$AK,8,0)</f>
        <v>安徽天彩电缆集团有限公司</v>
      </c>
      <c r="J232" s="286">
        <f>VLOOKUP($B232,'2、设备合同'!$D:$AK,9,0)</f>
        <v>0</v>
      </c>
      <c r="K232" s="287" t="str">
        <f>VLOOKUP($B232,'2、设备合同'!$D:$AK,10,0)</f>
        <v>无说明</v>
      </c>
      <c r="L232" s="288" t="str">
        <f>VLOOKUP($B232,'2、设备合同'!$D:$AK,11,0)</f>
        <v>甲方全部收到货物，经验收合格，收到等额专票15个工作日支付80%货款</v>
      </c>
      <c r="M232" s="289">
        <f>VLOOKUP($B232,'2、设备合同'!$D:$AK,12,0)</f>
        <v>280000</v>
      </c>
      <c r="N232" s="289">
        <f>VLOOKUP($B232,'2、设备合同'!$D:$AK,13,0)</f>
        <v>0</v>
      </c>
      <c r="O232" s="286" t="str">
        <f>VLOOKUP($B232,'2、设备合同'!$D:$AK,14,0)</f>
        <v>安装完毕，验收合格，收到足额的专票后支付10%调试款</v>
      </c>
      <c r="P232" s="289">
        <f>VLOOKUP($B232,'2、设备合同'!$D:$AK,15,0)</f>
        <v>35000</v>
      </c>
      <c r="Q232" s="289">
        <f>VLOOKUP($B232,'2、设备合同'!$D:$AK,16,0)</f>
        <v>0</v>
      </c>
      <c r="R232" s="286" t="str">
        <f>VLOOKUP($B232,'2、设备合同'!$D:$AK,17,0)</f>
        <v>10%质保金，验收合格12个月或到货现场18个月</v>
      </c>
      <c r="S232" s="289">
        <f>VLOOKUP($B232,'2、设备合同'!$D:$AK,18,0)</f>
        <v>35000</v>
      </c>
      <c r="T232" s="289">
        <f>VLOOKUP($B232,'2、设备合同'!$D:$AK,19,0)</f>
        <v>0</v>
      </c>
      <c r="U232" s="286">
        <f>VLOOKUP($B232,'2、设备合同'!$D:$AK,20,0)</f>
        <v>0</v>
      </c>
      <c r="V232" s="289">
        <f>VLOOKUP($B232,'2、设备合同'!$D:$AK,21,0)</f>
        <v>0</v>
      </c>
      <c r="W232" s="289">
        <f>VLOOKUP($B232,'2、设备合同'!$D:$AK,22,0)</f>
        <v>0</v>
      </c>
      <c r="X232" s="286">
        <f>VLOOKUP($B232,'2、设备合同'!$D:$AK,23,0)</f>
        <v>0</v>
      </c>
      <c r="Y232" s="289">
        <f>VLOOKUP($B232,'2、设备合同'!$D:$AK,24,0)</f>
        <v>0</v>
      </c>
      <c r="Z232" s="289">
        <f>VLOOKUP($B232,'2、设备合同'!$D:$AK,25,0)</f>
        <v>0</v>
      </c>
      <c r="AA232" s="286">
        <f>VLOOKUP($B232,'2、设备合同'!$D:$AK,26,0)</f>
        <v>0</v>
      </c>
      <c r="AB232" s="289">
        <f>VLOOKUP($B232,'2、设备合同'!$D:$AK,27,0)</f>
        <v>0</v>
      </c>
      <c r="AC232" s="289">
        <f>VLOOKUP($B232,'2、设备合同'!$D:$AK,28,0)</f>
        <v>0</v>
      </c>
      <c r="AD232" s="286">
        <f>VLOOKUP($B232,'2、设备合同'!$D:$AK,29,0)</f>
        <v>0</v>
      </c>
      <c r="AE232" s="289">
        <f>VLOOKUP($B232,'2、设备合同'!$D:$AK,30,0)</f>
        <v>0</v>
      </c>
      <c r="AF232" s="289">
        <f>VLOOKUP($B232,'2、设备合同'!$D:$AK,31,0)</f>
        <v>0</v>
      </c>
      <c r="AG232" s="289">
        <f>VLOOKUP($B232,'2、设备合同'!$D:$AK,32,0)</f>
        <v>0</v>
      </c>
      <c r="AH232" s="289">
        <f>VLOOKUP($B232,'2、设备合同'!$D:$AK,33,0)</f>
        <v>0</v>
      </c>
      <c r="AI232" s="308">
        <f>VLOOKUP($B232,'2、设备合同'!$D:$AK,34,0)</f>
        <v>0</v>
      </c>
      <c r="AJ232" s="309">
        <f t="shared" si="63"/>
        <v>0</v>
      </c>
      <c r="AK232" s="289">
        <f t="shared" si="64"/>
        <v>350000</v>
      </c>
      <c r="AL232" s="310">
        <f t="shared" si="65"/>
        <v>0</v>
      </c>
      <c r="AM232" s="289">
        <f t="shared" si="66"/>
        <v>350000</v>
      </c>
      <c r="AN232" s="311" t="str">
        <f t="shared" si="67"/>
        <v>数据正确</v>
      </c>
    </row>
    <row r="233" s="228" customFormat="1" customHeight="1" spans="1:40">
      <c r="A233" s="228" t="str">
        <f t="shared" ref="A233:A254" si="68">IF(AL233=100%,"已完毕","")</f>
        <v/>
      </c>
      <c r="B233" s="261">
        <v>228</v>
      </c>
      <c r="C233" s="266" t="str">
        <f>VLOOKUP($B233,'3、工程合同'!$D:$AL,2,0)</f>
        <v>YRKJGC-170052</v>
      </c>
      <c r="D233" s="267" t="str">
        <f>VLOOKUP($B233,'3、工程合同'!$D:$AL,3,0)</f>
        <v>工程合同</v>
      </c>
      <c r="E233" s="267">
        <f>VLOOKUP($B233,'3、工程合同'!$D:$AL,4,0)</f>
        <v>0</v>
      </c>
      <c r="F233" s="268">
        <f>VLOOKUP($B233,'3、工程合同'!$D:$AL,5,0)</f>
        <v>42980</v>
      </c>
      <c r="G233" s="269">
        <f>VLOOKUP($B233,'3、工程合同'!$D:$AL,6,0)</f>
        <v>32880.96</v>
      </c>
      <c r="H233" s="269" t="str">
        <f>VLOOKUP($B233,'3、工程合同'!$D:$AL,7,0)</f>
        <v>阻燃交联屏蔽控制电缆-A级阻燃</v>
      </c>
      <c r="I233" s="269" t="str">
        <f>VLOOKUP($B233,'3、工程合同'!$D:$AL,8,0)</f>
        <v>安徽天彩电缆集团有限公司</v>
      </c>
      <c r="J233" s="290">
        <f>VLOOKUP($B233,'3、工程合同'!$D:$AL,9,0)</f>
        <v>0</v>
      </c>
      <c r="K233" s="291" t="str">
        <f>VLOOKUP($B233,'3、工程合同'!$D:$AL,10,0)</f>
        <v>电汇</v>
      </c>
      <c r="L233" s="292" t="str">
        <f>VLOOKUP($B233,'3、工程合同'!$D:$AL,11,0)</f>
        <v>甲方验收合格后，收到100%的增值税发票后支付合同100%的价款</v>
      </c>
      <c r="M233" s="293">
        <f>VLOOKUP($B233,'3、工程合同'!$D:$AL,12,0)</f>
        <v>32880.96</v>
      </c>
      <c r="N233" s="293">
        <f>VLOOKUP($B233,'3、工程合同'!$D:$AL,13,0)</f>
        <v>0</v>
      </c>
      <c r="O233" s="290">
        <f>VLOOKUP($B233,'3、工程合同'!$D:$AL,14,0)</f>
        <v>0</v>
      </c>
      <c r="P233" s="293">
        <f>VLOOKUP($B233,'3、工程合同'!$D:$AL,15,0)</f>
        <v>0</v>
      </c>
      <c r="Q233" s="293">
        <f>VLOOKUP($B233,'3、工程合同'!$D:$AL,16,0)</f>
        <v>0</v>
      </c>
      <c r="R233" s="290">
        <f>VLOOKUP($B233,'3、工程合同'!$D:$AL,17,0)</f>
        <v>0</v>
      </c>
      <c r="S233" s="293">
        <f>VLOOKUP($B233,'3、工程合同'!$D:$AL,18,0)</f>
        <v>0</v>
      </c>
      <c r="T233" s="293">
        <f>VLOOKUP($B233,'3、工程合同'!$D:$AL,19,0)</f>
        <v>0</v>
      </c>
      <c r="U233" s="290">
        <f>VLOOKUP($B233,'3、工程合同'!$D:$AL,20,0)</f>
        <v>0</v>
      </c>
      <c r="V233" s="293">
        <f>VLOOKUP($B233,'3、工程合同'!$D:$AL,21,0)</f>
        <v>0</v>
      </c>
      <c r="W233" s="293">
        <f>VLOOKUP($B233,'3、工程合同'!$D:$AL,22,0)</f>
        <v>0</v>
      </c>
      <c r="X233" s="290">
        <f>VLOOKUP($B233,'3、工程合同'!$D:$AL,23,0)</f>
        <v>0</v>
      </c>
      <c r="Y233" s="293">
        <f>VLOOKUP($B233,'3、工程合同'!$D:$AL,24,0)</f>
        <v>0</v>
      </c>
      <c r="Z233" s="293">
        <f>VLOOKUP($B233,'3、工程合同'!$D:$AL,25,0)</f>
        <v>0</v>
      </c>
      <c r="AA233" s="290">
        <f>VLOOKUP($B233,'3、工程合同'!$D:$AL,26,0)</f>
        <v>0</v>
      </c>
      <c r="AB233" s="293">
        <f>VLOOKUP($B233,'3、工程合同'!$D:$AL,27,0)</f>
        <v>0</v>
      </c>
      <c r="AC233" s="293">
        <f>VLOOKUP($B233,'3、工程合同'!$D:$AL,28,0)</f>
        <v>0</v>
      </c>
      <c r="AD233" s="290">
        <f>VLOOKUP($B233,'3、工程合同'!$D:$AL,29,0)</f>
        <v>0</v>
      </c>
      <c r="AE233" s="293">
        <f>VLOOKUP($B233,'3、工程合同'!$D:$AL,30,0)</f>
        <v>0</v>
      </c>
      <c r="AF233" s="293">
        <f>VLOOKUP($B233,'3、工程合同'!$D:$AL,31,0)</f>
        <v>0</v>
      </c>
      <c r="AG233" s="293">
        <f>VLOOKUP($B233,'3、工程合同'!$D:$AL,32,0)</f>
        <v>0</v>
      </c>
      <c r="AH233" s="293">
        <f>VLOOKUP($B233,'3、工程合同'!$D:$AL,33,0)</f>
        <v>0</v>
      </c>
      <c r="AI233" s="312">
        <f>VLOOKUP($B233,'3、工程合同'!$D:$AL,34,0)</f>
        <v>0</v>
      </c>
      <c r="AJ233" s="309">
        <f t="shared" si="63"/>
        <v>0</v>
      </c>
      <c r="AK233" s="289">
        <f t="shared" si="64"/>
        <v>32880.96</v>
      </c>
      <c r="AL233" s="310">
        <f t="shared" si="65"/>
        <v>0</v>
      </c>
      <c r="AM233" s="289">
        <f t="shared" si="66"/>
        <v>32880.96</v>
      </c>
      <c r="AN233" s="311" t="str">
        <f t="shared" si="67"/>
        <v>数据正确</v>
      </c>
    </row>
    <row r="234" s="228" customFormat="1" customHeight="1" spans="1:40">
      <c r="A234" s="228" t="str">
        <f t="shared" si="68"/>
        <v/>
      </c>
      <c r="B234" s="261">
        <v>229</v>
      </c>
      <c r="C234" s="266" t="str">
        <f>VLOOKUP($B234,'3、工程合同'!$D:$AL,2,0)</f>
        <v>YRKJ-2017GC-SGHT010</v>
      </c>
      <c r="D234" s="267" t="str">
        <f>VLOOKUP($B234,'3、工程合同'!$D:$AL,3,0)</f>
        <v>工程合同</v>
      </c>
      <c r="E234" s="267">
        <f>VLOOKUP($B234,'3、工程合同'!$D:$AL,4,0)</f>
        <v>0</v>
      </c>
      <c r="F234" s="268">
        <f>VLOOKUP($B234,'3、工程合同'!$D:$AL,5,0)</f>
        <v>42916</v>
      </c>
      <c r="G234" s="269">
        <f>VLOOKUP($B234,'3、工程合同'!$D:$AL,6,0)</f>
        <v>1420000</v>
      </c>
      <c r="H234" s="269" t="str">
        <f>VLOOKUP($B234,'3、工程合同'!$D:$AL,7,0)</f>
        <v>临时库房工程</v>
      </c>
      <c r="I234" s="269" t="str">
        <f>VLOOKUP($B234,'3、工程合同'!$D:$AL,8,0)</f>
        <v>中鑫建设集团有限公司</v>
      </c>
      <c r="J234" s="290" t="str">
        <f>VLOOKUP($B234,'3、工程合同'!$D:$AL,9,0)</f>
        <v>临时设施费</v>
      </c>
      <c r="K234" s="291" t="str">
        <f>VLOOKUP($B234,'3、工程合同'!$D:$AL,10,0)</f>
        <v>无说明</v>
      </c>
      <c r="L234" s="292" t="str">
        <f>VLOOKUP($B234,'3、工程合同'!$D:$AL,11,0)</f>
        <v>承包人按图纸或甲方要求施工完成，工程竣工验收合格交付甲方使用后支付工程款90%</v>
      </c>
      <c r="M234" s="293">
        <f>VLOOKUP($B234,'3、工程合同'!$D:$AL,12,0)</f>
        <v>1278000</v>
      </c>
      <c r="N234" s="293">
        <f>VLOOKUP($B234,'3、工程合同'!$D:$AL,13,0)</f>
        <v>0</v>
      </c>
      <c r="O234" s="290" t="str">
        <f>VLOOKUP($B234,'3、工程合同'!$D:$AL,14,0)</f>
        <v>10%质保金，自验收合格，满12月或货到现场18个月支付</v>
      </c>
      <c r="P234" s="293">
        <f>VLOOKUP($B234,'3、工程合同'!$D:$AL,15,0)</f>
        <v>142000</v>
      </c>
      <c r="Q234" s="293">
        <f>VLOOKUP($B234,'3、工程合同'!$D:$AL,16,0)</f>
        <v>0</v>
      </c>
      <c r="R234" s="290">
        <f>VLOOKUP($B234,'3、工程合同'!$D:$AL,17,0)</f>
        <v>0</v>
      </c>
      <c r="S234" s="293">
        <f>VLOOKUP($B234,'3、工程合同'!$D:$AL,18,0)</f>
        <v>0</v>
      </c>
      <c r="T234" s="293">
        <f>VLOOKUP($B234,'3、工程合同'!$D:$AL,19,0)</f>
        <v>0</v>
      </c>
      <c r="U234" s="290">
        <f>VLOOKUP($B234,'3、工程合同'!$D:$AL,20,0)</f>
        <v>0</v>
      </c>
      <c r="V234" s="293">
        <f>VLOOKUP($B234,'3、工程合同'!$D:$AL,21,0)</f>
        <v>0</v>
      </c>
      <c r="W234" s="293">
        <f>VLOOKUP($B234,'3、工程合同'!$D:$AL,22,0)</f>
        <v>0</v>
      </c>
      <c r="X234" s="290">
        <f>VLOOKUP($B234,'3、工程合同'!$D:$AL,23,0)</f>
        <v>0</v>
      </c>
      <c r="Y234" s="293">
        <f>VLOOKUP($B234,'3、工程合同'!$D:$AL,24,0)</f>
        <v>0</v>
      </c>
      <c r="Z234" s="293">
        <f>VLOOKUP($B234,'3、工程合同'!$D:$AL,25,0)</f>
        <v>0</v>
      </c>
      <c r="AA234" s="290">
        <f>VLOOKUP($B234,'3、工程合同'!$D:$AL,26,0)</f>
        <v>0</v>
      </c>
      <c r="AB234" s="293">
        <f>VLOOKUP($B234,'3、工程合同'!$D:$AL,27,0)</f>
        <v>0</v>
      </c>
      <c r="AC234" s="293">
        <f>VLOOKUP($B234,'3、工程合同'!$D:$AL,28,0)</f>
        <v>0</v>
      </c>
      <c r="AD234" s="290">
        <f>VLOOKUP($B234,'3、工程合同'!$D:$AL,29,0)</f>
        <v>0</v>
      </c>
      <c r="AE234" s="293">
        <f>VLOOKUP($B234,'3、工程合同'!$D:$AL,30,0)</f>
        <v>0</v>
      </c>
      <c r="AF234" s="293">
        <f>VLOOKUP($B234,'3、工程合同'!$D:$AL,31,0)</f>
        <v>0</v>
      </c>
      <c r="AG234" s="293">
        <f>VLOOKUP($B234,'3、工程合同'!$D:$AL,32,0)</f>
        <v>0</v>
      </c>
      <c r="AH234" s="293">
        <f>VLOOKUP($B234,'3、工程合同'!$D:$AL,33,0)</f>
        <v>0</v>
      </c>
      <c r="AI234" s="312">
        <f>VLOOKUP($B234,'3、工程合同'!$D:$AL,34,0)</f>
        <v>0</v>
      </c>
      <c r="AJ234" s="309">
        <f t="shared" si="63"/>
        <v>0</v>
      </c>
      <c r="AK234" s="289">
        <f t="shared" si="64"/>
        <v>1420000</v>
      </c>
      <c r="AL234" s="310">
        <f t="shared" si="65"/>
        <v>0</v>
      </c>
      <c r="AM234" s="289">
        <f t="shared" si="66"/>
        <v>1420000</v>
      </c>
      <c r="AN234" s="311" t="str">
        <f t="shared" si="67"/>
        <v>数据正确</v>
      </c>
    </row>
    <row r="235" s="228" customFormat="1" customHeight="1" spans="1:40">
      <c r="A235" s="228" t="str">
        <f t="shared" si="68"/>
        <v/>
      </c>
      <c r="B235" s="261">
        <v>230</v>
      </c>
      <c r="C235" s="266" t="str">
        <f>VLOOKUP($B235,'3、工程合同'!$D:$AL,2,0)</f>
        <v>-</v>
      </c>
      <c r="D235" s="267" t="str">
        <f>VLOOKUP($B235,'3、工程合同'!$D:$AL,3,0)</f>
        <v>工程合同</v>
      </c>
      <c r="E235" s="267" t="str">
        <f>VLOOKUP($B235,'3、工程合同'!$D:$AL,4,0)</f>
        <v>-</v>
      </c>
      <c r="F235" s="268">
        <f>VLOOKUP($B235,'3、工程合同'!$D:$AL,5,0)</f>
        <v>42981</v>
      </c>
      <c r="G235" s="269">
        <f>VLOOKUP($B235,'3、工程合同'!$D:$AL,6,0)</f>
        <v>9073152.63</v>
      </c>
      <c r="H235" s="269" t="str">
        <f>VLOOKUP($B235,'3、工程合同'!$D:$AL,7,0)</f>
        <v>不锈钢板</v>
      </c>
      <c r="I235" s="269" t="str">
        <f>VLOOKUP($B235,'3、工程合同'!$D:$AL,8,0)</f>
        <v>江苏大明金属制品有限公司</v>
      </c>
      <c r="J235" s="290">
        <f>VLOOKUP($B235,'3、工程合同'!$D:$AL,9,0)</f>
        <v>0</v>
      </c>
      <c r="K235" s="291" t="str">
        <f>VLOOKUP($B235,'3、工程合同'!$D:$AL,10,0)</f>
        <v>无说明</v>
      </c>
      <c r="L235" s="292" t="str">
        <f>VLOOKUP($B235,'3、工程合同'!$D:$AL,11,0)</f>
        <v>甲方收到20%履约保函和收据，7个工作日支付20%预付款</v>
      </c>
      <c r="M235" s="293">
        <f>VLOOKUP($B235,'3、工程合同'!$D:$AL,12,0)</f>
        <v>1814630.526</v>
      </c>
      <c r="N235" s="293">
        <f>VLOOKUP($B235,'3、工程合同'!$D:$AL,13,0)</f>
        <v>1814630.53</v>
      </c>
      <c r="O235" s="290" t="str">
        <f>VLOOKUP($B235,'3、工程合同'!$D:$AL,14,0)</f>
        <v>甲方去乙方工厂验收，完成后，5个工作日支付60%发货款，开具全额发票</v>
      </c>
      <c r="P235" s="293">
        <f>VLOOKUP($B235,'3、工程合同'!$D:$AL,15,0)</f>
        <v>5443891.578</v>
      </c>
      <c r="Q235" s="293">
        <f>VLOOKUP($B235,'3、工程合同'!$D:$AL,16,0)</f>
        <v>5443891.58</v>
      </c>
      <c r="R235" s="290" t="str">
        <f>VLOOKUP($B235,'3、工程合同'!$D:$AL,17,0)</f>
        <v>货到现场，甲方5个工作日内验收合格支付15%验收款</v>
      </c>
      <c r="S235" s="293">
        <f>VLOOKUP($B235,'3、工程合同'!$D:$AL,18,0)</f>
        <v>1360972.8945</v>
      </c>
      <c r="T235" s="293">
        <f>VLOOKUP($B235,'3、工程合同'!$D:$AL,19,0)</f>
        <v>0</v>
      </c>
      <c r="U235" s="290" t="str">
        <f>VLOOKUP($B235,'3、工程合同'!$D:$AL,20,0)</f>
        <v>5%质量保证金</v>
      </c>
      <c r="V235" s="293">
        <f>VLOOKUP($B235,'3、工程合同'!$D:$AL,21,0)</f>
        <v>453657.6315</v>
      </c>
      <c r="W235" s="293">
        <f>VLOOKUP($B235,'3、工程合同'!$D:$AL,22,0)</f>
        <v>0</v>
      </c>
      <c r="X235" s="290" t="str">
        <f>VLOOKUP($B235,'3、工程合同'!$D:$AL,23,0)</f>
        <v>-</v>
      </c>
      <c r="Y235" s="293">
        <f>VLOOKUP($B235,'3、工程合同'!$D:$AL,24,0)</f>
        <v>0</v>
      </c>
      <c r="Z235" s="293">
        <f>VLOOKUP($B235,'3、工程合同'!$D:$AL,25,0)</f>
        <v>0</v>
      </c>
      <c r="AA235" s="290" t="str">
        <f>VLOOKUP($B235,'3、工程合同'!$D:$AL,26,0)</f>
        <v>-</v>
      </c>
      <c r="AB235" s="293">
        <f>VLOOKUP($B235,'3、工程合同'!$D:$AL,27,0)</f>
        <v>0</v>
      </c>
      <c r="AC235" s="293">
        <f>VLOOKUP($B235,'3、工程合同'!$D:$AL,28,0)</f>
        <v>0</v>
      </c>
      <c r="AD235" s="290" t="str">
        <f>VLOOKUP($B235,'3、工程合同'!$D:$AL,29,0)</f>
        <v>-</v>
      </c>
      <c r="AE235" s="293">
        <f>VLOOKUP($B235,'3、工程合同'!$D:$AL,30,0)</f>
        <v>0</v>
      </c>
      <c r="AF235" s="293">
        <f>VLOOKUP($B235,'3、工程合同'!$D:$AL,31,0)</f>
        <v>0</v>
      </c>
      <c r="AG235" s="293" t="str">
        <f>VLOOKUP($B235,'3、工程合同'!$D:$AL,32,0)</f>
        <v>-</v>
      </c>
      <c r="AH235" s="293">
        <f>VLOOKUP($B235,'3、工程合同'!$D:$AL,33,0)</f>
        <v>0</v>
      </c>
      <c r="AI235" s="312">
        <f>VLOOKUP($B235,'3、工程合同'!$D:$AL,34,0)</f>
        <v>0</v>
      </c>
      <c r="AJ235" s="309">
        <f t="shared" si="63"/>
        <v>7258522.11</v>
      </c>
      <c r="AK235" s="289">
        <f t="shared" si="64"/>
        <v>1814630.52</v>
      </c>
      <c r="AL235" s="310">
        <f t="shared" si="65"/>
        <v>0.800000000661292</v>
      </c>
      <c r="AM235" s="289">
        <f t="shared" si="66"/>
        <v>9073152.63</v>
      </c>
      <c r="AN235" s="311" t="str">
        <f t="shared" si="67"/>
        <v>数据正确</v>
      </c>
    </row>
    <row r="236" s="228" customFormat="1" customHeight="1" spans="1:40">
      <c r="A236" s="228" t="str">
        <f t="shared" si="68"/>
        <v/>
      </c>
      <c r="B236" s="261">
        <v>231</v>
      </c>
      <c r="C236" s="266" t="str">
        <f>VLOOKUP($B236,'3、工程合同'!$D:$AL,2,0)</f>
        <v>YRKJGC-170043</v>
      </c>
      <c r="D236" s="267" t="str">
        <f>VLOOKUP($B236,'3、工程合同'!$D:$AL,3,0)</f>
        <v>工程合同</v>
      </c>
      <c r="E236" s="267">
        <f>VLOOKUP($B236,'3、工程合同'!$D:$AL,4,0)</f>
        <v>0</v>
      </c>
      <c r="F236" s="268">
        <f>VLOOKUP($B236,'3、工程合同'!$D:$AL,5,0)</f>
        <v>42962</v>
      </c>
      <c r="G236" s="269">
        <f>VLOOKUP($B236,'3、工程合同'!$D:$AL,6,0)</f>
        <v>1750000</v>
      </c>
      <c r="H236" s="269" t="str">
        <f>VLOOKUP($B236,'3、工程合同'!$D:$AL,7,0)</f>
        <v>哈氏合金材料一批</v>
      </c>
      <c r="I236" s="269" t="str">
        <f>VLOOKUP($B236,'3、工程合同'!$D:$AL,8,0)</f>
        <v>上海一郎合金材料有限公司</v>
      </c>
      <c r="J236" s="290" t="str">
        <f>VLOOKUP($B236,'3、工程合同'!$D:$AL,9,0)</f>
        <v>环己酮装置</v>
      </c>
      <c r="K236" s="291" t="str">
        <f>VLOOKUP($B236,'3、工程合同'!$D:$AL,10,0)</f>
        <v>电汇</v>
      </c>
      <c r="L236" s="292" t="str">
        <f>VLOOKUP($B236,'3、工程合同'!$D:$AL,11,0)</f>
        <v>甲方收到10%履约保函和等额发票，15个工作日支付20%预付款</v>
      </c>
      <c r="M236" s="293">
        <f>VLOOKUP($B236,'3、工程合同'!$D:$AL,12,0)</f>
        <v>350000</v>
      </c>
      <c r="N236" s="293">
        <f>VLOOKUP($B236,'3、工程合同'!$D:$AL,13,0)</f>
        <v>350000</v>
      </c>
      <c r="O236" s="290" t="str">
        <f>VLOOKUP($B236,'3、工程合同'!$D:$AL,14,0)</f>
        <v>甲方去乙方工厂验收，完成后，5个工作日支付60%发货款，开具等额发票</v>
      </c>
      <c r="P236" s="293">
        <f>VLOOKUP($B236,'3、工程合同'!$D:$AL,15,0)</f>
        <v>1050000</v>
      </c>
      <c r="Q236" s="293">
        <f>VLOOKUP($B236,'3、工程合同'!$D:$AL,16,0)</f>
        <v>0</v>
      </c>
      <c r="R236" s="290" t="str">
        <f>VLOOKUP($B236,'3、工程合同'!$D:$AL,17,0)</f>
        <v>甲方经核定调试合格报告及本合同的足额发票后15个工作日支付10%调试款</v>
      </c>
      <c r="S236" s="293">
        <f>VLOOKUP($B236,'3、工程合同'!$D:$AL,18,0)</f>
        <v>175000</v>
      </c>
      <c r="T236" s="293">
        <f>VLOOKUP($B236,'3、工程合同'!$D:$AL,19,0)</f>
        <v>0</v>
      </c>
      <c r="U236" s="290" t="str">
        <f>VLOOKUP($B236,'3、工程合同'!$D:$AL,20,0)</f>
        <v>10%质量保证金</v>
      </c>
      <c r="V236" s="293">
        <f>VLOOKUP($B236,'3、工程合同'!$D:$AL,21,0)</f>
        <v>175000</v>
      </c>
      <c r="W236" s="293">
        <f>VLOOKUP($B236,'3、工程合同'!$D:$AL,22,0)</f>
        <v>0</v>
      </c>
      <c r="X236" s="290">
        <f>VLOOKUP($B236,'3、工程合同'!$D:$AL,23,0)</f>
        <v>0</v>
      </c>
      <c r="Y236" s="293">
        <f>VLOOKUP($B236,'3、工程合同'!$D:$AL,24,0)</f>
        <v>0</v>
      </c>
      <c r="Z236" s="293">
        <f>VLOOKUP($B236,'3、工程合同'!$D:$AL,25,0)</f>
        <v>0</v>
      </c>
      <c r="AA236" s="290">
        <f>VLOOKUP($B236,'3、工程合同'!$D:$AL,26,0)</f>
        <v>0</v>
      </c>
      <c r="AB236" s="293">
        <f>VLOOKUP($B236,'3、工程合同'!$D:$AL,27,0)</f>
        <v>0</v>
      </c>
      <c r="AC236" s="293">
        <f>VLOOKUP($B236,'3、工程合同'!$D:$AL,28,0)</f>
        <v>0</v>
      </c>
      <c r="AD236" s="290">
        <f>VLOOKUP($B236,'3、工程合同'!$D:$AL,29,0)</f>
        <v>0</v>
      </c>
      <c r="AE236" s="293">
        <f>VLOOKUP($B236,'3、工程合同'!$D:$AL,30,0)</f>
        <v>0</v>
      </c>
      <c r="AF236" s="293">
        <f>VLOOKUP($B236,'3、工程合同'!$D:$AL,31,0)</f>
        <v>0</v>
      </c>
      <c r="AG236" s="293">
        <f>VLOOKUP($B236,'3、工程合同'!$D:$AL,32,0)</f>
        <v>0</v>
      </c>
      <c r="AH236" s="293">
        <f>VLOOKUP($B236,'3、工程合同'!$D:$AL,33,0)</f>
        <v>0</v>
      </c>
      <c r="AI236" s="312">
        <f>VLOOKUP($B236,'3、工程合同'!$D:$AL,34,0)</f>
        <v>0</v>
      </c>
      <c r="AJ236" s="309">
        <f t="shared" si="63"/>
        <v>350000</v>
      </c>
      <c r="AK236" s="289">
        <f t="shared" si="64"/>
        <v>1400000</v>
      </c>
      <c r="AL236" s="310">
        <f t="shared" si="65"/>
        <v>0.2</v>
      </c>
      <c r="AM236" s="289">
        <f t="shared" si="66"/>
        <v>1750000</v>
      </c>
      <c r="AN236" s="311" t="str">
        <f t="shared" si="67"/>
        <v>数据正确</v>
      </c>
    </row>
    <row r="237" customHeight="1" spans="1:40">
      <c r="A237" s="228" t="str">
        <f t="shared" si="68"/>
        <v/>
      </c>
      <c r="B237" s="261">
        <v>232</v>
      </c>
      <c r="C237" s="262" t="str">
        <f>VLOOKUP($B237,'2、设备合同'!$D:$AK,2,0)</f>
        <v>YRKJEQ-170089</v>
      </c>
      <c r="D237" s="263" t="str">
        <f>VLOOKUP($B237,'2、设备合同'!$D:$AK,3,0)</f>
        <v>设备合同</v>
      </c>
      <c r="E237" s="263">
        <f>VLOOKUP($B237,'2、设备合同'!$D:$AK,4,0)</f>
        <v>2017070075</v>
      </c>
      <c r="F237" s="264">
        <f>VLOOKUP($B237,'2、设备合同'!$D:$AK,5,0)</f>
        <v>42982</v>
      </c>
      <c r="G237" s="265">
        <f>VLOOKUP($B237,'2、设备合同'!$D:$AK,6,0)</f>
        <v>22300000</v>
      </c>
      <c r="H237" s="265" t="str">
        <f>VLOOKUP($B237,'2、设备合同'!$D:$AK,7,0)</f>
        <v>环己酮肟化装置非标包2(29台）</v>
      </c>
      <c r="I237" s="265" t="str">
        <f>VLOOKUP($B237,'2、设备合同'!$D:$AK,8,0)</f>
        <v>浙江诚泰化工机械有限公司</v>
      </c>
      <c r="J237" s="286" t="str">
        <f>VLOOKUP($B237,'2、设备合同'!$D:$AK,9,0)</f>
        <v>环己酮、己内酰胺、氨肟化</v>
      </c>
      <c r="K237" s="287" t="str">
        <f>VLOOKUP($B237,'2、设备合同'!$D:$AK,10,0)</f>
        <v>6个月承兑汇票/电汇下浮1.5%</v>
      </c>
      <c r="L237" s="288" t="str">
        <f>VLOOKUP($B237,'2、设备合同'!$D:$AK,11,0)</f>
        <v>甲方收到乙方20%的预付款保函以及本合同的10%履约保函后15个工作日支付20%预付款</v>
      </c>
      <c r="M237" s="289">
        <f>VLOOKUP($B237,'2、设备合同'!$D:$AK,12,0)</f>
        <v>4460000</v>
      </c>
      <c r="N237" s="289">
        <f>VLOOKUP($B237,'2、设备合同'!$D:$AK,13,0)</f>
        <v>4460000</v>
      </c>
      <c r="O237" s="286" t="str">
        <f>VLOOKUP($B237,'2、设备合同'!$D:$AK,14,0)</f>
        <v>甲方到乙方现场确认无误后，收到17%等额专票，15个工作日内支付60%发货款</v>
      </c>
      <c r="P237" s="289">
        <f>VLOOKUP($B237,'2、设备合同'!$D:$AK,15,0)</f>
        <v>13380000</v>
      </c>
      <c r="Q237" s="289">
        <f>VLOOKUP($B237,'2、设备合同'!$D:$AK,16,0)</f>
        <v>0</v>
      </c>
      <c r="R237" s="286" t="str">
        <f>VLOOKUP($B237,'2、设备合同'!$D:$AK,17,0)</f>
        <v>甲方核定的调试合格报告及足额的发票后付10%的验收款</v>
      </c>
      <c r="S237" s="289">
        <f>VLOOKUP($B237,'2、设备合同'!$D:$AK,18,0)</f>
        <v>2230000</v>
      </c>
      <c r="T237" s="289">
        <f>VLOOKUP($B237,'2、设备合同'!$D:$AK,19,0)</f>
        <v>0</v>
      </c>
      <c r="U237" s="286" t="str">
        <f>VLOOKUP($B237,'2、设备合同'!$D:$AK,20,0)</f>
        <v>10%质保金，验收合格12个月或到货现场18个月</v>
      </c>
      <c r="V237" s="289">
        <f>VLOOKUP($B237,'2、设备合同'!$D:$AK,21,0)</f>
        <v>2230000</v>
      </c>
      <c r="W237" s="289">
        <f>VLOOKUP($B237,'2、设备合同'!$D:$AK,22,0)</f>
        <v>0</v>
      </c>
      <c r="X237" s="286">
        <f>VLOOKUP($B237,'2、设备合同'!$D:$AK,23,0)</f>
        <v>0</v>
      </c>
      <c r="Y237" s="289">
        <f>VLOOKUP($B237,'2、设备合同'!$D:$AK,24,0)</f>
        <v>0</v>
      </c>
      <c r="Z237" s="289">
        <f>VLOOKUP($B237,'2、设备合同'!$D:$AK,25,0)</f>
        <v>0</v>
      </c>
      <c r="AA237" s="286">
        <f>VLOOKUP($B237,'2、设备合同'!$D:$AK,26,0)</f>
        <v>0</v>
      </c>
      <c r="AB237" s="289">
        <f>VLOOKUP($B237,'2、设备合同'!$D:$AK,27,0)</f>
        <v>0</v>
      </c>
      <c r="AC237" s="289">
        <f>VLOOKUP($B237,'2、设备合同'!$D:$AK,28,0)</f>
        <v>0</v>
      </c>
      <c r="AD237" s="286">
        <f>VLOOKUP($B237,'2、设备合同'!$D:$AK,29,0)</f>
        <v>0</v>
      </c>
      <c r="AE237" s="289">
        <f>VLOOKUP($B237,'2、设备合同'!$D:$AK,30,0)</f>
        <v>0</v>
      </c>
      <c r="AF237" s="289">
        <f>VLOOKUP($B237,'2、设备合同'!$D:$AK,31,0)</f>
        <v>0</v>
      </c>
      <c r="AG237" s="289">
        <f>VLOOKUP($B237,'2、设备合同'!$D:$AK,32,0)</f>
        <v>0</v>
      </c>
      <c r="AH237" s="289">
        <f>VLOOKUP($B237,'2、设备合同'!$D:$AK,33,0)</f>
        <v>0</v>
      </c>
      <c r="AI237" s="308">
        <f>VLOOKUP($B237,'2、设备合同'!$D:$AK,34,0)</f>
        <v>0</v>
      </c>
      <c r="AJ237" s="309">
        <f t="shared" si="63"/>
        <v>4460000</v>
      </c>
      <c r="AK237" s="289">
        <f t="shared" si="64"/>
        <v>17840000</v>
      </c>
      <c r="AL237" s="310">
        <f t="shared" si="65"/>
        <v>0.2</v>
      </c>
      <c r="AM237" s="289">
        <f t="shared" si="66"/>
        <v>22300000</v>
      </c>
      <c r="AN237" s="311" t="str">
        <f t="shared" si="67"/>
        <v>数据正确</v>
      </c>
    </row>
    <row r="238" customHeight="1" spans="1:40">
      <c r="A238" s="228" t="str">
        <f t="shared" si="68"/>
        <v/>
      </c>
      <c r="B238" s="261">
        <v>233</v>
      </c>
      <c r="C238" s="266" t="str">
        <f>VLOOKUP($B238,'3、工程合同'!$D:$AL,2,0)</f>
        <v>AG-KJ-20170004</v>
      </c>
      <c r="D238" s="267" t="str">
        <f>VLOOKUP($B238,'3、工程合同'!$D:$AL,3,0)</f>
        <v>工程合同</v>
      </c>
      <c r="E238" s="267">
        <f>VLOOKUP($B238,'3、工程合同'!$D:$AL,4,0)</f>
        <v>0</v>
      </c>
      <c r="F238" s="268">
        <f>VLOOKUP($B238,'3、工程合同'!$D:$AL,5,0)</f>
        <v>42997</v>
      </c>
      <c r="G238" s="269">
        <f>VLOOKUP($B238,'3、工程合同'!$D:$AL,6,0)</f>
        <v>750000</v>
      </c>
      <c r="H238" s="269" t="str">
        <f>VLOOKUP($B238,'3、工程合同'!$D:$AL,7,0)</f>
        <v>三修车间-厂前区主路联锁块道路工程</v>
      </c>
      <c r="I238" s="269" t="str">
        <f>VLOOKUP($B238,'3、工程合同'!$D:$AL,8,0)</f>
        <v>福建省福清市嘉盛建设工程有限公司</v>
      </c>
      <c r="J238" s="290">
        <f>VLOOKUP($B238,'3、工程合同'!$D:$AL,9,0)</f>
        <v>0</v>
      </c>
      <c r="K238" s="291" t="str">
        <f>VLOOKUP($B238,'3、工程合同'!$D:$AL,10,0)</f>
        <v>6个月承兑汇票/电汇下浮3%</v>
      </c>
      <c r="L238" s="292" t="str">
        <f>VLOOKUP($B238,'3、工程合同'!$D:$AL,11,0)</f>
        <v>无预付款，按月支付进度款，支付至验收完成工程对应价的80%</v>
      </c>
      <c r="M238" s="293">
        <f>VLOOKUP($B238,'3、工程合同'!$D:$AL,12,0)</f>
        <v>600000</v>
      </c>
      <c r="N238" s="293">
        <f>VLOOKUP($B238,'3、工程合同'!$D:$AL,13,0)</f>
        <v>0</v>
      </c>
      <c r="O238" s="290" t="str">
        <f>VLOOKUP($B238,'3、工程合同'!$D:$AL,14,0)</f>
        <v>工程竣工验收合格支付至90%</v>
      </c>
      <c r="P238" s="293">
        <f>VLOOKUP($B238,'3、工程合同'!$D:$AL,15,0)</f>
        <v>75000</v>
      </c>
      <c r="Q238" s="293">
        <f>VLOOKUP($B238,'3、工程合同'!$D:$AL,16,0)</f>
        <v>0</v>
      </c>
      <c r="R238" s="290" t="str">
        <f>VLOOKUP($B238,'3、工程合同'!$D:$AL,17,0)</f>
        <v>质量保证期12个月</v>
      </c>
      <c r="S238" s="293">
        <f>VLOOKUP($B238,'3、工程合同'!$D:$AL,18,0)</f>
        <v>75000</v>
      </c>
      <c r="T238" s="293">
        <f>VLOOKUP($B238,'3、工程合同'!$D:$AL,19,0)</f>
        <v>0</v>
      </c>
      <c r="U238" s="290">
        <f>VLOOKUP($B238,'3、工程合同'!$D:$AL,20,0)</f>
        <v>0</v>
      </c>
      <c r="V238" s="293">
        <f>VLOOKUP($B238,'3、工程合同'!$D:$AL,21,0)</f>
        <v>0</v>
      </c>
      <c r="W238" s="293">
        <f>VLOOKUP($B238,'3、工程合同'!$D:$AL,22,0)</f>
        <v>0</v>
      </c>
      <c r="X238" s="290">
        <f>VLOOKUP($B238,'3、工程合同'!$D:$AL,23,0)</f>
        <v>0</v>
      </c>
      <c r="Y238" s="293">
        <f>VLOOKUP($B238,'3、工程合同'!$D:$AL,24,0)</f>
        <v>0</v>
      </c>
      <c r="Z238" s="293">
        <f>VLOOKUP($B238,'3、工程合同'!$D:$AL,25,0)</f>
        <v>0</v>
      </c>
      <c r="AA238" s="290">
        <f>VLOOKUP($B238,'3、工程合同'!$D:$AL,26,0)</f>
        <v>0</v>
      </c>
      <c r="AB238" s="293">
        <f>VLOOKUP($B238,'3、工程合同'!$D:$AL,27,0)</f>
        <v>0</v>
      </c>
      <c r="AC238" s="293">
        <f>VLOOKUP($B238,'3、工程合同'!$D:$AL,28,0)</f>
        <v>0</v>
      </c>
      <c r="AD238" s="290">
        <f>VLOOKUP($B238,'3、工程合同'!$D:$AL,29,0)</f>
        <v>0</v>
      </c>
      <c r="AE238" s="293">
        <f>VLOOKUP($B238,'3、工程合同'!$D:$AL,30,0)</f>
        <v>0</v>
      </c>
      <c r="AF238" s="293">
        <f>VLOOKUP($B238,'3、工程合同'!$D:$AL,31,0)</f>
        <v>0</v>
      </c>
      <c r="AG238" s="293">
        <f>VLOOKUP($B238,'3、工程合同'!$D:$AL,32,0)</f>
        <v>0</v>
      </c>
      <c r="AH238" s="293">
        <f>VLOOKUP($B238,'3、工程合同'!$D:$AL,33,0)</f>
        <v>0</v>
      </c>
      <c r="AI238" s="312">
        <f>VLOOKUP($B238,'3、工程合同'!$D:$AL,34,0)</f>
        <v>0</v>
      </c>
      <c r="AJ238" s="309">
        <f t="shared" si="63"/>
        <v>0</v>
      </c>
      <c r="AK238" s="289">
        <f t="shared" si="64"/>
        <v>750000</v>
      </c>
      <c r="AL238" s="310">
        <f t="shared" si="65"/>
        <v>0</v>
      </c>
      <c r="AM238" s="289">
        <f t="shared" si="66"/>
        <v>750000</v>
      </c>
      <c r="AN238" s="311" t="str">
        <f t="shared" si="67"/>
        <v>数据正确</v>
      </c>
    </row>
    <row r="239" customHeight="1" spans="1:40">
      <c r="A239" s="228" t="str">
        <f t="shared" si="68"/>
        <v/>
      </c>
      <c r="B239" s="261">
        <v>234</v>
      </c>
      <c r="C239" s="262" t="str">
        <f>VLOOKUP($B239,'2、设备合同'!$D:$AK,2,0)</f>
        <v>YRKJEQ-170026</v>
      </c>
      <c r="D239" s="263" t="str">
        <f>VLOOKUP($B239,'2、设备合同'!$D:$AK,3,0)</f>
        <v>设备合同</v>
      </c>
      <c r="E239" s="263">
        <f>VLOOKUP($B239,'2、设备合同'!$D:$AK,4,0)</f>
        <v>2017050007</v>
      </c>
      <c r="F239" s="264">
        <f>VLOOKUP($B239,'2、设备合同'!$D:$AK,5,0)</f>
        <v>42893</v>
      </c>
      <c r="G239" s="265">
        <f>VLOOKUP($B239,'2、设备合同'!$D:$AK,6,0)</f>
        <v>6980000</v>
      </c>
      <c r="H239" s="265" t="str">
        <f>VLOOKUP($B239,'2、设备合同'!$D:$AK,7,0)</f>
        <v>凉水塔10台 合同未移交</v>
      </c>
      <c r="I239" s="265" t="str">
        <f>VLOOKUP($B239,'2、设备合同'!$D:$AK,8,0)</f>
        <v>江苏海鸥冷却塔股份有限公司</v>
      </c>
      <c r="J239" s="286" t="str">
        <f>VLOOKUP($B239,'2、设备合同'!$D:$AK,9,0)</f>
        <v>循环水场</v>
      </c>
      <c r="K239" s="287" t="str">
        <f>VLOOKUP($B239,'2、设备合同'!$D:$AK,10,0)</f>
        <v>6个月承兑汇票/电汇不下浮</v>
      </c>
      <c r="L239" s="288" t="str">
        <f>VLOOKUP($B239,'2、设备合同'!$D:$AK,11,0)</f>
        <v>甲方收到乙方20%的预付款保函以及本合同的10%履约保函后15个工作日支付20%预付款</v>
      </c>
      <c r="M239" s="289">
        <f>VLOOKUP($B239,'2、设备合同'!$D:$AK,12,0)</f>
        <v>1396000</v>
      </c>
      <c r="N239" s="289">
        <f>VLOOKUP($B239,'2、设备合同'!$D:$AK,13,0)</f>
        <v>1396000</v>
      </c>
      <c r="O239" s="286" t="str">
        <f>VLOOKUP($B239,'2、设备合同'!$D:$AK,14,0)</f>
        <v>甲方到乙方现场确认无误后，收到17%等额专票，15个工作日内支付40%发货款</v>
      </c>
      <c r="P239" s="289">
        <f>VLOOKUP($B239,'2、设备合同'!$D:$AK,15,0)</f>
        <v>2792000</v>
      </c>
      <c r="Q239" s="289">
        <f>VLOOKUP($B239,'2、设备合同'!$D:$AK,16,0)</f>
        <v>0</v>
      </c>
      <c r="R239" s="286" t="str">
        <f>VLOOKUP($B239,'2、设备合同'!$D:$AK,17,0)</f>
        <v>甲方收到核定的调试合格报告后15个工作日，支付30%调试款</v>
      </c>
      <c r="S239" s="289">
        <f>VLOOKUP($B239,'2、设备合同'!$D:$AK,18,0)</f>
        <v>2094000</v>
      </c>
      <c r="T239" s="289">
        <f>VLOOKUP($B239,'2、设备合同'!$D:$AK,19,0)</f>
        <v>0</v>
      </c>
      <c r="U239" s="286" t="str">
        <f>VLOOKUP($B239,'2、设备合同'!$D:$AK,20,0)</f>
        <v>10%质保金，验收合格12个月或到货现场18个月</v>
      </c>
      <c r="V239" s="289">
        <f>VLOOKUP($B239,'2、设备合同'!$D:$AK,21,0)</f>
        <v>698000</v>
      </c>
      <c r="W239" s="289">
        <f>VLOOKUP($B239,'2、设备合同'!$D:$AK,22,0)</f>
        <v>0</v>
      </c>
      <c r="X239" s="286">
        <f>VLOOKUP($B239,'2、设备合同'!$D:$AK,23,0)</f>
        <v>0</v>
      </c>
      <c r="Y239" s="289">
        <f>VLOOKUP($B239,'2、设备合同'!$D:$AK,24,0)</f>
        <v>0</v>
      </c>
      <c r="Z239" s="289">
        <f>VLOOKUP($B239,'2、设备合同'!$D:$AK,25,0)</f>
        <v>0</v>
      </c>
      <c r="AA239" s="286">
        <f>VLOOKUP($B239,'2、设备合同'!$D:$AK,26,0)</f>
        <v>0</v>
      </c>
      <c r="AB239" s="289">
        <f>VLOOKUP($B239,'2、设备合同'!$D:$AK,27,0)</f>
        <v>0</v>
      </c>
      <c r="AC239" s="289">
        <f>VLOOKUP($B239,'2、设备合同'!$D:$AK,28,0)</f>
        <v>0</v>
      </c>
      <c r="AD239" s="286">
        <f>VLOOKUP($B239,'2、设备合同'!$D:$AK,29,0)</f>
        <v>0</v>
      </c>
      <c r="AE239" s="289">
        <f>VLOOKUP($B239,'2、设备合同'!$D:$AK,30,0)</f>
        <v>0</v>
      </c>
      <c r="AF239" s="289">
        <f>VLOOKUP($B239,'2、设备合同'!$D:$AK,31,0)</f>
        <v>0</v>
      </c>
      <c r="AG239" s="289">
        <f>VLOOKUP($B239,'2、设备合同'!$D:$AK,32,0)</f>
        <v>0</v>
      </c>
      <c r="AH239" s="289">
        <f>VLOOKUP($B239,'2、设备合同'!$D:$AK,33,0)</f>
        <v>0</v>
      </c>
      <c r="AI239" s="308">
        <f>VLOOKUP($B239,'2、设备合同'!$D:$AK,34,0)</f>
        <v>0</v>
      </c>
      <c r="AJ239" s="309">
        <f t="shared" si="63"/>
        <v>1396000</v>
      </c>
      <c r="AK239" s="289">
        <f t="shared" si="64"/>
        <v>5584000</v>
      </c>
      <c r="AL239" s="310">
        <f t="shared" si="65"/>
        <v>0.2</v>
      </c>
      <c r="AM239" s="289">
        <f t="shared" si="66"/>
        <v>6980000</v>
      </c>
      <c r="AN239" s="311" t="str">
        <f t="shared" si="67"/>
        <v>数据正确</v>
      </c>
    </row>
    <row r="240" customHeight="1" spans="1:40">
      <c r="A240" s="228" t="str">
        <f t="shared" si="68"/>
        <v/>
      </c>
      <c r="B240" s="261">
        <v>235</v>
      </c>
      <c r="C240" s="262" t="str">
        <f>VLOOKUP($B240,'2、设备合同'!$D:$AK,2,0)</f>
        <v>YRKJEQ-170082</v>
      </c>
      <c r="D240" s="263" t="str">
        <f>VLOOKUP($B240,'2、设备合同'!$D:$AK,3,0)</f>
        <v>设备合同</v>
      </c>
      <c r="E240" s="263">
        <f>VLOOKUP($B240,'2、设备合同'!$D:$AK,4,0)</f>
        <v>0</v>
      </c>
      <c r="F240" s="264">
        <f>VLOOKUP($B240,'2、设备合同'!$D:$AK,5,0)</f>
        <v>42987</v>
      </c>
      <c r="G240" s="265">
        <f>VLOOKUP($B240,'2、设备合同'!$D:$AK,6,0)</f>
        <v>5350000</v>
      </c>
      <c r="H240" s="265" t="str">
        <f>VLOOKUP($B240,'2、设备合同'!$D:$AK,7,0)</f>
        <v>41台非标设备</v>
      </c>
      <c r="I240" s="265" t="str">
        <f>VLOOKUP($B240,'2、设备合同'!$D:$AK,8,0)</f>
        <v>中核动力设备有限公司</v>
      </c>
      <c r="J240" s="286">
        <f>VLOOKUP($B240,'2、设备合同'!$D:$AK,9,0)</f>
        <v>0</v>
      </c>
      <c r="K240" s="287" t="str">
        <f>VLOOKUP($B240,'2、设备合同'!$D:$AK,10,0)</f>
        <v>6个月承兑汇票/电汇无说明</v>
      </c>
      <c r="L240" s="288" t="str">
        <f>VLOOKUP($B240,'2、设备合同'!$D:$AK,11,0)</f>
        <v>甲方收到乙方20%的预付款保函以及本合同的10%履约保函后15个工作日支付20%预付款</v>
      </c>
      <c r="M240" s="289">
        <f>VLOOKUP($B240,'2、设备合同'!$D:$AK,12,0)</f>
        <v>1070000</v>
      </c>
      <c r="N240" s="289">
        <f>VLOOKUP($B240,'2、设备合同'!$D:$AK,13,0)</f>
        <v>0</v>
      </c>
      <c r="O240" s="286" t="str">
        <f>VLOOKUP($B240,'2、设备合同'!$D:$AK,14,0)</f>
        <v>甲方到乙方现场确认无误后，收到17%等额专票，15个工作日内支付60%发货款</v>
      </c>
      <c r="P240" s="289">
        <f>VLOOKUP($B240,'2、设备合同'!$D:$AK,15,0)</f>
        <v>3210000</v>
      </c>
      <c r="Q240" s="289">
        <f>VLOOKUP($B240,'2、设备合同'!$D:$AK,16,0)</f>
        <v>0</v>
      </c>
      <c r="R240" s="286" t="str">
        <f>VLOOKUP($B240,'2、设备合同'!$D:$AK,17,0)</f>
        <v>甲方核定的调试合格报告及足额的发票后付10%的验收款</v>
      </c>
      <c r="S240" s="289">
        <f>VLOOKUP($B240,'2、设备合同'!$D:$AK,18,0)</f>
        <v>535000</v>
      </c>
      <c r="T240" s="289">
        <f>VLOOKUP($B240,'2、设备合同'!$D:$AK,19,0)</f>
        <v>0</v>
      </c>
      <c r="U240" s="286" t="str">
        <f>VLOOKUP($B240,'2、设备合同'!$D:$AK,20,0)</f>
        <v>10%质保金，验收合格12个月或到货现场18个月</v>
      </c>
      <c r="V240" s="289">
        <f>VLOOKUP($B240,'2、设备合同'!$D:$AK,21,0)</f>
        <v>535000</v>
      </c>
      <c r="W240" s="289">
        <f>VLOOKUP($B240,'2、设备合同'!$D:$AK,22,0)</f>
        <v>0</v>
      </c>
      <c r="X240" s="286">
        <f>VLOOKUP($B240,'2、设备合同'!$D:$AK,23,0)</f>
        <v>0</v>
      </c>
      <c r="Y240" s="289">
        <f>VLOOKUP($B240,'2、设备合同'!$D:$AK,24,0)</f>
        <v>0</v>
      </c>
      <c r="Z240" s="289">
        <f>VLOOKUP($B240,'2、设备合同'!$D:$AK,25,0)</f>
        <v>0</v>
      </c>
      <c r="AA240" s="286">
        <f>VLOOKUP($B240,'2、设备合同'!$D:$AK,26,0)</f>
        <v>0</v>
      </c>
      <c r="AB240" s="289">
        <f>VLOOKUP($B240,'2、设备合同'!$D:$AK,27,0)</f>
        <v>0</v>
      </c>
      <c r="AC240" s="289">
        <f>VLOOKUP($B240,'2、设备合同'!$D:$AK,28,0)</f>
        <v>0</v>
      </c>
      <c r="AD240" s="286">
        <f>VLOOKUP($B240,'2、设备合同'!$D:$AK,29,0)</f>
        <v>0</v>
      </c>
      <c r="AE240" s="289">
        <f>VLOOKUP($B240,'2、设备合同'!$D:$AK,30,0)</f>
        <v>0</v>
      </c>
      <c r="AF240" s="289">
        <f>VLOOKUP($B240,'2、设备合同'!$D:$AK,31,0)</f>
        <v>0</v>
      </c>
      <c r="AG240" s="289">
        <f>VLOOKUP($B240,'2、设备合同'!$D:$AK,32,0)</f>
        <v>0</v>
      </c>
      <c r="AH240" s="289">
        <f>VLOOKUP($B240,'2、设备合同'!$D:$AK,33,0)</f>
        <v>0</v>
      </c>
      <c r="AI240" s="308">
        <f>VLOOKUP($B240,'2、设备合同'!$D:$AK,34,0)</f>
        <v>0</v>
      </c>
      <c r="AJ240" s="309">
        <f t="shared" ref="AJ240:AJ254" si="69">N240+Q240+T240+W240+Z240+AC240+AF240+AI240</f>
        <v>0</v>
      </c>
      <c r="AK240" s="289">
        <f t="shared" ref="AK240:AK254" si="70">G240-AJ240</f>
        <v>5350000</v>
      </c>
      <c r="AL240" s="310">
        <f t="shared" ref="AL240:AL254" si="71">AJ240/G240</f>
        <v>0</v>
      </c>
      <c r="AM240" s="289">
        <f t="shared" ref="AM240:AM254" si="72">M240+P240+S240+V240+Y240+AB240+AE240+AH240</f>
        <v>5350000</v>
      </c>
      <c r="AN240" s="311" t="str">
        <f t="shared" ref="AN240:AN254" si="73">IF(AM240-G240=0,"数据正确","数据错误")</f>
        <v>数据正确</v>
      </c>
    </row>
    <row r="241" customHeight="1" spans="1:40">
      <c r="A241" s="228" t="str">
        <f t="shared" si="68"/>
        <v/>
      </c>
      <c r="B241" s="261">
        <v>236</v>
      </c>
      <c r="C241" s="262" t="str">
        <f>VLOOKUP($B241,'2、设备合同'!$D:$AK,2,0)</f>
        <v>YRKJEQ-170083</v>
      </c>
      <c r="D241" s="263" t="str">
        <f>VLOOKUP($B241,'2、设备合同'!$D:$AK,3,0)</f>
        <v>设备合同</v>
      </c>
      <c r="E241" s="263">
        <f>VLOOKUP($B241,'2、设备合同'!$D:$AK,4,0)</f>
        <v>0</v>
      </c>
      <c r="F241" s="264">
        <f>VLOOKUP($B241,'2、设备合同'!$D:$AK,5,0)</f>
        <v>42993</v>
      </c>
      <c r="G241" s="265">
        <f>VLOOKUP($B241,'2、设备合同'!$D:$AK,6,0)</f>
        <v>7566000</v>
      </c>
      <c r="H241" s="265" t="str">
        <f>VLOOKUP($B241,'2、设备合同'!$D:$AK,7,0)</f>
        <v>结晶反应器2套</v>
      </c>
      <c r="I241" s="265" t="str">
        <f>VLOOKUP($B241,'2、设备合同'!$D:$AK,8,0)</f>
        <v>厦门仁荣安装工程有限公司</v>
      </c>
      <c r="J241" s="286">
        <f>VLOOKUP($B241,'2、设备合同'!$D:$AK,9,0)</f>
        <v>0</v>
      </c>
      <c r="K241" s="287" t="str">
        <f>VLOOKUP($B241,'2、设备合同'!$D:$AK,10,0)</f>
        <v>电汇/承兑按780万元</v>
      </c>
      <c r="L241" s="288" t="str">
        <f>VLOOKUP($B241,'2、设备合同'!$D:$AK,11,0)</f>
        <v>甲方到乙方清点无误验收合格后，收到专票的15个工作日支付该材料的90%</v>
      </c>
      <c r="M241" s="289">
        <f>VLOOKUP($B241,'2、设备合同'!$D:$AK,12,0)</f>
        <v>4269154.09</v>
      </c>
      <c r="N241" s="289">
        <f>VLOOKUP($B241,'2、设备合同'!$D:$AK,13,0)</f>
        <v>0</v>
      </c>
      <c r="O241" s="286" t="str">
        <f>VLOOKUP($B241,'2、设备合同'!$D:$AK,14,0)</f>
        <v>乙方在甲方现场制造清点无误验收合格支付至合同 80%</v>
      </c>
      <c r="P241" s="289">
        <f>VLOOKUP($B241,'2、设备合同'!$D:$AK,15,0)</f>
        <v>1783645.91</v>
      </c>
      <c r="Q241" s="289">
        <f>VLOOKUP($B241,'2、设备合同'!$D:$AK,16,0)</f>
        <v>0</v>
      </c>
      <c r="R241" s="286" t="str">
        <f>VLOOKUP($B241,'2、设备合同'!$D:$AK,17,0)</f>
        <v>甲方收到核定的调试合格报告后15个工作日，支付10%调试款</v>
      </c>
      <c r="S241" s="289">
        <f>VLOOKUP($B241,'2、设备合同'!$D:$AK,18,0)</f>
        <v>756600</v>
      </c>
      <c r="T241" s="289">
        <f>VLOOKUP($B241,'2、设备合同'!$D:$AK,19,0)</f>
        <v>0</v>
      </c>
      <c r="U241" s="286" t="str">
        <f>VLOOKUP($B241,'2、设备合同'!$D:$AK,20,0)</f>
        <v>10%质保金，验收合格12个月或到货现场18个月</v>
      </c>
      <c r="V241" s="289">
        <f>VLOOKUP($B241,'2、设备合同'!$D:$AK,21,0)</f>
        <v>756600</v>
      </c>
      <c r="W241" s="289">
        <f>VLOOKUP($B241,'2、设备合同'!$D:$AK,22,0)</f>
        <v>0</v>
      </c>
      <c r="X241" s="286">
        <f>VLOOKUP($B241,'2、设备合同'!$D:$AK,23,0)</f>
        <v>0</v>
      </c>
      <c r="Y241" s="289">
        <f>VLOOKUP($B241,'2、设备合同'!$D:$AK,24,0)</f>
        <v>0</v>
      </c>
      <c r="Z241" s="289">
        <f>VLOOKUP($B241,'2、设备合同'!$D:$AK,25,0)</f>
        <v>0</v>
      </c>
      <c r="AA241" s="286">
        <f>VLOOKUP($B241,'2、设备合同'!$D:$AK,26,0)</f>
        <v>0</v>
      </c>
      <c r="AB241" s="289">
        <f>VLOOKUP($B241,'2、设备合同'!$D:$AK,27,0)</f>
        <v>0</v>
      </c>
      <c r="AC241" s="289">
        <f>VLOOKUP($B241,'2、设备合同'!$D:$AK,28,0)</f>
        <v>0</v>
      </c>
      <c r="AD241" s="286">
        <f>VLOOKUP($B241,'2、设备合同'!$D:$AK,29,0)</f>
        <v>0</v>
      </c>
      <c r="AE241" s="289">
        <f>VLOOKUP($B241,'2、设备合同'!$D:$AK,30,0)</f>
        <v>0</v>
      </c>
      <c r="AF241" s="289">
        <f>VLOOKUP($B241,'2、设备合同'!$D:$AK,31,0)</f>
        <v>0</v>
      </c>
      <c r="AG241" s="289">
        <f>VLOOKUP($B241,'2、设备合同'!$D:$AK,32,0)</f>
        <v>0</v>
      </c>
      <c r="AH241" s="289">
        <f>VLOOKUP($B241,'2、设备合同'!$D:$AK,33,0)</f>
        <v>0</v>
      </c>
      <c r="AI241" s="308">
        <f>VLOOKUP($B241,'2、设备合同'!$D:$AK,34,0)</f>
        <v>0</v>
      </c>
      <c r="AJ241" s="309">
        <f t="shared" si="69"/>
        <v>0</v>
      </c>
      <c r="AK241" s="289">
        <f t="shared" si="70"/>
        <v>7566000</v>
      </c>
      <c r="AL241" s="310">
        <f t="shared" si="71"/>
        <v>0</v>
      </c>
      <c r="AM241" s="289">
        <f t="shared" si="72"/>
        <v>7566000</v>
      </c>
      <c r="AN241" s="311" t="str">
        <f t="shared" si="73"/>
        <v>数据正确</v>
      </c>
    </row>
    <row r="242" customHeight="1" spans="1:40">
      <c r="A242" s="228" t="str">
        <f t="shared" si="68"/>
        <v/>
      </c>
      <c r="B242" s="261">
        <v>237</v>
      </c>
      <c r="C242" s="262" t="str">
        <f>VLOOKUP($B242,'2、设备合同'!$D:$AK,2,0)</f>
        <v>YRKJEQ-170088</v>
      </c>
      <c r="D242" s="263" t="str">
        <f>VLOOKUP($B242,'2、设备合同'!$D:$AK,3,0)</f>
        <v>设备合同</v>
      </c>
      <c r="E242" s="263">
        <f>VLOOKUP($B242,'2、设备合同'!$D:$AK,4,0)</f>
        <v>0</v>
      </c>
      <c r="F242" s="264">
        <f>VLOOKUP($B242,'2、设备合同'!$D:$AK,5,0)</f>
        <v>42979</v>
      </c>
      <c r="G242" s="265">
        <f>VLOOKUP($B242,'2、设备合同'!$D:$AK,6,0)</f>
        <v>142000</v>
      </c>
      <c r="H242" s="265" t="str">
        <f>VLOOKUP($B242,'2、设备合同'!$D:$AK,7,0)</f>
        <v>油侵式变压器2台</v>
      </c>
      <c r="I242" s="265" t="str">
        <f>VLOOKUP($B242,'2、设备合同'!$D:$AK,8,0)</f>
        <v>宁波奥克斯高科技有限公司</v>
      </c>
      <c r="J242" s="286">
        <f>VLOOKUP($B242,'2、设备合同'!$D:$AK,9,0)</f>
        <v>0</v>
      </c>
      <c r="K242" s="287" t="str">
        <f>VLOOKUP($B242,'2、设备合同'!$D:$AK,10,0)</f>
        <v>6个月承兑汇票/电汇无说明</v>
      </c>
      <c r="L242" s="288" t="str">
        <f>VLOOKUP($B242,'2、设备合同'!$D:$AK,11,0)</f>
        <v>甲方到乙方现场确认无误后，收到17%等额专票，15个工作日内支付60%发货款。30万履约保函</v>
      </c>
      <c r="M242" s="289">
        <f>VLOOKUP($B242,'2、设备合同'!$D:$AK,12,0)</f>
        <v>85200</v>
      </c>
      <c r="N242" s="289">
        <f>VLOOKUP($B242,'2、设备合同'!$D:$AK,13,0)</f>
        <v>0</v>
      </c>
      <c r="O242" s="286" t="str">
        <f>VLOOKUP($B242,'2、设备合同'!$D:$AK,14,0)</f>
        <v>甲方核定的调试合格报告及足额的发票后支付30%的验收款</v>
      </c>
      <c r="P242" s="289">
        <f>VLOOKUP($B242,'2、设备合同'!$D:$AK,15,0)</f>
        <v>42600</v>
      </c>
      <c r="Q242" s="289">
        <f>VLOOKUP($B242,'2、设备合同'!$D:$AK,16,0)</f>
        <v>0</v>
      </c>
      <c r="R242" s="286" t="str">
        <f>VLOOKUP($B242,'2、设备合同'!$D:$AK,17,0)</f>
        <v>10%质保金，验收合格12个月或到货现场18个月</v>
      </c>
      <c r="S242" s="289">
        <f>VLOOKUP($B242,'2、设备合同'!$D:$AK,18,0)</f>
        <v>14200</v>
      </c>
      <c r="T242" s="289">
        <f>VLOOKUP($B242,'2、设备合同'!$D:$AK,19,0)</f>
        <v>0</v>
      </c>
      <c r="U242" s="286">
        <f>VLOOKUP($B242,'2、设备合同'!$D:$AK,20,0)</f>
        <v>0</v>
      </c>
      <c r="V242" s="289">
        <f>VLOOKUP($B242,'2、设备合同'!$D:$AK,21,0)</f>
        <v>0</v>
      </c>
      <c r="W242" s="289">
        <f>VLOOKUP($B242,'2、设备合同'!$D:$AK,22,0)</f>
        <v>0</v>
      </c>
      <c r="X242" s="286">
        <f>VLOOKUP($B242,'2、设备合同'!$D:$AK,23,0)</f>
        <v>0</v>
      </c>
      <c r="Y242" s="289">
        <f>VLOOKUP($B242,'2、设备合同'!$D:$AK,24,0)</f>
        <v>0</v>
      </c>
      <c r="Z242" s="289">
        <f>VLOOKUP($B242,'2、设备合同'!$D:$AK,25,0)</f>
        <v>0</v>
      </c>
      <c r="AA242" s="286">
        <f>VLOOKUP($B242,'2、设备合同'!$D:$AK,26,0)</f>
        <v>0</v>
      </c>
      <c r="AB242" s="289">
        <f>VLOOKUP($B242,'2、设备合同'!$D:$AK,27,0)</f>
        <v>0</v>
      </c>
      <c r="AC242" s="289">
        <f>VLOOKUP($B242,'2、设备合同'!$D:$AK,28,0)</f>
        <v>0</v>
      </c>
      <c r="AD242" s="286">
        <f>VLOOKUP($B242,'2、设备合同'!$D:$AK,29,0)</f>
        <v>0</v>
      </c>
      <c r="AE242" s="289">
        <f>VLOOKUP($B242,'2、设备合同'!$D:$AK,30,0)</f>
        <v>0</v>
      </c>
      <c r="AF242" s="289">
        <f>VLOOKUP($B242,'2、设备合同'!$D:$AK,31,0)</f>
        <v>0</v>
      </c>
      <c r="AG242" s="289">
        <f>VLOOKUP($B242,'2、设备合同'!$D:$AK,32,0)</f>
        <v>0</v>
      </c>
      <c r="AH242" s="289">
        <f>VLOOKUP($B242,'2、设备合同'!$D:$AK,33,0)</f>
        <v>0</v>
      </c>
      <c r="AI242" s="308">
        <f>VLOOKUP($B242,'2、设备合同'!$D:$AK,34,0)</f>
        <v>0</v>
      </c>
      <c r="AJ242" s="309">
        <f t="shared" si="69"/>
        <v>0</v>
      </c>
      <c r="AK242" s="289">
        <f t="shared" si="70"/>
        <v>142000</v>
      </c>
      <c r="AL242" s="310">
        <f t="shared" si="71"/>
        <v>0</v>
      </c>
      <c r="AM242" s="289">
        <f t="shared" si="72"/>
        <v>142000</v>
      </c>
      <c r="AN242" s="311" t="str">
        <f t="shared" si="73"/>
        <v>数据正确</v>
      </c>
    </row>
    <row r="243" customHeight="1" spans="1:40">
      <c r="A243" s="228" t="str">
        <f t="shared" si="68"/>
        <v/>
      </c>
      <c r="B243" s="261">
        <v>238</v>
      </c>
      <c r="C243" s="262" t="str">
        <f>VLOOKUP($B243,'2、设备合同'!$D:$AK,2,0)</f>
        <v>YRKJEQ-170091</v>
      </c>
      <c r="D243" s="263" t="str">
        <f>VLOOKUP($B243,'2、设备合同'!$D:$AK,3,0)</f>
        <v>设备合同</v>
      </c>
      <c r="E243" s="263">
        <f>VLOOKUP($B243,'2、设备合同'!$D:$AK,4,0)</f>
        <v>2017080046</v>
      </c>
      <c r="F243" s="264">
        <f>VLOOKUP($B243,'2、设备合同'!$D:$AK,5,0)</f>
        <v>42985</v>
      </c>
      <c r="G243" s="265">
        <f>VLOOKUP($B243,'2、设备合同'!$D:$AK,6,0)</f>
        <v>10900000</v>
      </c>
      <c r="H243" s="265" t="str">
        <f>VLOOKUP($B243,'2、设备合同'!$D:$AK,7,0)</f>
        <v>环己酮装置非标设备26台</v>
      </c>
      <c r="I243" s="265" t="str">
        <f>VLOOKUP($B243,'2、设备合同'!$D:$AK,8,0)</f>
        <v>无锡力马化工机械有限公司</v>
      </c>
      <c r="J243" s="286">
        <f>VLOOKUP($B243,'2、设备合同'!$D:$AK,9,0)</f>
        <v>0</v>
      </c>
      <c r="K243" s="287" t="str">
        <f>VLOOKUP($B243,'2、设备合同'!$D:$AK,10,0)</f>
        <v>6个月承兑汇票/电汇按1070万元</v>
      </c>
      <c r="L243" s="288" t="str">
        <f>VLOOKUP($B243,'2、设备合同'!$D:$AK,11,0)</f>
        <v>甲方收到乙方20%的预付款保函以及本合同的10%专票后15个工作日支付20%预付款</v>
      </c>
      <c r="M243" s="289">
        <f>VLOOKUP($B243,'2、设备合同'!$D:$AK,12,0)</f>
        <v>2180000</v>
      </c>
      <c r="N243" s="289">
        <f>VLOOKUP($B243,'2、设备合同'!$D:$AK,13,0)</f>
        <v>2180000</v>
      </c>
      <c r="O243" s="286" t="str">
        <f>VLOOKUP($B243,'2、设备合同'!$D:$AK,14,0)</f>
        <v>甲方到乙方现场确认无误后，收到17%等额专票，15个工作日内支付60%发货款</v>
      </c>
      <c r="P243" s="289">
        <f>VLOOKUP($B243,'2、设备合同'!$D:$AK,15,0)</f>
        <v>6540000</v>
      </c>
      <c r="Q243" s="289">
        <f>VLOOKUP($B243,'2、设备合同'!$D:$AK,16,0)</f>
        <v>0</v>
      </c>
      <c r="R243" s="286" t="str">
        <f>VLOOKUP($B243,'2、设备合同'!$D:$AK,17,0)</f>
        <v>甲方收到核定的调试合格报告后15个工作日，支付10%调试款</v>
      </c>
      <c r="S243" s="289">
        <f>VLOOKUP($B243,'2、设备合同'!$D:$AK,18,0)</f>
        <v>1090000</v>
      </c>
      <c r="T243" s="289">
        <f>VLOOKUP($B243,'2、设备合同'!$D:$AK,19,0)</f>
        <v>0</v>
      </c>
      <c r="U243" s="286" t="str">
        <f>VLOOKUP($B243,'2、设备合同'!$D:$AK,20,0)</f>
        <v>10%质保金，验收合格12个月或到货现场18个月</v>
      </c>
      <c r="V243" s="289">
        <f>VLOOKUP($B243,'2、设备合同'!$D:$AK,21,0)</f>
        <v>1090000</v>
      </c>
      <c r="W243" s="289">
        <f>VLOOKUP($B243,'2、设备合同'!$D:$AK,22,0)</f>
        <v>0</v>
      </c>
      <c r="X243" s="286">
        <f>VLOOKUP($B243,'2、设备合同'!$D:$AK,23,0)</f>
        <v>0</v>
      </c>
      <c r="Y243" s="289">
        <f>VLOOKUP($B243,'2、设备合同'!$D:$AK,24,0)</f>
        <v>0</v>
      </c>
      <c r="Z243" s="289">
        <f>VLOOKUP($B243,'2、设备合同'!$D:$AK,25,0)</f>
        <v>0</v>
      </c>
      <c r="AA243" s="286">
        <f>VLOOKUP($B243,'2、设备合同'!$D:$AK,26,0)</f>
        <v>0</v>
      </c>
      <c r="AB243" s="289">
        <f>VLOOKUP($B243,'2、设备合同'!$D:$AK,27,0)</f>
        <v>0</v>
      </c>
      <c r="AC243" s="289">
        <f>VLOOKUP($B243,'2、设备合同'!$D:$AK,28,0)</f>
        <v>0</v>
      </c>
      <c r="AD243" s="286">
        <f>VLOOKUP($B243,'2、设备合同'!$D:$AK,29,0)</f>
        <v>0</v>
      </c>
      <c r="AE243" s="289">
        <f>VLOOKUP($B243,'2、设备合同'!$D:$AK,30,0)</f>
        <v>0</v>
      </c>
      <c r="AF243" s="289">
        <f>VLOOKUP($B243,'2、设备合同'!$D:$AK,31,0)</f>
        <v>0</v>
      </c>
      <c r="AG243" s="289">
        <f>VLOOKUP($B243,'2、设备合同'!$D:$AK,32,0)</f>
        <v>0</v>
      </c>
      <c r="AH243" s="289">
        <f>VLOOKUP($B243,'2、设备合同'!$D:$AK,33,0)</f>
        <v>0</v>
      </c>
      <c r="AI243" s="308">
        <f>VLOOKUP($B243,'2、设备合同'!$D:$AK,34,0)</f>
        <v>0</v>
      </c>
      <c r="AJ243" s="309">
        <f t="shared" si="69"/>
        <v>2180000</v>
      </c>
      <c r="AK243" s="289">
        <f t="shared" si="70"/>
        <v>8720000</v>
      </c>
      <c r="AL243" s="310">
        <f t="shared" si="71"/>
        <v>0.2</v>
      </c>
      <c r="AM243" s="289">
        <f t="shared" si="72"/>
        <v>10900000</v>
      </c>
      <c r="AN243" s="311" t="str">
        <f t="shared" si="73"/>
        <v>数据正确</v>
      </c>
    </row>
    <row r="244" customHeight="1" spans="1:40">
      <c r="A244" s="228" t="str">
        <f t="shared" si="68"/>
        <v/>
      </c>
      <c r="B244" s="261">
        <v>239</v>
      </c>
      <c r="C244" s="262" t="str">
        <f>VLOOKUP($B244,'2、设备合同'!$D:$AK,2,0)</f>
        <v>YRKJEQ-170098</v>
      </c>
      <c r="D244" s="263" t="str">
        <f>VLOOKUP($B244,'2、设备合同'!$D:$AK,3,0)</f>
        <v>设备合同</v>
      </c>
      <c r="E244" s="263">
        <f>VLOOKUP($B244,'2、设备合同'!$D:$AK,4,0)</f>
        <v>0</v>
      </c>
      <c r="F244" s="264">
        <f>VLOOKUP($B244,'2、设备合同'!$D:$AK,5,0)</f>
        <v>42992</v>
      </c>
      <c r="G244" s="265">
        <f>VLOOKUP($B244,'2、设备合同'!$D:$AK,6,0)</f>
        <v>10400000</v>
      </c>
      <c r="H244" s="265" t="str">
        <f>VLOOKUP($B244,'2、设备合同'!$D:$AK,7,0)</f>
        <v>51台非标设备</v>
      </c>
      <c r="I244" s="265" t="str">
        <f>VLOOKUP($B244,'2、设备合同'!$D:$AK,8,0)</f>
        <v>福建省泉州市江南冷却器厂</v>
      </c>
      <c r="J244" s="286">
        <f>VLOOKUP($B244,'2、设备合同'!$D:$AK,9,0)</f>
        <v>0</v>
      </c>
      <c r="K244" s="287" t="str">
        <f>VLOOKUP($B244,'2、设备合同'!$D:$AK,10,0)</f>
        <v>电汇</v>
      </c>
      <c r="L244" s="288" t="str">
        <f>VLOOKUP($B244,'2、设备合同'!$D:$AK,11,0)</f>
        <v>甲方收到乙方20%的预付款保函以及本合同的10%履约保函后15个工作日支付20%预付款</v>
      </c>
      <c r="M244" s="289">
        <f>VLOOKUP($B244,'2、设备合同'!$D:$AK,12,0)</f>
        <v>2080000</v>
      </c>
      <c r="N244" s="289">
        <f>VLOOKUP($B244,'2、设备合同'!$D:$AK,13,0)</f>
        <v>0</v>
      </c>
      <c r="O244" s="286" t="str">
        <f>VLOOKUP($B244,'2、设备合同'!$D:$AK,14,0)</f>
        <v>甲方到乙方现场确认无误后，收到17%等额专票，15个工作日内支付60%发货款</v>
      </c>
      <c r="P244" s="289">
        <f>VLOOKUP($B244,'2、设备合同'!$D:$AK,15,0)</f>
        <v>6240000</v>
      </c>
      <c r="Q244" s="289">
        <f>VLOOKUP($B244,'2、设备合同'!$D:$AK,16,0)</f>
        <v>0</v>
      </c>
      <c r="R244" s="286" t="str">
        <f>VLOOKUP($B244,'2、设备合同'!$D:$AK,17,0)</f>
        <v>甲方收到核定的调试合格报告后15个工作日，支付10%调试款</v>
      </c>
      <c r="S244" s="289">
        <f>VLOOKUP($B244,'2、设备合同'!$D:$AK,18,0)</f>
        <v>1040000</v>
      </c>
      <c r="T244" s="289">
        <f>VLOOKUP($B244,'2、设备合同'!$D:$AK,19,0)</f>
        <v>0</v>
      </c>
      <c r="U244" s="286" t="str">
        <f>VLOOKUP($B244,'2、设备合同'!$D:$AK,20,0)</f>
        <v>10%质保金，验收合格12个月或到货现场18个月</v>
      </c>
      <c r="V244" s="289">
        <f>VLOOKUP($B244,'2、设备合同'!$D:$AK,21,0)</f>
        <v>1040000</v>
      </c>
      <c r="W244" s="289">
        <f>VLOOKUP($B244,'2、设备合同'!$D:$AK,22,0)</f>
        <v>0</v>
      </c>
      <c r="X244" s="286">
        <f>VLOOKUP($B244,'2、设备合同'!$D:$AK,23,0)</f>
        <v>0</v>
      </c>
      <c r="Y244" s="289">
        <f>VLOOKUP($B244,'2、设备合同'!$D:$AK,24,0)</f>
        <v>0</v>
      </c>
      <c r="Z244" s="289">
        <f>VLOOKUP($B244,'2、设备合同'!$D:$AK,25,0)</f>
        <v>0</v>
      </c>
      <c r="AA244" s="286">
        <f>VLOOKUP($B244,'2、设备合同'!$D:$AK,26,0)</f>
        <v>0</v>
      </c>
      <c r="AB244" s="289">
        <f>VLOOKUP($B244,'2、设备合同'!$D:$AK,27,0)</f>
        <v>0</v>
      </c>
      <c r="AC244" s="289">
        <f>VLOOKUP($B244,'2、设备合同'!$D:$AK,28,0)</f>
        <v>0</v>
      </c>
      <c r="AD244" s="286">
        <f>VLOOKUP($B244,'2、设备合同'!$D:$AK,29,0)</f>
        <v>0</v>
      </c>
      <c r="AE244" s="289">
        <f>VLOOKUP($B244,'2、设备合同'!$D:$AK,30,0)</f>
        <v>0</v>
      </c>
      <c r="AF244" s="289">
        <f>VLOOKUP($B244,'2、设备合同'!$D:$AK,31,0)</f>
        <v>0</v>
      </c>
      <c r="AG244" s="289">
        <f>VLOOKUP($B244,'2、设备合同'!$D:$AK,32,0)</f>
        <v>0</v>
      </c>
      <c r="AH244" s="289">
        <f>VLOOKUP($B244,'2、设备合同'!$D:$AK,33,0)</f>
        <v>0</v>
      </c>
      <c r="AI244" s="308">
        <f>VLOOKUP($B244,'2、设备合同'!$D:$AK,34,0)</f>
        <v>0</v>
      </c>
      <c r="AJ244" s="309">
        <f t="shared" si="69"/>
        <v>0</v>
      </c>
      <c r="AK244" s="289">
        <f t="shared" si="70"/>
        <v>10400000</v>
      </c>
      <c r="AL244" s="310">
        <f t="shared" si="71"/>
        <v>0</v>
      </c>
      <c r="AM244" s="289">
        <f t="shared" si="72"/>
        <v>10400000</v>
      </c>
      <c r="AN244" s="311" t="str">
        <f t="shared" si="73"/>
        <v>数据正确</v>
      </c>
    </row>
    <row r="245" s="228" customFormat="1" customHeight="1" spans="1:40">
      <c r="A245" s="228" t="str">
        <f t="shared" si="68"/>
        <v/>
      </c>
      <c r="B245" s="261">
        <v>240</v>
      </c>
      <c r="C245" s="262" t="str">
        <f>VLOOKUP($B245,'2、设备合同'!$D:$AK,2,0)</f>
        <v>YRKJEQ-170055</v>
      </c>
      <c r="D245" s="263" t="str">
        <f>VLOOKUP($B245,'2、设备合同'!$D:$AK,3,0)</f>
        <v>设备合同</v>
      </c>
      <c r="E245" s="263">
        <f>VLOOKUP($B245,'2、设备合同'!$D:$AK,4,0)</f>
        <v>2017050021</v>
      </c>
      <c r="F245" s="264">
        <f>VLOOKUP($B245,'2、设备合同'!$D:$AK,5,0)</f>
        <v>42955</v>
      </c>
      <c r="G245" s="265">
        <f>VLOOKUP($B245,'2、设备合同'!$D:$AK,6,0)</f>
        <v>6262200</v>
      </c>
      <c r="H245" s="265" t="str">
        <f>VLOOKUP($B245,'2、设备合同'!$D:$AK,7,0)</f>
        <v>计量泵</v>
      </c>
      <c r="I245" s="265" t="str">
        <f>VLOOKUP($B245,'2、设备合同'!$D:$AK,8,0)</f>
        <v>大连里瓦泵业有限公司</v>
      </c>
      <c r="J245" s="286">
        <f>VLOOKUP($B245,'2、设备合同'!$D:$AK,9,0)</f>
        <v>0</v>
      </c>
      <c r="K245" s="287" t="str">
        <f>VLOOKUP($B245,'2、设备合同'!$D:$AK,10,0)</f>
        <v>6个月承兑汇票/电汇下浮3%</v>
      </c>
      <c r="L245" s="288" t="str">
        <f>VLOOKUP($B245,'2、设备合同'!$D:$AK,11,0)</f>
        <v>甲方收到乙方20%的预付款保函以及本合同的10%履约保函后15个工作日支付230%预付款</v>
      </c>
      <c r="M245" s="289">
        <f>VLOOKUP($B245,'2、设备合同'!$D:$AK,12,0)</f>
        <v>1222200</v>
      </c>
      <c r="N245" s="289">
        <f>VLOOKUP($B245,'2、设备合同'!$D:$AK,13,0)</f>
        <v>1222200</v>
      </c>
      <c r="O245" s="286" t="str">
        <f>VLOOKUP($B245,'2、设备合同'!$D:$AK,14,0)</f>
        <v>甲方到乙方现场确认无误后，收到17%全额专票，15个工作日内支付65%发货款</v>
      </c>
      <c r="P245" s="289">
        <f>VLOOKUP($B245,'2、设备合同'!$D:$AK,15,0)</f>
        <v>4095000</v>
      </c>
      <c r="Q245" s="289">
        <f>VLOOKUP($B245,'2、设备合同'!$D:$AK,16,0)</f>
        <v>0</v>
      </c>
      <c r="R245" s="286" t="str">
        <f>VLOOKUP($B245,'2、设备合同'!$D:$AK,17,0)</f>
        <v>甲方核定的调试合格报告及足额的发票后付10%的验收款</v>
      </c>
      <c r="S245" s="289">
        <f>VLOOKUP($B245,'2、设备合同'!$D:$AK,18,0)</f>
        <v>630000</v>
      </c>
      <c r="T245" s="289">
        <f>VLOOKUP($B245,'2、设备合同'!$D:$AK,19,0)</f>
        <v>0</v>
      </c>
      <c r="U245" s="286" t="str">
        <f>VLOOKUP($B245,'2、设备合同'!$D:$AK,20,0)</f>
        <v>5%质保金，验收合格12个月或到货现场18个月</v>
      </c>
      <c r="V245" s="289">
        <f>VLOOKUP($B245,'2、设备合同'!$D:$AK,21,0)</f>
        <v>315000</v>
      </c>
      <c r="W245" s="289">
        <f>VLOOKUP($B245,'2、设备合同'!$D:$AK,22,0)</f>
        <v>0</v>
      </c>
      <c r="X245" s="286">
        <f>VLOOKUP($B245,'2、设备合同'!$D:$AK,23,0)</f>
        <v>0</v>
      </c>
      <c r="Y245" s="289">
        <f>VLOOKUP($B245,'2、设备合同'!$D:$AK,24,0)</f>
        <v>0</v>
      </c>
      <c r="Z245" s="289">
        <f>VLOOKUP($B245,'2、设备合同'!$D:$AK,25,0)</f>
        <v>0</v>
      </c>
      <c r="AA245" s="286">
        <f>VLOOKUP($B245,'2、设备合同'!$D:$AK,26,0)</f>
        <v>0</v>
      </c>
      <c r="AB245" s="289">
        <f>VLOOKUP($B245,'2、设备合同'!$D:$AK,27,0)</f>
        <v>0</v>
      </c>
      <c r="AC245" s="289">
        <f>VLOOKUP($B245,'2、设备合同'!$D:$AK,28,0)</f>
        <v>0</v>
      </c>
      <c r="AD245" s="286">
        <f>VLOOKUP($B245,'2、设备合同'!$D:$AK,29,0)</f>
        <v>0</v>
      </c>
      <c r="AE245" s="289">
        <f>VLOOKUP($B245,'2、设备合同'!$D:$AK,30,0)</f>
        <v>0</v>
      </c>
      <c r="AF245" s="289">
        <f>VLOOKUP($B245,'2、设备合同'!$D:$AK,31,0)</f>
        <v>0</v>
      </c>
      <c r="AG245" s="289">
        <f>VLOOKUP($B245,'2、设备合同'!$D:$AK,32,0)</f>
        <v>0</v>
      </c>
      <c r="AH245" s="289">
        <f>VLOOKUP($B245,'2、设备合同'!$D:$AK,33,0)</f>
        <v>0</v>
      </c>
      <c r="AI245" s="308">
        <f>VLOOKUP($B245,'2、设备合同'!$D:$AK,34,0)</f>
        <v>0</v>
      </c>
      <c r="AJ245" s="309">
        <f t="shared" si="69"/>
        <v>1222200</v>
      </c>
      <c r="AK245" s="289">
        <f t="shared" si="70"/>
        <v>5040000</v>
      </c>
      <c r="AL245" s="310">
        <f t="shared" si="71"/>
        <v>0.195171026156942</v>
      </c>
      <c r="AM245" s="289">
        <f t="shared" si="72"/>
        <v>6262200</v>
      </c>
      <c r="AN245" s="311" t="str">
        <f t="shared" si="73"/>
        <v>数据正确</v>
      </c>
    </row>
    <row r="246" customHeight="1" spans="1:40">
      <c r="A246" s="228" t="str">
        <f t="shared" si="68"/>
        <v/>
      </c>
      <c r="B246" s="261">
        <v>241</v>
      </c>
      <c r="C246" s="266" t="str">
        <f>VLOOKUP($B246,'4、其他合同'!$D:$AK,2,0)</f>
        <v>YRKJXZ-170036</v>
      </c>
      <c r="D246" s="267" t="s">
        <v>25</v>
      </c>
      <c r="E246" s="267">
        <f>VLOOKUP($B246,'4、其他合同'!$D:$AK,4,0)</f>
        <v>0</v>
      </c>
      <c r="F246" s="268">
        <f>VLOOKUP($B246,'4、其他合同'!$D:$AK,5,0)</f>
        <v>42993</v>
      </c>
      <c r="G246" s="269">
        <f>VLOOKUP($B246,'4、其他合同'!$D:$AK,6,0)</f>
        <v>34740</v>
      </c>
      <c r="H246" s="269" t="str">
        <f>VLOOKUP($B246,'4、其他合同'!$D:$AK,7,0)</f>
        <v>冰箱、洗衣机</v>
      </c>
      <c r="I246" s="269" t="str">
        <f>VLOOKUP($B246,'4、其他合同'!$D:$AK,8,0)</f>
        <v>莆田市秀屿区宏达贸易有限公司</v>
      </c>
      <c r="J246" s="290">
        <f>VLOOKUP($B246,'4、其他合同'!$D:$AK,9,0)</f>
        <v>0</v>
      </c>
      <c r="K246" s="291" t="str">
        <f>VLOOKUP($B246,'4、其他合同'!$D:$AK,10,0)</f>
        <v>电汇</v>
      </c>
      <c r="L246" s="292" t="str">
        <f>VLOOKUP($B246,'4、其他合同'!$D:$AK,11,0)</f>
        <v>甲方收到货款验收合格以及全额的发票后15个工作日支付100%的货款</v>
      </c>
      <c r="M246" s="293">
        <f>VLOOKUP($B246,'4、其他合同'!$D:$AK,12,0)</f>
        <v>34740</v>
      </c>
      <c r="N246" s="293">
        <f>VLOOKUP($B246,'4、其他合同'!$D:$AK,13,0)</f>
        <v>0</v>
      </c>
      <c r="O246" s="290">
        <f>VLOOKUP($B246,'4、其他合同'!$D:$AK,14,0)</f>
        <v>0</v>
      </c>
      <c r="P246" s="293">
        <f>VLOOKUP($B246,'4、其他合同'!$D:$AK,15,0)</f>
        <v>0</v>
      </c>
      <c r="Q246" s="293">
        <f>VLOOKUP($B246,'4、其他合同'!$D:$AK,16,0)</f>
        <v>0</v>
      </c>
      <c r="R246" s="290">
        <f>VLOOKUP($B246,'4、其他合同'!$D:$AK,17,0)</f>
        <v>0</v>
      </c>
      <c r="S246" s="293">
        <f>VLOOKUP($B246,'4、其他合同'!$D:$AK,18,0)</f>
        <v>0</v>
      </c>
      <c r="T246" s="293">
        <f>VLOOKUP($B246,'4、其他合同'!$D:$AK,19,0)</f>
        <v>0</v>
      </c>
      <c r="U246" s="290">
        <f>VLOOKUP($B246,'4、其他合同'!$D:$AK,20,0)</f>
        <v>0</v>
      </c>
      <c r="V246" s="293">
        <f>VLOOKUP($B246,'4、其他合同'!$D:$AK,21,0)</f>
        <v>0</v>
      </c>
      <c r="W246" s="293">
        <f>VLOOKUP($B246,'4、其他合同'!$D:$AK,22,0)</f>
        <v>0</v>
      </c>
      <c r="X246" s="290">
        <f>VLOOKUP($B246,'4、其他合同'!$D:$AK,23,0)</f>
        <v>0</v>
      </c>
      <c r="Y246" s="293">
        <f>VLOOKUP($B246,'4、其他合同'!$D:$AK,24,0)</f>
        <v>0</v>
      </c>
      <c r="Z246" s="293">
        <f>VLOOKUP($B246,'4、其他合同'!$D:$AK,25,0)</f>
        <v>0</v>
      </c>
      <c r="AA246" s="290">
        <f>VLOOKUP($B246,'4、其他合同'!$D:$AK,26,0)</f>
        <v>0</v>
      </c>
      <c r="AB246" s="293">
        <f>VLOOKUP($B246,'4、其他合同'!$D:$AK,27,0)</f>
        <v>0</v>
      </c>
      <c r="AC246" s="293">
        <f>VLOOKUP($B246,'4、其他合同'!$D:$AK,28,0)</f>
        <v>0</v>
      </c>
      <c r="AD246" s="290">
        <f>VLOOKUP($B246,'4、其他合同'!$D:$AK,29,0)</f>
        <v>0</v>
      </c>
      <c r="AE246" s="293">
        <f>VLOOKUP($B246,'4、其他合同'!$D:$AK,30,0)</f>
        <v>0</v>
      </c>
      <c r="AF246" s="293">
        <f>VLOOKUP($B246,'4、其他合同'!$D:$AK,31,0)</f>
        <v>0</v>
      </c>
      <c r="AG246" s="293">
        <f>VLOOKUP($B246,'4、其他合同'!$D:$AK,32,0)</f>
        <v>0</v>
      </c>
      <c r="AH246" s="293">
        <f>VLOOKUP($B246,'4、其他合同'!$D:$AK,33,0)</f>
        <v>0</v>
      </c>
      <c r="AI246" s="312">
        <f>VLOOKUP($B246,'4、其他合同'!$D:$AK,34,0)</f>
        <v>0</v>
      </c>
      <c r="AJ246" s="309">
        <f t="shared" si="69"/>
        <v>0</v>
      </c>
      <c r="AK246" s="289">
        <f t="shared" si="70"/>
        <v>34740</v>
      </c>
      <c r="AL246" s="310">
        <f t="shared" si="71"/>
        <v>0</v>
      </c>
      <c r="AM246" s="289">
        <f t="shared" si="72"/>
        <v>34740</v>
      </c>
      <c r="AN246" s="311" t="str">
        <f t="shared" si="73"/>
        <v>数据正确</v>
      </c>
    </row>
    <row r="247" customHeight="1" spans="1:40">
      <c r="A247" s="228" t="str">
        <f t="shared" si="68"/>
        <v/>
      </c>
      <c r="B247" s="261">
        <v>242</v>
      </c>
      <c r="C247" s="266" t="str">
        <f>VLOOKUP($B247,'4、其他合同'!$D:$AK,2,0)</f>
        <v>YRKJXZ-170034</v>
      </c>
      <c r="D247" s="267" t="s">
        <v>25</v>
      </c>
      <c r="E247" s="267">
        <f>VLOOKUP($B247,'4、其他合同'!$D:$AK,4,0)</f>
        <v>0</v>
      </c>
      <c r="F247" s="268">
        <f>VLOOKUP($B247,'4、其他合同'!$D:$AK,5,0)</f>
        <v>42993</v>
      </c>
      <c r="G247" s="269">
        <f>VLOOKUP($B247,'4、其他合同'!$D:$AK,6,0)</f>
        <v>176120</v>
      </c>
      <c r="H247" s="269" t="str">
        <f>VLOOKUP($B247,'4、其他合同'!$D:$AK,7,0)</f>
        <v>格力空调74台</v>
      </c>
      <c r="I247" s="269" t="str">
        <f>VLOOKUP($B247,'4、其他合同'!$D:$AK,8,0)</f>
        <v>莆田市秀屿区宏达贸易有限公司</v>
      </c>
      <c r="J247" s="290">
        <f>VLOOKUP($B247,'4、其他合同'!$D:$AK,9,0)</f>
        <v>0</v>
      </c>
      <c r="K247" s="291" t="str">
        <f>VLOOKUP($B247,'4、其他合同'!$D:$AK,10,0)</f>
        <v>电汇</v>
      </c>
      <c r="L247" s="292" t="str">
        <f>VLOOKUP($B247,'4、其他合同'!$D:$AK,11,0)</f>
        <v>甲方收到货款验收合格以及全额的发票后15个工作日支付90%的货款</v>
      </c>
      <c r="M247" s="293">
        <f>VLOOKUP($B247,'4、其他合同'!$D:$AK,12,0)</f>
        <v>158508</v>
      </c>
      <c r="N247" s="293">
        <f>VLOOKUP($B247,'4、其他合同'!$D:$AK,13,0)</f>
        <v>0</v>
      </c>
      <c r="O247" s="290" t="str">
        <f>VLOOKUP($B247,'4、其他合同'!$D:$AK,14,0)</f>
        <v>10%质量保证金，验收合格后12个月支付</v>
      </c>
      <c r="P247" s="293">
        <f>VLOOKUP($B247,'4、其他合同'!$D:$AK,15,0)</f>
        <v>17612</v>
      </c>
      <c r="Q247" s="293">
        <f>VLOOKUP($B247,'4、其他合同'!$D:$AK,16,0)</f>
        <v>0</v>
      </c>
      <c r="R247" s="290">
        <f>VLOOKUP($B247,'4、其他合同'!$D:$AK,17,0)</f>
        <v>0</v>
      </c>
      <c r="S247" s="293">
        <f>VLOOKUP($B247,'4、其他合同'!$D:$AK,18,0)</f>
        <v>0</v>
      </c>
      <c r="T247" s="293">
        <f>VLOOKUP($B247,'4、其他合同'!$D:$AK,19,0)</f>
        <v>0</v>
      </c>
      <c r="U247" s="290">
        <f>VLOOKUP($B247,'4、其他合同'!$D:$AK,20,0)</f>
        <v>0</v>
      </c>
      <c r="V247" s="293">
        <f>VLOOKUP($B247,'4、其他合同'!$D:$AK,21,0)</f>
        <v>0</v>
      </c>
      <c r="W247" s="293">
        <f>VLOOKUP($B247,'4、其他合同'!$D:$AK,22,0)</f>
        <v>0</v>
      </c>
      <c r="X247" s="290">
        <f>VLOOKUP($B247,'4、其他合同'!$D:$AK,23,0)</f>
        <v>0</v>
      </c>
      <c r="Y247" s="293">
        <f>VLOOKUP($B247,'4、其他合同'!$D:$AK,24,0)</f>
        <v>0</v>
      </c>
      <c r="Z247" s="293">
        <f>VLOOKUP($B247,'4、其他合同'!$D:$AK,25,0)</f>
        <v>0</v>
      </c>
      <c r="AA247" s="290">
        <f>VLOOKUP($B247,'4、其他合同'!$D:$AK,26,0)</f>
        <v>0</v>
      </c>
      <c r="AB247" s="293">
        <f>VLOOKUP($B247,'4、其他合同'!$D:$AK,27,0)</f>
        <v>0</v>
      </c>
      <c r="AC247" s="293">
        <f>VLOOKUP($B247,'4、其他合同'!$D:$AK,28,0)</f>
        <v>0</v>
      </c>
      <c r="AD247" s="290">
        <f>VLOOKUP($B247,'4、其他合同'!$D:$AK,29,0)</f>
        <v>0</v>
      </c>
      <c r="AE247" s="293">
        <f>VLOOKUP($B247,'4、其他合同'!$D:$AK,30,0)</f>
        <v>0</v>
      </c>
      <c r="AF247" s="293">
        <f>VLOOKUP($B247,'4、其他合同'!$D:$AK,31,0)</f>
        <v>0</v>
      </c>
      <c r="AG247" s="293">
        <f>VLOOKUP($B247,'4、其他合同'!$D:$AK,32,0)</f>
        <v>0</v>
      </c>
      <c r="AH247" s="293">
        <f>VLOOKUP($B247,'4、其他合同'!$D:$AK,33,0)</f>
        <v>0</v>
      </c>
      <c r="AI247" s="312">
        <f>VLOOKUP($B247,'4、其他合同'!$D:$AK,34,0)</f>
        <v>0</v>
      </c>
      <c r="AJ247" s="309">
        <f t="shared" si="69"/>
        <v>0</v>
      </c>
      <c r="AK247" s="289">
        <f t="shared" si="70"/>
        <v>176120</v>
      </c>
      <c r="AL247" s="310">
        <f t="shared" si="71"/>
        <v>0</v>
      </c>
      <c r="AM247" s="289">
        <f t="shared" si="72"/>
        <v>176120</v>
      </c>
      <c r="AN247" s="311" t="str">
        <f t="shared" si="73"/>
        <v>数据正确</v>
      </c>
    </row>
    <row r="248" customHeight="1" spans="1:40">
      <c r="A248" s="228" t="str">
        <f t="shared" si="68"/>
        <v/>
      </c>
      <c r="B248" s="261">
        <v>243</v>
      </c>
      <c r="C248" s="266" t="str">
        <f>VLOOKUP($B248,'4、其他合同'!$D:$AK,2,0)</f>
        <v>YRKJXZ-170022</v>
      </c>
      <c r="D248" s="267" t="s">
        <v>25</v>
      </c>
      <c r="E248" s="267">
        <f>VLOOKUP($B248,'4、其他合同'!$D:$AK,4,0)</f>
        <v>0</v>
      </c>
      <c r="F248" s="268">
        <f>VLOOKUP($B248,'4、其他合同'!$D:$AK,5,0)</f>
        <v>42912</v>
      </c>
      <c r="G248" s="269">
        <f>VLOOKUP($B248,'4、其他合同'!$D:$AK,6,0)</f>
        <v>57000</v>
      </c>
      <c r="H248" s="269" t="str">
        <f>VLOOKUP($B248,'4、其他合同'!$D:$AK,7,0)</f>
        <v>服务器、硬盘</v>
      </c>
      <c r="I248" s="269" t="str">
        <f>VLOOKUP($B248,'4、其他合同'!$D:$AK,8,0)</f>
        <v>福建聚众科技有限公司</v>
      </c>
      <c r="J248" s="290">
        <f>VLOOKUP($B248,'4、其他合同'!$D:$AK,9,0)</f>
        <v>0</v>
      </c>
      <c r="K248" s="291" t="str">
        <f>VLOOKUP($B248,'4、其他合同'!$D:$AK,10,0)</f>
        <v>6个月承兑汇票/接受反向贴息</v>
      </c>
      <c r="L248" s="292" t="str">
        <f>VLOOKUP($B248,'4、其他合同'!$D:$AK,11,0)</f>
        <v>甲方收到货款验收合格以及全额的发票后15个工作日支付100%的货款</v>
      </c>
      <c r="M248" s="293">
        <f>VLOOKUP($B248,'4、其他合同'!$D:$AK,12,0)</f>
        <v>57000</v>
      </c>
      <c r="N248" s="293">
        <f>VLOOKUP($B248,'4、其他合同'!$D:$AK,13,0)</f>
        <v>0</v>
      </c>
      <c r="O248" s="290">
        <f>VLOOKUP($B248,'4、其他合同'!$D:$AK,14,0)</f>
        <v>0</v>
      </c>
      <c r="P248" s="293">
        <f>VLOOKUP($B248,'4、其他合同'!$D:$AK,15,0)</f>
        <v>0</v>
      </c>
      <c r="Q248" s="293">
        <f>VLOOKUP($B248,'4、其他合同'!$D:$AK,16,0)</f>
        <v>0</v>
      </c>
      <c r="R248" s="290">
        <f>VLOOKUP($B248,'4、其他合同'!$D:$AK,17,0)</f>
        <v>0</v>
      </c>
      <c r="S248" s="293">
        <f>VLOOKUP($B248,'4、其他合同'!$D:$AK,18,0)</f>
        <v>0</v>
      </c>
      <c r="T248" s="293">
        <f>VLOOKUP($B248,'4、其他合同'!$D:$AK,19,0)</f>
        <v>0</v>
      </c>
      <c r="U248" s="290">
        <f>VLOOKUP($B248,'4、其他合同'!$D:$AK,20,0)</f>
        <v>0</v>
      </c>
      <c r="V248" s="293">
        <f>VLOOKUP($B248,'4、其他合同'!$D:$AK,21,0)</f>
        <v>0</v>
      </c>
      <c r="W248" s="293">
        <f>VLOOKUP($B248,'4、其他合同'!$D:$AK,22,0)</f>
        <v>0</v>
      </c>
      <c r="X248" s="290">
        <f>VLOOKUP($B248,'4、其他合同'!$D:$AK,23,0)</f>
        <v>0</v>
      </c>
      <c r="Y248" s="293">
        <f>VLOOKUP($B248,'4、其他合同'!$D:$AK,24,0)</f>
        <v>0</v>
      </c>
      <c r="Z248" s="293">
        <f>VLOOKUP($B248,'4、其他合同'!$D:$AK,25,0)</f>
        <v>0</v>
      </c>
      <c r="AA248" s="290">
        <f>VLOOKUP($B248,'4、其他合同'!$D:$AK,26,0)</f>
        <v>0</v>
      </c>
      <c r="AB248" s="293">
        <f>VLOOKUP($B248,'4、其他合同'!$D:$AK,27,0)</f>
        <v>0</v>
      </c>
      <c r="AC248" s="293">
        <f>VLOOKUP($B248,'4、其他合同'!$D:$AK,28,0)</f>
        <v>0</v>
      </c>
      <c r="AD248" s="290">
        <f>VLOOKUP($B248,'4、其他合同'!$D:$AK,29,0)</f>
        <v>0</v>
      </c>
      <c r="AE248" s="293">
        <f>VLOOKUP($B248,'4、其他合同'!$D:$AK,30,0)</f>
        <v>0</v>
      </c>
      <c r="AF248" s="293">
        <f>VLOOKUP($B248,'4、其他合同'!$D:$AK,31,0)</f>
        <v>0</v>
      </c>
      <c r="AG248" s="293">
        <f>VLOOKUP($B248,'4、其他合同'!$D:$AK,32,0)</f>
        <v>0</v>
      </c>
      <c r="AH248" s="293">
        <f>VLOOKUP($B248,'4、其他合同'!$D:$AK,33,0)</f>
        <v>0</v>
      </c>
      <c r="AI248" s="312">
        <f>VLOOKUP($B248,'4、其他合同'!$D:$AK,34,0)</f>
        <v>0</v>
      </c>
      <c r="AJ248" s="309">
        <f t="shared" si="69"/>
        <v>0</v>
      </c>
      <c r="AK248" s="289">
        <f t="shared" si="70"/>
        <v>57000</v>
      </c>
      <c r="AL248" s="310">
        <f t="shared" si="71"/>
        <v>0</v>
      </c>
      <c r="AM248" s="289">
        <f t="shared" si="72"/>
        <v>57000</v>
      </c>
      <c r="AN248" s="311" t="str">
        <f t="shared" si="73"/>
        <v>数据正确</v>
      </c>
    </row>
    <row r="249" customHeight="1" spans="1:40">
      <c r="A249" s="228" t="str">
        <f t="shared" si="68"/>
        <v/>
      </c>
      <c r="B249" s="261">
        <v>244</v>
      </c>
      <c r="C249" s="262" t="str">
        <f>VLOOKUP($B249,'2、设备合同'!$D:$AK,2,0)</f>
        <v>YRKJEQ-170094</v>
      </c>
      <c r="D249" s="263" t="str">
        <f>VLOOKUP($B249,'2、设备合同'!$D:$AK,3,0)</f>
        <v>设备合同</v>
      </c>
      <c r="E249" s="263">
        <f>VLOOKUP($B249,'2、设备合同'!$D:$AK,4,0)</f>
        <v>0</v>
      </c>
      <c r="F249" s="264">
        <f>VLOOKUP($B249,'2、设备合同'!$D:$AK,5,0)</f>
        <v>42983</v>
      </c>
      <c r="G249" s="265">
        <f>VLOOKUP($B249,'2、设备合同'!$D:$AK,6,0)</f>
        <v>3938</v>
      </c>
      <c r="H249" s="265" t="str">
        <f>VLOOKUP($B249,'2、设备合同'!$D:$AK,7,0)</f>
        <v>光谱分析仪器用电池</v>
      </c>
      <c r="I249" s="265" t="str">
        <f>VLOOKUP($B249,'2、设备合同'!$D:$AK,8,0)</f>
        <v>赛默飞世尔科技（中国）有限公司</v>
      </c>
      <c r="J249" s="286">
        <f>VLOOKUP($B249,'2、设备合同'!$D:$AK,9,0)</f>
        <v>0</v>
      </c>
      <c r="K249" s="287" t="str">
        <f>VLOOKUP($B249,'2、设备合同'!$D:$AK,10,0)</f>
        <v>电汇</v>
      </c>
      <c r="L249" s="288" t="str">
        <f>VLOOKUP($B249,'2、设备合同'!$D:$AK,11,0)</f>
        <v>100%预付款</v>
      </c>
      <c r="M249" s="289">
        <f>VLOOKUP($B249,'2、设备合同'!$D:$AK,12,0)</f>
        <v>3938</v>
      </c>
      <c r="N249" s="289">
        <f>VLOOKUP($B249,'2、设备合同'!$D:$AK,13,0)</f>
        <v>0</v>
      </c>
      <c r="O249" s="286">
        <f>VLOOKUP($B249,'2、设备合同'!$D:$AK,14,0)</f>
        <v>0</v>
      </c>
      <c r="P249" s="289">
        <f>VLOOKUP($B249,'2、设备合同'!$D:$AK,15,0)</f>
        <v>0</v>
      </c>
      <c r="Q249" s="289">
        <f>VLOOKUP($B249,'2、设备合同'!$D:$AK,16,0)</f>
        <v>0</v>
      </c>
      <c r="R249" s="286">
        <f>VLOOKUP($B249,'2、设备合同'!$D:$AK,17,0)</f>
        <v>0</v>
      </c>
      <c r="S249" s="289">
        <f>VLOOKUP($B249,'2、设备合同'!$D:$AK,18,0)</f>
        <v>0</v>
      </c>
      <c r="T249" s="289">
        <f>VLOOKUP($B249,'2、设备合同'!$D:$AK,19,0)</f>
        <v>0</v>
      </c>
      <c r="U249" s="286">
        <f>VLOOKUP($B249,'2、设备合同'!$D:$AK,20,0)</f>
        <v>0</v>
      </c>
      <c r="V249" s="289">
        <f>VLOOKUP($B249,'2、设备合同'!$D:$AK,21,0)</f>
        <v>0</v>
      </c>
      <c r="W249" s="289">
        <f>VLOOKUP($B249,'2、设备合同'!$D:$AK,22,0)</f>
        <v>0</v>
      </c>
      <c r="X249" s="286">
        <f>VLOOKUP($B249,'2、设备合同'!$D:$AK,23,0)</f>
        <v>0</v>
      </c>
      <c r="Y249" s="289">
        <f>VLOOKUP($B249,'2、设备合同'!$D:$AK,24,0)</f>
        <v>0</v>
      </c>
      <c r="Z249" s="289">
        <f>VLOOKUP($B249,'2、设备合同'!$D:$AK,25,0)</f>
        <v>0</v>
      </c>
      <c r="AA249" s="286">
        <f>VLOOKUP($B249,'2、设备合同'!$D:$AK,26,0)</f>
        <v>0</v>
      </c>
      <c r="AB249" s="289">
        <f>VLOOKUP($B249,'2、设备合同'!$D:$AK,27,0)</f>
        <v>0</v>
      </c>
      <c r="AC249" s="289">
        <f>VLOOKUP($B249,'2、设备合同'!$D:$AK,28,0)</f>
        <v>0</v>
      </c>
      <c r="AD249" s="286">
        <f>VLOOKUP($B249,'2、设备合同'!$D:$AK,29,0)</f>
        <v>0</v>
      </c>
      <c r="AE249" s="289">
        <f>VLOOKUP($B249,'2、设备合同'!$D:$AK,30,0)</f>
        <v>0</v>
      </c>
      <c r="AF249" s="289">
        <f>VLOOKUP($B249,'2、设备合同'!$D:$AK,31,0)</f>
        <v>0</v>
      </c>
      <c r="AG249" s="289">
        <f>VLOOKUP($B249,'2、设备合同'!$D:$AK,32,0)</f>
        <v>0</v>
      </c>
      <c r="AH249" s="289">
        <f>VLOOKUP($B249,'2、设备合同'!$D:$AK,33,0)</f>
        <v>0</v>
      </c>
      <c r="AI249" s="308">
        <f>VLOOKUP($B249,'2、设备合同'!$D:$AK,34,0)</f>
        <v>0</v>
      </c>
      <c r="AJ249" s="309">
        <f t="shared" si="69"/>
        <v>0</v>
      </c>
      <c r="AK249" s="289">
        <f t="shared" si="70"/>
        <v>3938</v>
      </c>
      <c r="AL249" s="310">
        <f t="shared" si="71"/>
        <v>0</v>
      </c>
      <c r="AM249" s="289">
        <f t="shared" si="72"/>
        <v>3938</v>
      </c>
      <c r="AN249" s="311" t="str">
        <f t="shared" si="73"/>
        <v>数据正确</v>
      </c>
    </row>
    <row r="250" customHeight="1" spans="1:40">
      <c r="A250" s="228" t="str">
        <f t="shared" si="68"/>
        <v/>
      </c>
      <c r="B250" s="261">
        <v>245</v>
      </c>
      <c r="C250" s="266" t="str">
        <f>VLOOKUP($B250,'3、工程合同'!$D:$AL,2,0)</f>
        <v>YRKJGC-170041</v>
      </c>
      <c r="D250" s="267" t="str">
        <f>VLOOKUP($B250,'3、工程合同'!$D:$AL,3,0)</f>
        <v>工程合同</v>
      </c>
      <c r="E250" s="267">
        <f>VLOOKUP($B250,'3、工程合同'!$D:$AL,4,0)</f>
        <v>2017070074</v>
      </c>
      <c r="F250" s="268">
        <f>VLOOKUP($B250,'3、工程合同'!$D:$AL,5,0)</f>
        <v>42972</v>
      </c>
      <c r="G250" s="269">
        <f>VLOOKUP($B250,'3、工程合同'!$D:$AL,6,0)</f>
        <v>280000</v>
      </c>
      <c r="H250" s="269" t="str">
        <f>VLOOKUP($B250,'3、工程合同'!$D:$AL,7,0)</f>
        <v>消防管件一批</v>
      </c>
      <c r="I250" s="269" t="str">
        <f>VLOOKUP($B250,'3、工程合同'!$D:$AL,8,0)</f>
        <v>泉州市中天石油化工机械制造有限公司</v>
      </c>
      <c r="J250" s="290">
        <f>VLOOKUP($B250,'3、工程合同'!$D:$AL,9,0)</f>
        <v>0</v>
      </c>
      <c r="K250" s="291" t="str">
        <f>VLOOKUP($B250,'3、工程合同'!$D:$AL,10,0)</f>
        <v>6个月承兑汇票/电汇下浮按银行贷款利率</v>
      </c>
      <c r="L250" s="292" t="str">
        <f>VLOOKUP($B250,'3、工程合同'!$D:$AL,11,0)</f>
        <v>甲方收到货、发票后，10-15个工作日支付95%</v>
      </c>
      <c r="M250" s="293">
        <f>VLOOKUP($B250,'3、工程合同'!$D:$AL,12,0)</f>
        <v>266000</v>
      </c>
      <c r="N250" s="293">
        <f>VLOOKUP($B250,'3、工程合同'!$D:$AL,13,0)</f>
        <v>0</v>
      </c>
      <c r="O250" s="290" t="str">
        <f>VLOOKUP($B250,'3、工程合同'!$D:$AL,14,0)</f>
        <v>5%质保金，自验收合格，满12月或货到现场19个月支付</v>
      </c>
      <c r="P250" s="293">
        <f>VLOOKUP($B250,'3、工程合同'!$D:$AL,15,0)</f>
        <v>14000</v>
      </c>
      <c r="Q250" s="293">
        <f>VLOOKUP($B250,'3、工程合同'!$D:$AL,16,0)</f>
        <v>0</v>
      </c>
      <c r="R250" s="290">
        <f>VLOOKUP($B250,'3、工程合同'!$D:$AL,17,0)</f>
        <v>0</v>
      </c>
      <c r="S250" s="293">
        <f>VLOOKUP($B250,'3、工程合同'!$D:$AL,18,0)</f>
        <v>0</v>
      </c>
      <c r="T250" s="293">
        <f>VLOOKUP($B250,'3、工程合同'!$D:$AL,19,0)</f>
        <v>0</v>
      </c>
      <c r="U250" s="290">
        <f>VLOOKUP($B250,'3、工程合同'!$D:$AL,20,0)</f>
        <v>0</v>
      </c>
      <c r="V250" s="293">
        <f>VLOOKUP($B250,'3、工程合同'!$D:$AL,21,0)</f>
        <v>0</v>
      </c>
      <c r="W250" s="293">
        <f>VLOOKUP($B250,'3、工程合同'!$D:$AL,22,0)</f>
        <v>0</v>
      </c>
      <c r="X250" s="290">
        <f>VLOOKUP($B250,'3、工程合同'!$D:$AL,23,0)</f>
        <v>0</v>
      </c>
      <c r="Y250" s="293">
        <f>VLOOKUP($B250,'3、工程合同'!$D:$AL,24,0)</f>
        <v>0</v>
      </c>
      <c r="Z250" s="293">
        <f>VLOOKUP($B250,'3、工程合同'!$D:$AL,25,0)</f>
        <v>0</v>
      </c>
      <c r="AA250" s="290">
        <f>VLOOKUP($B250,'3、工程合同'!$D:$AL,26,0)</f>
        <v>0</v>
      </c>
      <c r="AB250" s="293">
        <f>VLOOKUP($B250,'3、工程合同'!$D:$AL,27,0)</f>
        <v>0</v>
      </c>
      <c r="AC250" s="293">
        <f>VLOOKUP($B250,'3、工程合同'!$D:$AL,28,0)</f>
        <v>0</v>
      </c>
      <c r="AD250" s="290">
        <f>VLOOKUP($B250,'3、工程合同'!$D:$AL,29,0)</f>
        <v>0</v>
      </c>
      <c r="AE250" s="293">
        <f>VLOOKUP($B250,'3、工程合同'!$D:$AL,30,0)</f>
        <v>0</v>
      </c>
      <c r="AF250" s="293">
        <f>VLOOKUP($B250,'3、工程合同'!$D:$AL,31,0)</f>
        <v>0</v>
      </c>
      <c r="AG250" s="293">
        <f>VLOOKUP($B250,'3、工程合同'!$D:$AL,32,0)</f>
        <v>0</v>
      </c>
      <c r="AH250" s="293">
        <f>VLOOKUP($B250,'3、工程合同'!$D:$AL,33,0)</f>
        <v>0</v>
      </c>
      <c r="AI250" s="312">
        <f>VLOOKUP($B250,'3、工程合同'!$D:$AL,34,0)</f>
        <v>0</v>
      </c>
      <c r="AJ250" s="309">
        <f t="shared" si="69"/>
        <v>0</v>
      </c>
      <c r="AK250" s="289">
        <f t="shared" si="70"/>
        <v>280000</v>
      </c>
      <c r="AL250" s="310">
        <f t="shared" si="71"/>
        <v>0</v>
      </c>
      <c r="AM250" s="289">
        <f t="shared" si="72"/>
        <v>280000</v>
      </c>
      <c r="AN250" s="311" t="str">
        <f t="shared" si="73"/>
        <v>数据正确</v>
      </c>
    </row>
    <row r="251" customHeight="1" spans="1:40">
      <c r="A251" s="228" t="str">
        <f t="shared" si="68"/>
        <v/>
      </c>
      <c r="B251" s="261">
        <v>246</v>
      </c>
      <c r="C251" s="266" t="str">
        <f>VLOOKUP($B251,'3、工程合同'!$D:$AL,2,0)</f>
        <v>YRKJGC-170051</v>
      </c>
      <c r="D251" s="267" t="str">
        <f>VLOOKUP($B251,'3、工程合同'!$D:$AL,3,0)</f>
        <v>工程合同</v>
      </c>
      <c r="E251" s="267" t="str">
        <f>VLOOKUP($B251,'3、工程合同'!$D:$AL,4,0)</f>
        <v>2017070048/2017080089</v>
      </c>
      <c r="F251" s="268">
        <f>VLOOKUP($B251,'3、工程合同'!$D:$AL,5,0)</f>
        <v>42980</v>
      </c>
      <c r="G251" s="269">
        <f>VLOOKUP($B251,'3、工程合同'!$D:$AL,6,0)</f>
        <v>38000</v>
      </c>
      <c r="H251" s="269" t="str">
        <f>VLOOKUP($B251,'3、工程合同'!$D:$AL,7,0)</f>
        <v>电气材料</v>
      </c>
      <c r="I251" s="269" t="str">
        <f>VLOOKUP($B251,'3、工程合同'!$D:$AL,8,0)</f>
        <v>莆田冠亿自动化科技有限公司</v>
      </c>
      <c r="J251" s="290">
        <f>VLOOKUP($B251,'3、工程合同'!$D:$AL,9,0)</f>
        <v>0</v>
      </c>
      <c r="K251" s="291" t="str">
        <f>VLOOKUP($B251,'3、工程合同'!$D:$AL,10,0)</f>
        <v>电汇</v>
      </c>
      <c r="L251" s="292" t="str">
        <f>VLOOKUP($B251,'3、工程合同'!$D:$AL,11,0)</f>
        <v>甲方收到货、发票后，10-15个工作日支付100%</v>
      </c>
      <c r="M251" s="293">
        <f>VLOOKUP($B251,'3、工程合同'!$D:$AL,12,0)</f>
        <v>38000</v>
      </c>
      <c r="N251" s="293">
        <f>VLOOKUP($B251,'3、工程合同'!$D:$AL,13,0)</f>
        <v>0</v>
      </c>
      <c r="O251" s="290">
        <f>VLOOKUP($B251,'3、工程合同'!$D:$AL,14,0)</f>
        <v>0</v>
      </c>
      <c r="P251" s="293">
        <f>VLOOKUP($B251,'3、工程合同'!$D:$AL,15,0)</f>
        <v>0</v>
      </c>
      <c r="Q251" s="293">
        <f>VLOOKUP($B251,'3、工程合同'!$D:$AL,16,0)</f>
        <v>0</v>
      </c>
      <c r="R251" s="290">
        <f>VLOOKUP($B251,'3、工程合同'!$D:$AL,17,0)</f>
        <v>0</v>
      </c>
      <c r="S251" s="293">
        <f>VLOOKUP($B251,'3、工程合同'!$D:$AL,18,0)</f>
        <v>0</v>
      </c>
      <c r="T251" s="293">
        <f>VLOOKUP($B251,'3、工程合同'!$D:$AL,19,0)</f>
        <v>0</v>
      </c>
      <c r="U251" s="290">
        <f>VLOOKUP($B251,'3、工程合同'!$D:$AL,20,0)</f>
        <v>0</v>
      </c>
      <c r="V251" s="293">
        <f>VLOOKUP($B251,'3、工程合同'!$D:$AL,21,0)</f>
        <v>0</v>
      </c>
      <c r="W251" s="293">
        <f>VLOOKUP($B251,'3、工程合同'!$D:$AL,22,0)</f>
        <v>0</v>
      </c>
      <c r="X251" s="290">
        <f>VLOOKUP($B251,'3、工程合同'!$D:$AL,23,0)</f>
        <v>0</v>
      </c>
      <c r="Y251" s="293">
        <f>VLOOKUP($B251,'3、工程合同'!$D:$AL,24,0)</f>
        <v>0</v>
      </c>
      <c r="Z251" s="293">
        <f>VLOOKUP($B251,'3、工程合同'!$D:$AL,25,0)</f>
        <v>0</v>
      </c>
      <c r="AA251" s="290">
        <f>VLOOKUP($B251,'3、工程合同'!$D:$AL,26,0)</f>
        <v>0</v>
      </c>
      <c r="AB251" s="293">
        <f>VLOOKUP($B251,'3、工程合同'!$D:$AL,27,0)</f>
        <v>0</v>
      </c>
      <c r="AC251" s="293">
        <f>VLOOKUP($B251,'3、工程合同'!$D:$AL,28,0)</f>
        <v>0</v>
      </c>
      <c r="AD251" s="290">
        <f>VLOOKUP($B251,'3、工程合同'!$D:$AL,29,0)</f>
        <v>0</v>
      </c>
      <c r="AE251" s="293">
        <f>VLOOKUP($B251,'3、工程合同'!$D:$AL,30,0)</f>
        <v>0</v>
      </c>
      <c r="AF251" s="293">
        <f>VLOOKUP($B251,'3、工程合同'!$D:$AL,31,0)</f>
        <v>0</v>
      </c>
      <c r="AG251" s="293">
        <f>VLOOKUP($B251,'3、工程合同'!$D:$AL,32,0)</f>
        <v>0</v>
      </c>
      <c r="AH251" s="293">
        <f>VLOOKUP($B251,'3、工程合同'!$D:$AL,33,0)</f>
        <v>0</v>
      </c>
      <c r="AI251" s="312">
        <f>VLOOKUP($B251,'3、工程合同'!$D:$AL,34,0)</f>
        <v>0</v>
      </c>
      <c r="AJ251" s="309">
        <f t="shared" si="69"/>
        <v>0</v>
      </c>
      <c r="AK251" s="289">
        <f t="shared" si="70"/>
        <v>38000</v>
      </c>
      <c r="AL251" s="310">
        <f t="shared" si="71"/>
        <v>0</v>
      </c>
      <c r="AM251" s="289">
        <f t="shared" si="72"/>
        <v>38000</v>
      </c>
      <c r="AN251" s="311" t="str">
        <f t="shared" si="73"/>
        <v>数据正确</v>
      </c>
    </row>
    <row r="252" customHeight="1" spans="1:40">
      <c r="A252" s="228" t="str">
        <f t="shared" si="68"/>
        <v/>
      </c>
      <c r="B252" s="261">
        <v>247</v>
      </c>
      <c r="C252" s="262" t="str">
        <f>VLOOKUP($B252,'2、设备合同'!$D:$AK,2,0)</f>
        <v>YRKJEQ-170085</v>
      </c>
      <c r="D252" s="263" t="str">
        <f>VLOOKUP($B252,'2、设备合同'!$D:$AK,3,0)</f>
        <v>设备合同</v>
      </c>
      <c r="E252" s="263">
        <f>VLOOKUP($B252,'2、设备合同'!$D:$AK,4,0)</f>
        <v>2017070056</v>
      </c>
      <c r="F252" s="264">
        <f>VLOOKUP($B252,'2、设备合同'!$D:$AK,5,0)</f>
        <v>42986</v>
      </c>
      <c r="G252" s="265">
        <f>VLOOKUP($B252,'2、设备合同'!$D:$AK,6,0)</f>
        <v>10500000</v>
      </c>
      <c r="H252" s="265" t="str">
        <f>VLOOKUP($B252,'2、设备合同'!$D:$AK,7,0)</f>
        <v>23台非标设备</v>
      </c>
      <c r="I252" s="265" t="str">
        <f>VLOOKUP($B252,'2、设备合同'!$D:$AK,8,0)</f>
        <v>湖南湘东化工机械有限公司</v>
      </c>
      <c r="J252" s="286">
        <f>VLOOKUP($B252,'2、设备合同'!$D:$AK,9,0)</f>
        <v>0</v>
      </c>
      <c r="K252" s="287" t="str">
        <f>VLOOKUP($B252,'2、设备合同'!$D:$AK,10,0)</f>
        <v>承兑+电汇</v>
      </c>
      <c r="L252" s="288" t="str">
        <f>VLOOKUP($B252,'2、设备合同'!$D:$AK,11,0)</f>
        <v>甲方收到乙方20%的预付款保函以及本合同的10%履约保函后15个工作日支付20%预付款 电汇</v>
      </c>
      <c r="M252" s="289">
        <f>VLOOKUP($B252,'2、设备合同'!$D:$AK,12,0)</f>
        <v>2100000</v>
      </c>
      <c r="N252" s="289">
        <f>VLOOKUP($B252,'2、设备合同'!$D:$AK,13,0)</f>
        <v>2100000</v>
      </c>
      <c r="O252" s="286" t="str">
        <f>VLOOKUP($B252,'2、设备合同'!$D:$AK,14,0)</f>
        <v>甲方到乙方现场确认无误后，收到17%等额专票，15个工作日内支付60%发货款 承兑</v>
      </c>
      <c r="P252" s="289">
        <f>VLOOKUP($B252,'2、设备合同'!$D:$AK,15,0)</f>
        <v>6300000</v>
      </c>
      <c r="Q252" s="289">
        <f>VLOOKUP($B252,'2、设备合同'!$D:$AK,16,0)</f>
        <v>0</v>
      </c>
      <c r="R252" s="286" t="str">
        <f>VLOOKUP($B252,'2、设备合同'!$D:$AK,17,0)</f>
        <v>甲方收到核定的调试合格报告后15个工作日，支付10%调试款 承兑</v>
      </c>
      <c r="S252" s="289">
        <f>VLOOKUP($B252,'2、设备合同'!$D:$AK,18,0)</f>
        <v>1050000</v>
      </c>
      <c r="T252" s="289">
        <f>VLOOKUP($B252,'2、设备合同'!$D:$AK,19,0)</f>
        <v>0</v>
      </c>
      <c r="U252" s="286" t="str">
        <f>VLOOKUP($B252,'2、设备合同'!$D:$AK,20,0)</f>
        <v>10%质保金，验收合格12个月或到货现场18个月 承兑</v>
      </c>
      <c r="V252" s="289">
        <f>VLOOKUP($B252,'2、设备合同'!$D:$AK,21,0)</f>
        <v>1050000</v>
      </c>
      <c r="W252" s="289">
        <f>VLOOKUP($B252,'2、设备合同'!$D:$AK,22,0)</f>
        <v>0</v>
      </c>
      <c r="X252" s="286">
        <f>VLOOKUP($B252,'2、设备合同'!$D:$AK,23,0)</f>
        <v>0</v>
      </c>
      <c r="Y252" s="289">
        <f>VLOOKUP($B252,'2、设备合同'!$D:$AK,24,0)</f>
        <v>0</v>
      </c>
      <c r="Z252" s="289">
        <f>VLOOKUP($B252,'2、设备合同'!$D:$AK,25,0)</f>
        <v>0</v>
      </c>
      <c r="AA252" s="286">
        <f>VLOOKUP($B252,'2、设备合同'!$D:$AK,26,0)</f>
        <v>0</v>
      </c>
      <c r="AB252" s="289">
        <f>VLOOKUP($B252,'2、设备合同'!$D:$AK,27,0)</f>
        <v>0</v>
      </c>
      <c r="AC252" s="289">
        <f>VLOOKUP($B252,'2、设备合同'!$D:$AK,28,0)</f>
        <v>0</v>
      </c>
      <c r="AD252" s="286">
        <f>VLOOKUP($B252,'2、设备合同'!$D:$AK,29,0)</f>
        <v>0</v>
      </c>
      <c r="AE252" s="289">
        <f>VLOOKUP($B252,'2、设备合同'!$D:$AK,30,0)</f>
        <v>0</v>
      </c>
      <c r="AF252" s="289">
        <f>VLOOKUP($B252,'2、设备合同'!$D:$AK,31,0)</f>
        <v>0</v>
      </c>
      <c r="AG252" s="289">
        <f>VLOOKUP($B252,'2、设备合同'!$D:$AK,32,0)</f>
        <v>0</v>
      </c>
      <c r="AH252" s="289">
        <f>VLOOKUP($B252,'2、设备合同'!$D:$AK,33,0)</f>
        <v>0</v>
      </c>
      <c r="AI252" s="308">
        <f>VLOOKUP($B252,'2、设备合同'!$D:$AK,34,0)</f>
        <v>0</v>
      </c>
      <c r="AJ252" s="309">
        <f t="shared" si="69"/>
        <v>2100000</v>
      </c>
      <c r="AK252" s="289">
        <f t="shared" si="70"/>
        <v>8400000</v>
      </c>
      <c r="AL252" s="310">
        <f t="shared" si="71"/>
        <v>0.2</v>
      </c>
      <c r="AM252" s="289">
        <f t="shared" si="72"/>
        <v>10500000</v>
      </c>
      <c r="AN252" s="311" t="str">
        <f t="shared" si="73"/>
        <v>数据正确</v>
      </c>
    </row>
    <row r="253" customHeight="1" spans="1:40">
      <c r="A253" s="228" t="str">
        <f t="shared" si="68"/>
        <v/>
      </c>
      <c r="B253" s="261">
        <v>248</v>
      </c>
      <c r="C253" s="262" t="str">
        <f>VLOOKUP($B253,'2、设备合同'!$D:$AK,2,0)</f>
        <v>YRKJEQ-170048</v>
      </c>
      <c r="D253" s="263" t="str">
        <f>VLOOKUP($B253,'2、设备合同'!$D:$AK,3,0)</f>
        <v>设备合同</v>
      </c>
      <c r="E253" s="263">
        <f>VLOOKUP($B253,'2、设备合同'!$D:$AK,4,0)</f>
        <v>2017060009</v>
      </c>
      <c r="F253" s="264">
        <f>VLOOKUP($B253,'2、设备合同'!$D:$AK,5,0)</f>
        <v>42921</v>
      </c>
      <c r="G253" s="265">
        <f>VLOOKUP($B253,'2、设备合同'!$D:$AK,6,0)</f>
        <v>350000</v>
      </c>
      <c r="H253" s="265" t="str">
        <f>VLOOKUP($B253,'2、设备合同'!$D:$AK,7,0)</f>
        <v>9台渣浆泵</v>
      </c>
      <c r="I253" s="265" t="str">
        <f>VLOOKUP($B253,'2、设备合同'!$D:$AK,8,0)</f>
        <v>江苏长凯机械设备有限公司</v>
      </c>
      <c r="J253" s="286">
        <f>VLOOKUP($B253,'2、设备合同'!$D:$AK,9,0)</f>
        <v>0</v>
      </c>
      <c r="K253" s="287" t="str">
        <f>VLOOKUP($B253,'2、设备合同'!$D:$AK,10,0)</f>
        <v>6个月承兑汇票/电汇无说明</v>
      </c>
      <c r="L253" s="288" t="str">
        <f>VLOOKUP($B253,'2、设备合同'!$D:$AK,11,0)</f>
        <v>甲方收到乙方20%的预付款保函以及本合同的10%履约保函后15个工作日支付20%预付款</v>
      </c>
      <c r="M253" s="289">
        <f>VLOOKUP($B253,'2、设备合同'!$D:$AK,12,0)</f>
        <v>70000</v>
      </c>
      <c r="N253" s="289">
        <f>VLOOKUP($B253,'2、设备合同'!$D:$AK,13,0)</f>
        <v>0</v>
      </c>
      <c r="O253" s="286" t="str">
        <f>VLOOKUP($B253,'2、设备合同'!$D:$AK,14,0)</f>
        <v>甲方到乙方现场确认无误后，收到17%等额、专票，15个工作日内支付40%发货款</v>
      </c>
      <c r="P253" s="289">
        <f>VLOOKUP($B253,'2、设备合同'!$D:$AK,15,0)</f>
        <v>140000</v>
      </c>
      <c r="Q253" s="289">
        <f>VLOOKUP($B253,'2、设备合同'!$D:$AK,16,0)</f>
        <v>0</v>
      </c>
      <c r="R253" s="286" t="str">
        <f>VLOOKUP($B253,'2、设备合同'!$D:$AK,17,0)</f>
        <v>甲方核定的调试合格报告及足额的发票后付30%的验收款</v>
      </c>
      <c r="S253" s="289">
        <f>VLOOKUP($B253,'2、设备合同'!$D:$AK,18,0)</f>
        <v>105000</v>
      </c>
      <c r="T253" s="289">
        <f>VLOOKUP($B253,'2、设备合同'!$D:$AK,19,0)</f>
        <v>0</v>
      </c>
      <c r="U253" s="286" t="str">
        <f>VLOOKUP($B253,'2、设备合同'!$D:$AK,20,0)</f>
        <v>10%质保金，验收合格12个月或到货现场18个月 承兑</v>
      </c>
      <c r="V253" s="289">
        <f>VLOOKUP($B253,'2、设备合同'!$D:$AK,21,0)</f>
        <v>35000</v>
      </c>
      <c r="W253" s="289">
        <f>VLOOKUP($B253,'2、设备合同'!$D:$AK,22,0)</f>
        <v>0</v>
      </c>
      <c r="X253" s="286">
        <f>VLOOKUP($B253,'2、设备合同'!$D:$AK,23,0)</f>
        <v>0</v>
      </c>
      <c r="Y253" s="289">
        <f>VLOOKUP($B253,'2、设备合同'!$D:$AK,24,0)</f>
        <v>0</v>
      </c>
      <c r="Z253" s="289">
        <f>VLOOKUP($B253,'2、设备合同'!$D:$AK,25,0)</f>
        <v>0</v>
      </c>
      <c r="AA253" s="286">
        <f>VLOOKUP($B253,'2、设备合同'!$D:$AK,26,0)</f>
        <v>0</v>
      </c>
      <c r="AB253" s="289">
        <f>VLOOKUP($B253,'2、设备合同'!$D:$AK,27,0)</f>
        <v>0</v>
      </c>
      <c r="AC253" s="289">
        <f>VLOOKUP($B253,'2、设备合同'!$D:$AK,28,0)</f>
        <v>0</v>
      </c>
      <c r="AD253" s="286">
        <f>VLOOKUP($B253,'2、设备合同'!$D:$AK,29,0)</f>
        <v>0</v>
      </c>
      <c r="AE253" s="289">
        <f>VLOOKUP($B253,'2、设备合同'!$D:$AK,30,0)</f>
        <v>0</v>
      </c>
      <c r="AF253" s="289">
        <f>VLOOKUP($B253,'2、设备合同'!$D:$AK,31,0)</f>
        <v>0</v>
      </c>
      <c r="AG253" s="289">
        <f>VLOOKUP($B253,'2、设备合同'!$D:$AK,32,0)</f>
        <v>0</v>
      </c>
      <c r="AH253" s="289">
        <f>VLOOKUP($B253,'2、设备合同'!$D:$AK,33,0)</f>
        <v>0</v>
      </c>
      <c r="AI253" s="308">
        <f>VLOOKUP($B253,'2、设备合同'!$D:$AK,34,0)</f>
        <v>0</v>
      </c>
      <c r="AJ253" s="309">
        <f t="shared" ref="AJ253:AJ262" si="74">N253+Q253+T253+W253+Z253+AC253+AF253+AI253</f>
        <v>0</v>
      </c>
      <c r="AK253" s="289">
        <f t="shared" ref="AK253:AK262" si="75">G253-AJ253</f>
        <v>350000</v>
      </c>
      <c r="AL253" s="310">
        <f t="shared" ref="AL253:AL262" si="76">AJ253/G253</f>
        <v>0</v>
      </c>
      <c r="AM253" s="289">
        <f t="shared" ref="AM253:AM262" si="77">M253+P253+S253+V253+Y253+AB253+AE253+AH253</f>
        <v>350000</v>
      </c>
      <c r="AN253" s="311" t="str">
        <f t="shared" ref="AN253:AN262" si="78">IF(AM253-G253=0,"数据正确","数据错误")</f>
        <v>数据正确</v>
      </c>
    </row>
    <row r="254" s="228" customFormat="1" customHeight="1" spans="1:40">
      <c r="A254" s="228" t="str">
        <f t="shared" ref="A254:A291" si="79">IF(AL254=100%,"已完毕","")</f>
        <v/>
      </c>
      <c r="B254" s="261">
        <v>249</v>
      </c>
      <c r="C254" s="262" t="str">
        <f>VLOOKUP($B254,'2、设备合同'!$D:$AK,2,0)</f>
        <v>YRKJEQ-170057</v>
      </c>
      <c r="D254" s="263" t="str">
        <f>VLOOKUP($B254,'2、设备合同'!$D:$AK,3,0)</f>
        <v>设备合同</v>
      </c>
      <c r="E254" s="263">
        <f>VLOOKUP($B254,'2、设备合同'!$D:$AK,4,0)</f>
        <v>2017060043</v>
      </c>
      <c r="F254" s="264">
        <f>VLOOKUP($B254,'2、设备合同'!$D:$AK,5,0)</f>
        <v>42929</v>
      </c>
      <c r="G254" s="265">
        <f>VLOOKUP($B254,'2、设备合同'!$D:$AK,6,0)</f>
        <v>3395000</v>
      </c>
      <c r="H254" s="265" t="str">
        <f>VLOOKUP($B254,'2、设备合同'!$D:$AK,7,0)</f>
        <v>火炬</v>
      </c>
      <c r="I254" s="265" t="str">
        <f>VLOOKUP($B254,'2、设备合同'!$D:$AK,8,0)</f>
        <v>上海同济高科技发展有限公司</v>
      </c>
      <c r="J254" s="286">
        <f>VLOOKUP($B254,'2、设备合同'!$D:$AK,9,0)</f>
        <v>0</v>
      </c>
      <c r="K254" s="287" t="str">
        <f>VLOOKUP($B254,'2、设备合同'!$D:$AK,10,0)</f>
        <v>电汇</v>
      </c>
      <c r="L254" s="288" t="str">
        <f>VLOOKUP($B254,'2、设备合同'!$D:$AK,11,0)</f>
        <v>甲方收到乙方20%的预付款保函以等额专票后15个工作日支付20%预付款  10%履约保函</v>
      </c>
      <c r="M254" s="289">
        <f>VLOOKUP($B254,'2、设备合同'!$D:$AK,12,0)</f>
        <v>679000</v>
      </c>
      <c r="N254" s="289">
        <f>VLOOKUP($B254,'2、设备合同'!$D:$AK,13,0)</f>
        <v>0</v>
      </c>
      <c r="O254" s="286" t="str">
        <f>VLOOKUP($B254,'2、设备合同'!$D:$AK,14,0)</f>
        <v>甲方到乙方现场确认无误后，收到17%等额、专票，15个工作日内支付40%发货款</v>
      </c>
      <c r="P254" s="289">
        <f>VLOOKUP($B254,'2、设备合同'!$D:$AK,15,0)</f>
        <v>1358000</v>
      </c>
      <c r="Q254" s="289">
        <f>VLOOKUP($B254,'2、设备合同'!$D:$AK,16,0)</f>
        <v>0</v>
      </c>
      <c r="R254" s="286" t="str">
        <f>VLOOKUP($B254,'2、设备合同'!$D:$AK,17,0)</f>
        <v>甲方核定的调试合格报告及足额的发票后付30%的验收款</v>
      </c>
      <c r="S254" s="289">
        <f>VLOOKUP($B254,'2、设备合同'!$D:$AK,18,0)</f>
        <v>1018500</v>
      </c>
      <c r="T254" s="289">
        <f>VLOOKUP($B254,'2、设备合同'!$D:$AK,19,0)</f>
        <v>0</v>
      </c>
      <c r="U254" s="286" t="str">
        <f>VLOOKUP($B254,'2、设备合同'!$D:$AK,20,0)</f>
        <v>10%质保金，验收合格12个月或到货现场18个月 承兑</v>
      </c>
      <c r="V254" s="289">
        <f>VLOOKUP($B254,'2、设备合同'!$D:$AK,21,0)</f>
        <v>339500</v>
      </c>
      <c r="W254" s="289">
        <f>VLOOKUP($B254,'2、设备合同'!$D:$AK,22,0)</f>
        <v>0</v>
      </c>
      <c r="X254" s="286">
        <f>VLOOKUP($B254,'2、设备合同'!$D:$AK,23,0)</f>
        <v>0</v>
      </c>
      <c r="Y254" s="289">
        <f>VLOOKUP($B254,'2、设备合同'!$D:$AK,24,0)</f>
        <v>0</v>
      </c>
      <c r="Z254" s="289">
        <f>VLOOKUP($B254,'2、设备合同'!$D:$AK,25,0)</f>
        <v>0</v>
      </c>
      <c r="AA254" s="286">
        <f>VLOOKUP($B254,'2、设备合同'!$D:$AK,26,0)</f>
        <v>0</v>
      </c>
      <c r="AB254" s="289">
        <f>VLOOKUP($B254,'2、设备合同'!$D:$AK,27,0)</f>
        <v>0</v>
      </c>
      <c r="AC254" s="289">
        <f>VLOOKUP($B254,'2、设备合同'!$D:$AK,28,0)</f>
        <v>0</v>
      </c>
      <c r="AD254" s="286">
        <f>VLOOKUP($B254,'2、设备合同'!$D:$AK,29,0)</f>
        <v>0</v>
      </c>
      <c r="AE254" s="289">
        <f>VLOOKUP($B254,'2、设备合同'!$D:$AK,30,0)</f>
        <v>0</v>
      </c>
      <c r="AF254" s="289">
        <f>VLOOKUP($B254,'2、设备合同'!$D:$AK,31,0)</f>
        <v>0</v>
      </c>
      <c r="AG254" s="289">
        <f>VLOOKUP($B254,'2、设备合同'!$D:$AK,32,0)</f>
        <v>0</v>
      </c>
      <c r="AH254" s="289">
        <f>VLOOKUP($B254,'2、设备合同'!$D:$AK,33,0)</f>
        <v>0</v>
      </c>
      <c r="AI254" s="308">
        <f>VLOOKUP($B254,'2、设备合同'!$D:$AK,34,0)</f>
        <v>0</v>
      </c>
      <c r="AJ254" s="309">
        <f t="shared" si="74"/>
        <v>0</v>
      </c>
      <c r="AK254" s="289">
        <f t="shared" si="75"/>
        <v>3395000</v>
      </c>
      <c r="AL254" s="310">
        <f t="shared" si="76"/>
        <v>0</v>
      </c>
      <c r="AM254" s="289">
        <f t="shared" si="77"/>
        <v>3395000</v>
      </c>
      <c r="AN254" s="311" t="str">
        <f t="shared" si="78"/>
        <v>数据正确</v>
      </c>
    </row>
    <row r="255" customHeight="1" spans="1:40">
      <c r="A255" s="228" t="str">
        <f t="shared" si="79"/>
        <v/>
      </c>
      <c r="B255" s="261">
        <v>250</v>
      </c>
      <c r="C255" s="262" t="str">
        <f>VLOOKUP($B255,'2、设备合同'!$D:$AK,2,0)</f>
        <v>YRKJEQ-170072</v>
      </c>
      <c r="D255" s="263" t="str">
        <f>VLOOKUP($B255,'2、设备合同'!$D:$AK,3,0)</f>
        <v>设备合同</v>
      </c>
      <c r="E255" s="263">
        <f>VLOOKUP($B255,'2、设备合同'!$D:$AK,4,0)</f>
        <v>2017070006</v>
      </c>
      <c r="F255" s="264">
        <f>VLOOKUP($B255,'2、设备合同'!$D:$AK,5,0)</f>
        <v>42981</v>
      </c>
      <c r="G255" s="265">
        <f>VLOOKUP($B255,'2、设备合同'!$D:$AK,6,0)</f>
        <v>11000000</v>
      </c>
      <c r="H255" s="265" t="str">
        <f>VLOOKUP($B255,'2、设备合同'!$D:$AK,7,0)</f>
        <v>冷凝水余热回收装置</v>
      </c>
      <c r="I255" s="265" t="str">
        <f>VLOOKUP($B255,'2、设备合同'!$D:$AK,8,0)</f>
        <v>双良节能系统股份有限公司</v>
      </c>
      <c r="J255" s="286">
        <f>VLOOKUP($B255,'2、设备合同'!$D:$AK,9,0)</f>
        <v>0</v>
      </c>
      <c r="K255" s="287" t="str">
        <f>VLOOKUP($B255,'2、设备合同'!$D:$AK,10,0)</f>
        <v>6个月承兑汇票/电汇不下浮</v>
      </c>
      <c r="L255" s="288" t="str">
        <f>VLOOKUP($B255,'2、设备合同'!$D:$AK,11,0)</f>
        <v>甲方收到乙方20%的预付款保函以等额专票后15个工作日支付20%预付款 10%履约保函</v>
      </c>
      <c r="M255" s="289">
        <f>VLOOKUP($B255,'2、设备合同'!$D:$AK,12,0)</f>
        <v>2200000</v>
      </c>
      <c r="N255" s="289">
        <f>VLOOKUP($B255,'2、设备合同'!$D:$AK,13,0)</f>
        <v>0</v>
      </c>
      <c r="O255" s="286" t="str">
        <f>VLOOKUP($B255,'2、设备合同'!$D:$AK,14,0)</f>
        <v>甲方到乙方现场确认无误后，收到17%等额、专票，15个工作日内支付40%发货款</v>
      </c>
      <c r="P255" s="289">
        <f>VLOOKUP($B255,'2、设备合同'!$D:$AK,15,0)</f>
        <v>4400000</v>
      </c>
      <c r="Q255" s="289">
        <f>VLOOKUP($B255,'2、设备合同'!$D:$AK,16,0)</f>
        <v>0</v>
      </c>
      <c r="R255" s="286" t="str">
        <f>VLOOKUP($B255,'2、设备合同'!$D:$AK,17,0)</f>
        <v>甲方核定的调试合格报告及足额的发票后付30%的验收款</v>
      </c>
      <c r="S255" s="289">
        <f>VLOOKUP($B255,'2、设备合同'!$D:$AK,18,0)</f>
        <v>3300000</v>
      </c>
      <c r="T255" s="289">
        <f>VLOOKUP($B255,'2、设备合同'!$D:$AK,19,0)</f>
        <v>0</v>
      </c>
      <c r="U255" s="286" t="str">
        <f>VLOOKUP($B255,'2、设备合同'!$D:$AK,20,0)</f>
        <v>10%质保金，验收合格12个月或到货现场18个月 承兑</v>
      </c>
      <c r="V255" s="289">
        <f>VLOOKUP($B255,'2、设备合同'!$D:$AK,21,0)</f>
        <v>1100000</v>
      </c>
      <c r="W255" s="289">
        <f>VLOOKUP($B255,'2、设备合同'!$D:$AK,22,0)</f>
        <v>0</v>
      </c>
      <c r="X255" s="286">
        <f>VLOOKUP($B255,'2、设备合同'!$D:$AK,23,0)</f>
        <v>0</v>
      </c>
      <c r="Y255" s="289">
        <f>VLOOKUP($B255,'2、设备合同'!$D:$AK,24,0)</f>
        <v>0</v>
      </c>
      <c r="Z255" s="289">
        <f>VLOOKUP($B255,'2、设备合同'!$D:$AK,25,0)</f>
        <v>0</v>
      </c>
      <c r="AA255" s="286">
        <f>VLOOKUP($B255,'2、设备合同'!$D:$AK,26,0)</f>
        <v>0</v>
      </c>
      <c r="AB255" s="289">
        <f>VLOOKUP($B255,'2、设备合同'!$D:$AK,27,0)</f>
        <v>0</v>
      </c>
      <c r="AC255" s="289">
        <f>VLOOKUP($B255,'2、设备合同'!$D:$AK,28,0)</f>
        <v>0</v>
      </c>
      <c r="AD255" s="286">
        <f>VLOOKUP($B255,'2、设备合同'!$D:$AK,29,0)</f>
        <v>0</v>
      </c>
      <c r="AE255" s="289">
        <f>VLOOKUP($B255,'2、设备合同'!$D:$AK,30,0)</f>
        <v>0</v>
      </c>
      <c r="AF255" s="289">
        <f>VLOOKUP($B255,'2、设备合同'!$D:$AK,31,0)</f>
        <v>0</v>
      </c>
      <c r="AG255" s="289">
        <f>VLOOKUP($B255,'2、设备合同'!$D:$AK,32,0)</f>
        <v>0</v>
      </c>
      <c r="AH255" s="289">
        <f>VLOOKUP($B255,'2、设备合同'!$D:$AK,33,0)</f>
        <v>0</v>
      </c>
      <c r="AI255" s="308">
        <f>VLOOKUP($B255,'2、设备合同'!$D:$AK,34,0)</f>
        <v>0</v>
      </c>
      <c r="AJ255" s="309">
        <f t="shared" si="74"/>
        <v>0</v>
      </c>
      <c r="AK255" s="289">
        <f t="shared" si="75"/>
        <v>11000000</v>
      </c>
      <c r="AL255" s="310">
        <f t="shared" si="76"/>
        <v>0</v>
      </c>
      <c r="AM255" s="289">
        <f t="shared" si="77"/>
        <v>11000000</v>
      </c>
      <c r="AN255" s="311" t="str">
        <f t="shared" si="78"/>
        <v>数据正确</v>
      </c>
    </row>
    <row r="256" customHeight="1" spans="1:40">
      <c r="A256" s="228" t="str">
        <f t="shared" si="79"/>
        <v/>
      </c>
      <c r="B256" s="261">
        <v>251</v>
      </c>
      <c r="C256" s="262" t="str">
        <f>VLOOKUP($B256,'2、设备合同'!$D:$AK,2,0)</f>
        <v>YRKJEQ-170075</v>
      </c>
      <c r="D256" s="263" t="str">
        <f>VLOOKUP($B256,'2、设备合同'!$D:$AK,3,0)</f>
        <v>设备合同</v>
      </c>
      <c r="E256" s="263">
        <f>VLOOKUP($B256,'2、设备合同'!$D:$AK,4,0)</f>
        <v>2017060070</v>
      </c>
      <c r="F256" s="264">
        <f>VLOOKUP($B256,'2、设备合同'!$D:$AK,5,0)</f>
        <v>42963</v>
      </c>
      <c r="G256" s="265">
        <f>VLOOKUP($B256,'2、设备合同'!$D:$AK,6,0)</f>
        <v>617800</v>
      </c>
      <c r="H256" s="265" t="str">
        <f>VLOOKUP($B256,'2、设备合同'!$D:$AK,7,0)</f>
        <v>减温减压器</v>
      </c>
      <c r="I256" s="265" t="str">
        <f>VLOOKUP($B256,'2、设备合同'!$D:$AK,8,0)</f>
        <v>杭州杭辅电站辅机有限公司</v>
      </c>
      <c r="J256" s="286">
        <f>VLOOKUP($B256,'2、设备合同'!$D:$AK,9,0)</f>
        <v>0</v>
      </c>
      <c r="K256" s="287" t="str">
        <f>VLOOKUP($B256,'2、设备合同'!$D:$AK,10,0)</f>
        <v>6个月承兑汇票/电汇不下浮</v>
      </c>
      <c r="L256" s="288" t="str">
        <f>VLOOKUP($B256,'2、设备合同'!$D:$AK,11,0)</f>
        <v>甲方收到乙方20%的预付款保函以等额专票后15个工作日支付20%预付款 10%履约保函</v>
      </c>
      <c r="M256" s="289">
        <f>VLOOKUP($B256,'2、设备合同'!$D:$AK,12,0)</f>
        <v>123560</v>
      </c>
      <c r="N256" s="289">
        <f>VLOOKUP($B256,'2、设备合同'!$D:$AK,13,0)</f>
        <v>0</v>
      </c>
      <c r="O256" s="286" t="str">
        <f>VLOOKUP($B256,'2、设备合同'!$D:$AK,14,0)</f>
        <v>甲方到乙方现场确认无误后，收到17%等额、专票，15个工作日内支付40%发货款</v>
      </c>
      <c r="P256" s="289">
        <f>VLOOKUP($B256,'2、设备合同'!$D:$AK,15,0)</f>
        <v>247120</v>
      </c>
      <c r="Q256" s="289">
        <f>VLOOKUP($B256,'2、设备合同'!$D:$AK,16,0)</f>
        <v>0</v>
      </c>
      <c r="R256" s="286" t="str">
        <f>VLOOKUP($B256,'2、设备合同'!$D:$AK,17,0)</f>
        <v>甲方核定的调试合格报告及足额的发票后付30%的验收款</v>
      </c>
      <c r="S256" s="289">
        <f>VLOOKUP($B256,'2、设备合同'!$D:$AK,18,0)</f>
        <v>185340</v>
      </c>
      <c r="T256" s="289">
        <f>VLOOKUP($B256,'2、设备合同'!$D:$AK,19,0)</f>
        <v>0</v>
      </c>
      <c r="U256" s="286" t="str">
        <f>VLOOKUP($B256,'2、设备合同'!$D:$AK,20,0)</f>
        <v>10%质保金，验收合格12个月或到货现场18个月 承兑</v>
      </c>
      <c r="V256" s="289">
        <f>VLOOKUP($B256,'2、设备合同'!$D:$AK,21,0)</f>
        <v>61780</v>
      </c>
      <c r="W256" s="289">
        <f>VLOOKUP($B256,'2、设备合同'!$D:$AK,22,0)</f>
        <v>0</v>
      </c>
      <c r="X256" s="286">
        <f>VLOOKUP($B256,'2、设备合同'!$D:$AK,23,0)</f>
        <v>0</v>
      </c>
      <c r="Y256" s="289">
        <f>VLOOKUP($B256,'2、设备合同'!$D:$AK,24,0)</f>
        <v>0</v>
      </c>
      <c r="Z256" s="289">
        <f>VLOOKUP($B256,'2、设备合同'!$D:$AK,25,0)</f>
        <v>0</v>
      </c>
      <c r="AA256" s="286">
        <f>VLOOKUP($B256,'2、设备合同'!$D:$AK,26,0)</f>
        <v>0</v>
      </c>
      <c r="AB256" s="289">
        <f>VLOOKUP($B256,'2、设备合同'!$D:$AK,27,0)</f>
        <v>0</v>
      </c>
      <c r="AC256" s="289">
        <f>VLOOKUP($B256,'2、设备合同'!$D:$AK,28,0)</f>
        <v>0</v>
      </c>
      <c r="AD256" s="286">
        <f>VLOOKUP($B256,'2、设备合同'!$D:$AK,29,0)</f>
        <v>0</v>
      </c>
      <c r="AE256" s="289">
        <f>VLOOKUP($B256,'2、设备合同'!$D:$AK,30,0)</f>
        <v>0</v>
      </c>
      <c r="AF256" s="289">
        <f>VLOOKUP($B256,'2、设备合同'!$D:$AK,31,0)</f>
        <v>0</v>
      </c>
      <c r="AG256" s="289">
        <f>VLOOKUP($B256,'2、设备合同'!$D:$AK,32,0)</f>
        <v>0</v>
      </c>
      <c r="AH256" s="289">
        <f>VLOOKUP($B256,'2、设备合同'!$D:$AK,33,0)</f>
        <v>0</v>
      </c>
      <c r="AI256" s="308">
        <f>VLOOKUP($B256,'2、设备合同'!$D:$AK,34,0)</f>
        <v>0</v>
      </c>
      <c r="AJ256" s="309">
        <f t="shared" si="74"/>
        <v>0</v>
      </c>
      <c r="AK256" s="289">
        <f t="shared" si="75"/>
        <v>617800</v>
      </c>
      <c r="AL256" s="310">
        <f t="shared" si="76"/>
        <v>0</v>
      </c>
      <c r="AM256" s="289">
        <f t="shared" si="77"/>
        <v>617800</v>
      </c>
      <c r="AN256" s="311" t="str">
        <f t="shared" si="78"/>
        <v>数据正确</v>
      </c>
    </row>
    <row r="257" customHeight="1" spans="1:40">
      <c r="A257" s="228" t="str">
        <f t="shared" si="79"/>
        <v/>
      </c>
      <c r="B257" s="261">
        <v>252</v>
      </c>
      <c r="C257" s="262" t="str">
        <f>VLOOKUP($B257,'2、设备合同'!$D:$AK,2,0)</f>
        <v>YRKJEQ-170078</v>
      </c>
      <c r="D257" s="263" t="str">
        <f>VLOOKUP($B257,'2、设备合同'!$D:$AK,3,0)</f>
        <v>设备合同</v>
      </c>
      <c r="E257" s="263">
        <f>VLOOKUP($B257,'2、设备合同'!$D:$AK,4,0)</f>
        <v>2017070049</v>
      </c>
      <c r="F257" s="264">
        <f>VLOOKUP($B257,'2、设备合同'!$D:$AK,5,0)</f>
        <v>42965</v>
      </c>
      <c r="G257" s="265">
        <f>VLOOKUP($B257,'2、设备合同'!$D:$AK,6,0)</f>
        <v>1346000</v>
      </c>
      <c r="H257" s="265" t="str">
        <f>VLOOKUP($B257,'2、设备合同'!$D:$AK,7,0)</f>
        <v>消防泵、稳压泵</v>
      </c>
      <c r="I257" s="265" t="str">
        <f>VLOOKUP($B257,'2、设备合同'!$D:$AK,8,0)</f>
        <v>湖南耐普泵业股份有限公司</v>
      </c>
      <c r="J257" s="286">
        <f>VLOOKUP($B257,'2、设备合同'!$D:$AK,9,0)</f>
        <v>0</v>
      </c>
      <c r="K257" s="287" t="str">
        <f>VLOOKUP($B257,'2、设备合同'!$D:$AK,10,0)</f>
        <v>6个月承兑汇票/电汇无说明</v>
      </c>
      <c r="L257" s="288" t="str">
        <f>VLOOKUP($B257,'2、设备合同'!$D:$AK,11,0)</f>
        <v>甲方收到乙方20%的预付款保函以等额专票后15个工作日支付20%预付款 10%履约保函</v>
      </c>
      <c r="M257" s="289">
        <f>VLOOKUP($B257,'2、设备合同'!$D:$AK,12,0)</f>
        <v>269200</v>
      </c>
      <c r="N257" s="289">
        <f>VLOOKUP($B257,'2、设备合同'!$D:$AK,13,0)</f>
        <v>0</v>
      </c>
      <c r="O257" s="286" t="str">
        <f>VLOOKUP($B257,'2、设备合同'!$D:$AK,14,0)</f>
        <v>甲方到乙方现场确认无误后，收到17%等额、专票，15个工作日内支付40%发货款</v>
      </c>
      <c r="P257" s="289">
        <f>VLOOKUP($B257,'2、设备合同'!$D:$AK,15,0)</f>
        <v>538400</v>
      </c>
      <c r="Q257" s="289">
        <f>VLOOKUP($B257,'2、设备合同'!$D:$AK,16,0)</f>
        <v>0</v>
      </c>
      <c r="R257" s="286" t="str">
        <f>VLOOKUP($B257,'2、设备合同'!$D:$AK,17,0)</f>
        <v>甲方核定的调试合格报告及足额的发票后付30%的验收款</v>
      </c>
      <c r="S257" s="289">
        <f>VLOOKUP($B257,'2、设备合同'!$D:$AK,18,0)</f>
        <v>403800</v>
      </c>
      <c r="T257" s="289">
        <f>VLOOKUP($B257,'2、设备合同'!$D:$AK,19,0)</f>
        <v>0</v>
      </c>
      <c r="U257" s="286" t="str">
        <f>VLOOKUP($B257,'2、设备合同'!$D:$AK,20,0)</f>
        <v>10%质保金，验收合格12个月或到货现场18个月 承兑</v>
      </c>
      <c r="V257" s="289">
        <f>VLOOKUP($B257,'2、设备合同'!$D:$AK,21,0)</f>
        <v>134600</v>
      </c>
      <c r="W257" s="289">
        <f>VLOOKUP($B257,'2、设备合同'!$D:$AK,22,0)</f>
        <v>0</v>
      </c>
      <c r="X257" s="286">
        <f>VLOOKUP($B257,'2、设备合同'!$D:$AK,23,0)</f>
        <v>0</v>
      </c>
      <c r="Y257" s="289">
        <f>VLOOKUP($B257,'2、设备合同'!$D:$AK,24,0)</f>
        <v>0</v>
      </c>
      <c r="Z257" s="289">
        <f>VLOOKUP($B257,'2、设备合同'!$D:$AK,25,0)</f>
        <v>0</v>
      </c>
      <c r="AA257" s="286">
        <f>VLOOKUP($B257,'2、设备合同'!$D:$AK,26,0)</f>
        <v>0</v>
      </c>
      <c r="AB257" s="289">
        <f>VLOOKUP($B257,'2、设备合同'!$D:$AK,27,0)</f>
        <v>0</v>
      </c>
      <c r="AC257" s="289">
        <f>VLOOKUP($B257,'2、设备合同'!$D:$AK,28,0)</f>
        <v>0</v>
      </c>
      <c r="AD257" s="286">
        <f>VLOOKUP($B257,'2、设备合同'!$D:$AK,29,0)</f>
        <v>0</v>
      </c>
      <c r="AE257" s="289">
        <f>VLOOKUP($B257,'2、设备合同'!$D:$AK,30,0)</f>
        <v>0</v>
      </c>
      <c r="AF257" s="289">
        <f>VLOOKUP($B257,'2、设备合同'!$D:$AK,31,0)</f>
        <v>0</v>
      </c>
      <c r="AG257" s="289">
        <f>VLOOKUP($B257,'2、设备合同'!$D:$AK,32,0)</f>
        <v>0</v>
      </c>
      <c r="AH257" s="289">
        <f>VLOOKUP($B257,'2、设备合同'!$D:$AK,33,0)</f>
        <v>0</v>
      </c>
      <c r="AI257" s="308">
        <f>VLOOKUP($B257,'2、设备合同'!$D:$AK,34,0)</f>
        <v>0</v>
      </c>
      <c r="AJ257" s="309">
        <f t="shared" si="74"/>
        <v>0</v>
      </c>
      <c r="AK257" s="289">
        <f t="shared" si="75"/>
        <v>1346000</v>
      </c>
      <c r="AL257" s="310">
        <f t="shared" si="76"/>
        <v>0</v>
      </c>
      <c r="AM257" s="289">
        <f t="shared" si="77"/>
        <v>1346000</v>
      </c>
      <c r="AN257" s="311" t="str">
        <f t="shared" si="78"/>
        <v>数据正确</v>
      </c>
    </row>
    <row r="258" customHeight="1" spans="1:40">
      <c r="A258" s="228" t="str">
        <f t="shared" si="79"/>
        <v/>
      </c>
      <c r="B258" s="261">
        <v>253</v>
      </c>
      <c r="C258" s="262" t="str">
        <f>VLOOKUP($B258,'2、设备合同'!$D:$AK,2,0)</f>
        <v>YRKJEQ-170090</v>
      </c>
      <c r="D258" s="263" t="str">
        <f>VLOOKUP($B258,'2、设备合同'!$D:$AK,3,0)</f>
        <v>设备合同</v>
      </c>
      <c r="E258" s="263">
        <f>VLOOKUP($B258,'2、设备合同'!$D:$AK,4,0)</f>
        <v>2017080045</v>
      </c>
      <c r="F258" s="264">
        <f>VLOOKUP($B258,'2、设备合同'!$D:$AK,5,0)</f>
        <v>42983</v>
      </c>
      <c r="G258" s="265">
        <f>VLOOKUP($B258,'2、设备合同'!$D:$AK,6,0)</f>
        <v>6000000</v>
      </c>
      <c r="H258" s="265" t="str">
        <f>VLOOKUP($B258,'2、设备合同'!$D:$AK,7,0)</f>
        <v>环己酮非标设备5</v>
      </c>
      <c r="I258" s="265" t="str">
        <f>VLOOKUP($B258,'2、设备合同'!$D:$AK,8,0)</f>
        <v>中核动力设备有限公司</v>
      </c>
      <c r="J258" s="286">
        <f>VLOOKUP($B258,'2、设备合同'!$D:$AK,9,0)</f>
        <v>0</v>
      </c>
      <c r="K258" s="287" t="str">
        <f>VLOOKUP($B258,'2、设备合同'!$D:$AK,10,0)</f>
        <v>电汇</v>
      </c>
      <c r="L258" s="288" t="str">
        <f>VLOOKUP($B258,'2、设备合同'!$D:$AK,11,0)</f>
        <v>甲方收到乙方20%的预付款保函以等额专票后15个工作日支付20%预付款 10%履约保函</v>
      </c>
      <c r="M258" s="289">
        <f>VLOOKUP($B258,'2、设备合同'!$D:$AK,12,0)</f>
        <v>1200000</v>
      </c>
      <c r="N258" s="289">
        <f>VLOOKUP($B258,'2、设备合同'!$D:$AK,13,0)</f>
        <v>0</v>
      </c>
      <c r="O258" s="286" t="str">
        <f>VLOOKUP($B258,'2、设备合同'!$D:$AK,14,0)</f>
        <v>甲方到乙方现场确认无误后，收到17%等额、专票，15个工作日内支付60%发货款</v>
      </c>
      <c r="P258" s="289">
        <f>VLOOKUP($B258,'2、设备合同'!$D:$AK,15,0)</f>
        <v>3600000</v>
      </c>
      <c r="Q258" s="289">
        <f>VLOOKUP($B258,'2、设备合同'!$D:$AK,16,0)</f>
        <v>0</v>
      </c>
      <c r="R258" s="286" t="str">
        <f>VLOOKUP($B258,'2、设备合同'!$D:$AK,17,0)</f>
        <v>甲方核定的调试合格报告及足额的发票后付10%的验收款</v>
      </c>
      <c r="S258" s="289">
        <f>VLOOKUP($B258,'2、设备合同'!$D:$AK,18,0)</f>
        <v>600000</v>
      </c>
      <c r="T258" s="289">
        <f>VLOOKUP($B258,'2、设备合同'!$D:$AK,19,0)</f>
        <v>0</v>
      </c>
      <c r="U258" s="286" t="str">
        <f>VLOOKUP($B258,'2、设备合同'!$D:$AK,20,0)</f>
        <v>10%质保金，验收合格12个月或到货现场18个月 承兑</v>
      </c>
      <c r="V258" s="289">
        <f>VLOOKUP($B258,'2、设备合同'!$D:$AK,21,0)</f>
        <v>600000</v>
      </c>
      <c r="W258" s="289">
        <f>VLOOKUP($B258,'2、设备合同'!$D:$AK,22,0)</f>
        <v>0</v>
      </c>
      <c r="X258" s="286">
        <f>VLOOKUP($B258,'2、设备合同'!$D:$AK,23,0)</f>
        <v>0</v>
      </c>
      <c r="Y258" s="289">
        <f>VLOOKUP($B258,'2、设备合同'!$D:$AK,24,0)</f>
        <v>0</v>
      </c>
      <c r="Z258" s="289">
        <f>VLOOKUP($B258,'2、设备合同'!$D:$AK,25,0)</f>
        <v>0</v>
      </c>
      <c r="AA258" s="286">
        <f>VLOOKUP($B258,'2、设备合同'!$D:$AK,26,0)</f>
        <v>0</v>
      </c>
      <c r="AB258" s="289">
        <f>VLOOKUP($B258,'2、设备合同'!$D:$AK,27,0)</f>
        <v>0</v>
      </c>
      <c r="AC258" s="289">
        <f>VLOOKUP($B258,'2、设备合同'!$D:$AK,28,0)</f>
        <v>0</v>
      </c>
      <c r="AD258" s="286">
        <f>VLOOKUP($B258,'2、设备合同'!$D:$AK,29,0)</f>
        <v>0</v>
      </c>
      <c r="AE258" s="289">
        <f>VLOOKUP($B258,'2、设备合同'!$D:$AK,30,0)</f>
        <v>0</v>
      </c>
      <c r="AF258" s="289">
        <f>VLOOKUP($B258,'2、设备合同'!$D:$AK,31,0)</f>
        <v>0</v>
      </c>
      <c r="AG258" s="289">
        <f>VLOOKUP($B258,'2、设备合同'!$D:$AK,32,0)</f>
        <v>0</v>
      </c>
      <c r="AH258" s="289">
        <f>VLOOKUP($B258,'2、设备合同'!$D:$AK,33,0)</f>
        <v>0</v>
      </c>
      <c r="AI258" s="308">
        <f>VLOOKUP($B258,'2、设备合同'!$D:$AK,34,0)</f>
        <v>0</v>
      </c>
      <c r="AJ258" s="309">
        <f t="shared" si="74"/>
        <v>0</v>
      </c>
      <c r="AK258" s="289">
        <f t="shared" si="75"/>
        <v>6000000</v>
      </c>
      <c r="AL258" s="310">
        <f t="shared" si="76"/>
        <v>0</v>
      </c>
      <c r="AM258" s="289">
        <f t="shared" si="77"/>
        <v>6000000</v>
      </c>
      <c r="AN258" s="311" t="str">
        <f t="shared" si="78"/>
        <v>数据正确</v>
      </c>
    </row>
    <row r="259" customHeight="1" spans="1:40">
      <c r="A259" s="228" t="str">
        <f t="shared" si="79"/>
        <v/>
      </c>
      <c r="B259" s="261">
        <v>254</v>
      </c>
      <c r="C259" s="262" t="str">
        <f>VLOOKUP($B259,'2、设备合同'!$D:$AK,2,0)</f>
        <v>YRKJEQ-170095</v>
      </c>
      <c r="D259" s="263" t="str">
        <f>VLOOKUP($B259,'2、设备合同'!$D:$AK,3,0)</f>
        <v>设备合同</v>
      </c>
      <c r="E259" s="263">
        <f>VLOOKUP($B259,'2、设备合同'!$D:$AK,4,0)</f>
        <v>2017080008</v>
      </c>
      <c r="F259" s="264">
        <f>VLOOKUP($B259,'2、设备合同'!$D:$AK,5,0)</f>
        <v>42993</v>
      </c>
      <c r="G259" s="265">
        <f>VLOOKUP($B259,'2、设备合同'!$D:$AK,6,0)</f>
        <v>970000</v>
      </c>
      <c r="H259" s="265" t="str">
        <f>VLOOKUP($B259,'2、设备合同'!$D:$AK,7,0)</f>
        <v>导热油泵</v>
      </c>
      <c r="I259" s="265" t="str">
        <f>VLOOKUP($B259,'2、设备合同'!$D:$AK,8,0)</f>
        <v>上海凯士比泵有限公司</v>
      </c>
      <c r="J259" s="286">
        <f>VLOOKUP($B259,'2、设备合同'!$D:$AK,9,0)</f>
        <v>0</v>
      </c>
      <c r="K259" s="287" t="str">
        <f>VLOOKUP($B259,'2、设备合同'!$D:$AK,10,0)</f>
        <v>电汇</v>
      </c>
      <c r="L259" s="288" t="str">
        <f>VLOOKUP($B259,'2、设备合同'!$D:$AK,11,0)</f>
        <v>甲方收到乙方20%的预付款保函以等额专票后15个工作日支付20%预付款 10%履约保函</v>
      </c>
      <c r="M259" s="289">
        <f>VLOOKUP($B259,'2、设备合同'!$D:$AK,12,0)</f>
        <v>194000</v>
      </c>
      <c r="N259" s="289">
        <f>VLOOKUP($B259,'2、设备合同'!$D:$AK,13,0)</f>
        <v>0</v>
      </c>
      <c r="O259" s="286" t="str">
        <f>VLOOKUP($B259,'2、设备合同'!$D:$AK,14,0)</f>
        <v>甲方到乙方现场确认无误后，收到17%等额、专票，15个工作日内支付60%发货款</v>
      </c>
      <c r="P259" s="289">
        <f>VLOOKUP($B259,'2、设备合同'!$D:$AK,15,0)</f>
        <v>582000</v>
      </c>
      <c r="Q259" s="289">
        <f>VLOOKUP($B259,'2、设备合同'!$D:$AK,16,0)</f>
        <v>0</v>
      </c>
      <c r="R259" s="286" t="str">
        <f>VLOOKUP($B259,'2、设备合同'!$D:$AK,17,0)</f>
        <v>甲方核定的调试合格报告及足额的发票后付20%的验收款</v>
      </c>
      <c r="S259" s="289">
        <f>VLOOKUP($B259,'2、设备合同'!$D:$AK,18,0)</f>
        <v>194000</v>
      </c>
      <c r="T259" s="289">
        <f>VLOOKUP($B259,'2、设备合同'!$D:$AK,19,0)</f>
        <v>0</v>
      </c>
      <c r="U259" s="286">
        <f>VLOOKUP($B259,'2、设备合同'!$D:$AK,20,0)</f>
        <v>0</v>
      </c>
      <c r="V259" s="289">
        <f>VLOOKUP($B259,'2、设备合同'!$D:$AK,21,0)</f>
        <v>0</v>
      </c>
      <c r="W259" s="289">
        <f>VLOOKUP($B259,'2、设备合同'!$D:$AK,22,0)</f>
        <v>0</v>
      </c>
      <c r="X259" s="286">
        <f>VLOOKUP($B259,'2、设备合同'!$D:$AK,23,0)</f>
        <v>0</v>
      </c>
      <c r="Y259" s="289">
        <f>VLOOKUP($B259,'2、设备合同'!$D:$AK,24,0)</f>
        <v>0</v>
      </c>
      <c r="Z259" s="289">
        <f>VLOOKUP($B259,'2、设备合同'!$D:$AK,25,0)</f>
        <v>0</v>
      </c>
      <c r="AA259" s="286">
        <f>VLOOKUP($B259,'2、设备合同'!$D:$AK,26,0)</f>
        <v>0</v>
      </c>
      <c r="AB259" s="289">
        <f>VLOOKUP($B259,'2、设备合同'!$D:$AK,27,0)</f>
        <v>0</v>
      </c>
      <c r="AC259" s="289">
        <f>VLOOKUP($B259,'2、设备合同'!$D:$AK,28,0)</f>
        <v>0</v>
      </c>
      <c r="AD259" s="286">
        <f>VLOOKUP($B259,'2、设备合同'!$D:$AK,29,0)</f>
        <v>0</v>
      </c>
      <c r="AE259" s="289">
        <f>VLOOKUP($B259,'2、设备合同'!$D:$AK,30,0)</f>
        <v>0</v>
      </c>
      <c r="AF259" s="289">
        <f>VLOOKUP($B259,'2、设备合同'!$D:$AK,31,0)</f>
        <v>0</v>
      </c>
      <c r="AG259" s="289">
        <f>VLOOKUP($B259,'2、设备合同'!$D:$AK,32,0)</f>
        <v>0</v>
      </c>
      <c r="AH259" s="289">
        <f>VLOOKUP($B259,'2、设备合同'!$D:$AK,33,0)</f>
        <v>0</v>
      </c>
      <c r="AI259" s="308">
        <f>VLOOKUP($B259,'2、设备合同'!$D:$AK,34,0)</f>
        <v>0</v>
      </c>
      <c r="AJ259" s="309">
        <f t="shared" si="74"/>
        <v>0</v>
      </c>
      <c r="AK259" s="289">
        <f t="shared" si="75"/>
        <v>970000</v>
      </c>
      <c r="AL259" s="310">
        <f t="shared" si="76"/>
        <v>0</v>
      </c>
      <c r="AM259" s="289">
        <f t="shared" si="77"/>
        <v>970000</v>
      </c>
      <c r="AN259" s="311" t="str">
        <f t="shared" si="78"/>
        <v>数据正确</v>
      </c>
    </row>
    <row r="260" customHeight="1" spans="1:40">
      <c r="A260" s="228" t="str">
        <f t="shared" si="79"/>
        <v/>
      </c>
      <c r="B260" s="261">
        <v>255</v>
      </c>
      <c r="C260" s="262" t="str">
        <f>VLOOKUP($B260,'2、设备合同'!$D:$AK,2,0)</f>
        <v>YRKJEQ-170096</v>
      </c>
      <c r="D260" s="263" t="str">
        <f>VLOOKUP($B260,'2、设备合同'!$D:$AK,3,0)</f>
        <v>设备合同</v>
      </c>
      <c r="E260" s="263">
        <f>VLOOKUP($B260,'2、设备合同'!$D:$AK,4,0)</f>
        <v>2017080051</v>
      </c>
      <c r="F260" s="264">
        <f>VLOOKUP($B260,'2、设备合同'!$D:$AK,5,0)</f>
        <v>42991</v>
      </c>
      <c r="G260" s="265">
        <f>VLOOKUP($B260,'2、设备合同'!$D:$AK,6,0)</f>
        <v>760000</v>
      </c>
      <c r="H260" s="265" t="str">
        <f>VLOOKUP($B260,'2、设备合同'!$D:$AK,7,0)</f>
        <v>起重机、电动葫芦</v>
      </c>
      <c r="I260" s="265" t="str">
        <f>VLOOKUP($B260,'2、设备合同'!$D:$AK,8,0)</f>
        <v>河南省矿山起重机有限公司</v>
      </c>
      <c r="J260" s="286">
        <f>VLOOKUP($B260,'2、设备合同'!$D:$AK,9,0)</f>
        <v>0</v>
      </c>
      <c r="K260" s="287" t="str">
        <f>VLOOKUP($B260,'2、设备合同'!$D:$AK,10,0)</f>
        <v>电汇</v>
      </c>
      <c r="L260" s="288" t="str">
        <f>VLOOKUP($B260,'2、设备合同'!$D:$AK,11,0)</f>
        <v>甲方收到乙方20%的预付款保函以等额专票后15个工作日支付20%预付款 10%履约保函</v>
      </c>
      <c r="M260" s="289">
        <f>VLOOKUP($B260,'2、设备合同'!$D:$AK,12,0)</f>
        <v>152000</v>
      </c>
      <c r="N260" s="289">
        <f>VLOOKUP($B260,'2、设备合同'!$D:$AK,13,0)</f>
        <v>0</v>
      </c>
      <c r="O260" s="286" t="str">
        <f>VLOOKUP($B260,'2、设备合同'!$D:$AK,14,0)</f>
        <v>甲方到乙方现场确认无误后，收到17%等额、专票，15个工作日内支付40%发货款</v>
      </c>
      <c r="P260" s="289">
        <f>VLOOKUP($B260,'2、设备合同'!$D:$AK,15,0)</f>
        <v>304000</v>
      </c>
      <c r="Q260" s="289">
        <f>VLOOKUP($B260,'2、设备合同'!$D:$AK,16,0)</f>
        <v>0</v>
      </c>
      <c r="R260" s="286" t="str">
        <f>VLOOKUP($B260,'2、设备合同'!$D:$AK,17,0)</f>
        <v>甲方核定的调试合格报告及足额的发票后付30%的验收款</v>
      </c>
      <c r="S260" s="289">
        <f>VLOOKUP($B260,'2、设备合同'!$D:$AK,18,0)</f>
        <v>228000</v>
      </c>
      <c r="T260" s="289">
        <f>VLOOKUP($B260,'2、设备合同'!$D:$AK,19,0)</f>
        <v>0</v>
      </c>
      <c r="U260" s="286" t="str">
        <f>VLOOKUP($B260,'2、设备合同'!$D:$AK,20,0)</f>
        <v>10%质保金，验收合格12个月或到货现场18个月 承兑</v>
      </c>
      <c r="V260" s="289">
        <f>VLOOKUP($B260,'2、设备合同'!$D:$AK,21,0)</f>
        <v>76000</v>
      </c>
      <c r="W260" s="289">
        <f>VLOOKUP($B260,'2、设备合同'!$D:$AK,22,0)</f>
        <v>0</v>
      </c>
      <c r="X260" s="286">
        <f>VLOOKUP($B260,'2、设备合同'!$D:$AK,23,0)</f>
        <v>0</v>
      </c>
      <c r="Y260" s="289">
        <f>VLOOKUP($B260,'2、设备合同'!$D:$AK,24,0)</f>
        <v>0</v>
      </c>
      <c r="Z260" s="289">
        <f>VLOOKUP($B260,'2、设备合同'!$D:$AK,25,0)</f>
        <v>0</v>
      </c>
      <c r="AA260" s="286">
        <f>VLOOKUP($B260,'2、设备合同'!$D:$AK,26,0)</f>
        <v>0</v>
      </c>
      <c r="AB260" s="289">
        <f>VLOOKUP($B260,'2、设备合同'!$D:$AK,27,0)</f>
        <v>0</v>
      </c>
      <c r="AC260" s="289">
        <f>VLOOKUP($B260,'2、设备合同'!$D:$AK,28,0)</f>
        <v>0</v>
      </c>
      <c r="AD260" s="286">
        <f>VLOOKUP($B260,'2、设备合同'!$D:$AK,29,0)</f>
        <v>0</v>
      </c>
      <c r="AE260" s="289">
        <f>VLOOKUP($B260,'2、设备合同'!$D:$AK,30,0)</f>
        <v>0</v>
      </c>
      <c r="AF260" s="289">
        <f>VLOOKUP($B260,'2、设备合同'!$D:$AK,31,0)</f>
        <v>0</v>
      </c>
      <c r="AG260" s="289">
        <f>VLOOKUP($B260,'2、设备合同'!$D:$AK,32,0)</f>
        <v>0</v>
      </c>
      <c r="AH260" s="289">
        <f>VLOOKUP($B260,'2、设备合同'!$D:$AK,33,0)</f>
        <v>0</v>
      </c>
      <c r="AI260" s="308">
        <f>VLOOKUP($B260,'2、设备合同'!$D:$AK,34,0)</f>
        <v>0</v>
      </c>
      <c r="AJ260" s="309">
        <f t="shared" si="74"/>
        <v>0</v>
      </c>
      <c r="AK260" s="289">
        <f t="shared" si="75"/>
        <v>760000</v>
      </c>
      <c r="AL260" s="310">
        <f t="shared" si="76"/>
        <v>0</v>
      </c>
      <c r="AM260" s="289">
        <f t="shared" si="77"/>
        <v>760000</v>
      </c>
      <c r="AN260" s="311" t="str">
        <f t="shared" si="78"/>
        <v>数据正确</v>
      </c>
    </row>
    <row r="261" customHeight="1" spans="1:40">
      <c r="A261" s="228" t="str">
        <f t="shared" si="79"/>
        <v/>
      </c>
      <c r="B261" s="261">
        <v>256</v>
      </c>
      <c r="C261" s="266" t="str">
        <f>VLOOKUP($B261,'4、其他合同'!$D:$AK,2,0)</f>
        <v>YRKJXZ-170028</v>
      </c>
      <c r="D261" s="267" t="s">
        <v>25</v>
      </c>
      <c r="E261" s="267">
        <f>VLOOKUP($B261,'4、其他合同'!$D:$AK,4,0)</f>
        <v>0</v>
      </c>
      <c r="F261" s="268">
        <f>VLOOKUP($B261,'4、其他合同'!$D:$AK,5,0)</f>
        <v>43003</v>
      </c>
      <c r="G261" s="269">
        <f>VLOOKUP($B261,'4、其他合同'!$D:$AK,6,0)</f>
        <v>1050000</v>
      </c>
      <c r="H261" s="269" t="str">
        <f>VLOOKUP($B261,'4、其他合同'!$D:$AK,7,0)</f>
        <v>项目管理信息系统建设合同</v>
      </c>
      <c r="I261" s="269" t="str">
        <f>VLOOKUP($B261,'4、其他合同'!$D:$AK,8,0)</f>
        <v>上海普华科技发展有限公司</v>
      </c>
      <c r="J261" s="290">
        <f>VLOOKUP($B261,'4、其他合同'!$D:$AK,9,0)</f>
        <v>0</v>
      </c>
      <c r="K261" s="291" t="str">
        <f>VLOOKUP($B261,'4、其他合同'!$D:$AK,10,0)</f>
        <v>电汇</v>
      </c>
      <c r="L261" s="292" t="str">
        <f>VLOOKUP($B261,'4、其他合同'!$D:$AK,11,0)</f>
        <v>合同签订2周后，甲方需确定首批许可人数，在乙方提供软件许可款项25万的100%，实施服务与开发55万的10%，乙方收到款项后，开具5.5万履约保函。</v>
      </c>
      <c r="M261" s="293">
        <f>VLOOKUP($B261,'4、其他合同'!$D:$AK,12,0)</f>
        <v>292500</v>
      </c>
      <c r="N261" s="293">
        <f>VLOOKUP($B261,'4、其他合同'!$D:$AK,13,0)</f>
        <v>0</v>
      </c>
      <c r="O261" s="290" t="str">
        <f>VLOOKUP($B261,'4、其他合同'!$D:$AK,14,0)</f>
        <v>项目管理系统业务调研规划完成，提交（系统应用方案）两周内，支付55万的20%</v>
      </c>
      <c r="P261" s="293">
        <f>VLOOKUP($B261,'4、其他合同'!$D:$AK,15,0)</f>
        <v>110000</v>
      </c>
      <c r="Q261" s="293">
        <f>VLOOKUP($B261,'4、其他合同'!$D:$AK,16,0)</f>
        <v>0</v>
      </c>
      <c r="R261" s="290" t="str">
        <f>VLOOKUP($B261,'4、其他合同'!$D:$AK,17,0)</f>
        <v>系统建设完成，提交（系统分析说明书）（用户操作手册）（系统维护手册）后两周内，支付55万的30%</v>
      </c>
      <c r="S261" s="293">
        <f>VLOOKUP($B261,'4、其他合同'!$D:$AK,18,0)</f>
        <v>165000</v>
      </c>
      <c r="T261" s="293">
        <f>VLOOKUP($B261,'4、其他合同'!$D:$AK,19,0)</f>
        <v>0</v>
      </c>
      <c r="U261" s="290" t="str">
        <f>VLOOKUP($B261,'4、其他合同'!$D:$AK,20,0)</f>
        <v>系统建设完成，提交（系统验收报告）（系统运行维护管理规定）后两周，支付55万的35%</v>
      </c>
      <c r="V261" s="293">
        <f>VLOOKUP($B261,'4、其他合同'!$D:$AK,21,0)</f>
        <v>192500</v>
      </c>
      <c r="W261" s="293">
        <f>VLOOKUP($B261,'4、其他合同'!$D:$AK,22,0)</f>
        <v>0</v>
      </c>
      <c r="X261" s="290" t="str">
        <f>VLOOKUP($B261,'4、其他合同'!$D:$AK,23,0)</f>
        <v>系统通过验收后12个月，剩余的5%</v>
      </c>
      <c r="Y261" s="293">
        <f>VLOOKUP($B261,'4、其他合同'!$D:$AK,24,0)</f>
        <v>40000</v>
      </c>
      <c r="Z261" s="293">
        <f>VLOOKUP($B261,'4、其他合同'!$D:$AK,25,0)</f>
        <v>0</v>
      </c>
      <c r="AA261" s="290">
        <f>VLOOKUP($B261,'4、其他合同'!$D:$AK,26,0)</f>
        <v>0</v>
      </c>
      <c r="AB261" s="293">
        <f>VLOOKUP($B261,'4、其他合同'!$D:$AK,27,0)</f>
        <v>0</v>
      </c>
      <c r="AC261" s="293">
        <f>VLOOKUP($B261,'4、其他合同'!$D:$AK,28,0)</f>
        <v>0</v>
      </c>
      <c r="AD261" s="290">
        <f>VLOOKUP($B261,'4、其他合同'!$D:$AK,29,0)</f>
        <v>0</v>
      </c>
      <c r="AE261" s="293">
        <f>VLOOKUP($B261,'4、其他合同'!$D:$AK,30,0)</f>
        <v>0</v>
      </c>
      <c r="AF261" s="293">
        <f>VLOOKUP($B261,'4、其他合同'!$D:$AK,31,0)</f>
        <v>0</v>
      </c>
      <c r="AG261" s="293">
        <f>VLOOKUP($B261,'4、其他合同'!$D:$AK,32,0)</f>
        <v>0</v>
      </c>
      <c r="AH261" s="293">
        <f>VLOOKUP($B261,'4、其他合同'!$D:$AK,33,0)</f>
        <v>250000</v>
      </c>
      <c r="AI261" s="312">
        <f>VLOOKUP($B261,'4、其他合同'!$D:$AK,34,0)</f>
        <v>0</v>
      </c>
      <c r="AJ261" s="309">
        <f t="shared" si="74"/>
        <v>0</v>
      </c>
      <c r="AK261" s="289">
        <f t="shared" si="75"/>
        <v>1050000</v>
      </c>
      <c r="AL261" s="310">
        <f t="shared" si="76"/>
        <v>0</v>
      </c>
      <c r="AM261" s="289">
        <f t="shared" si="77"/>
        <v>1050000</v>
      </c>
      <c r="AN261" s="311" t="str">
        <f t="shared" si="78"/>
        <v>数据正确</v>
      </c>
    </row>
    <row r="262" customHeight="1" spans="1:40">
      <c r="A262" s="228" t="e">
        <f t="shared" si="79"/>
        <v>#DIV/0!</v>
      </c>
      <c r="B262" s="261">
        <v>257</v>
      </c>
      <c r="C262" s="266" t="str">
        <f>VLOOKUP($B262,'3、工程合同'!$D:$AL,2,0)</f>
        <v>YRKJGC-150012</v>
      </c>
      <c r="D262" s="267" t="str">
        <f>VLOOKUP($B262,'3、工程合同'!$D:$AL,3,0)</f>
        <v>工程合同</v>
      </c>
      <c r="E262" s="267" t="str">
        <f>VLOOKUP($B262,'3、工程合同'!$D:$AL,4,0)</f>
        <v>-</v>
      </c>
      <c r="F262" s="268">
        <f>VLOOKUP($B262,'3、工程合同'!$D:$AL,5,0)</f>
        <v>42136</v>
      </c>
      <c r="G262" s="269">
        <f>VLOOKUP($B262,'3、工程合同'!$D:$AL,6,0)</f>
        <v>0</v>
      </c>
      <c r="H262" s="269" t="str">
        <f>VLOOKUP($B262,'3、工程合同'!$D:$AL,7,0)</f>
        <v>软地基政府补贴已到账2.1亿元，已申请未到账4732万元</v>
      </c>
      <c r="I262" s="269" t="str">
        <f>VLOOKUP($B262,'3、工程合同'!$D:$AL,8,0)</f>
        <v>-</v>
      </c>
      <c r="J262" s="290" t="str">
        <f>VLOOKUP($B262,'3、工程合同'!$D:$AL,9,0)</f>
        <v>软基</v>
      </c>
      <c r="K262" s="291" t="str">
        <f>VLOOKUP($B262,'3、工程合同'!$D:$AL,10,0)</f>
        <v>承兑/转账</v>
      </c>
      <c r="L262" s="292" t="str">
        <f>VLOOKUP($B262,'3、工程合同'!$D:$AL,11,0)</f>
        <v>-</v>
      </c>
      <c r="M262" s="293">
        <f>VLOOKUP($B262,'3、工程合同'!$D:$AL,12,0)</f>
        <v>0</v>
      </c>
      <c r="N262" s="293">
        <f>VLOOKUP($B262,'3、工程合同'!$D:$AL,13,0)</f>
        <v>0</v>
      </c>
      <c r="O262" s="290">
        <f>VLOOKUP($B262,'3、工程合同'!$D:$AL,14,0)</f>
        <v>0</v>
      </c>
      <c r="P262" s="293">
        <f>VLOOKUP($B262,'3、工程合同'!$D:$AL,15,0)</f>
        <v>0</v>
      </c>
      <c r="Q262" s="293">
        <f>VLOOKUP($B262,'3、工程合同'!$D:$AL,16,0)</f>
        <v>0</v>
      </c>
      <c r="R262" s="290">
        <f>VLOOKUP($B262,'3、工程合同'!$D:$AL,17,0)</f>
        <v>0</v>
      </c>
      <c r="S262" s="293">
        <f>VLOOKUP($B262,'3、工程合同'!$D:$AL,18,0)</f>
        <v>0</v>
      </c>
      <c r="T262" s="293">
        <f>VLOOKUP($B262,'3、工程合同'!$D:$AL,19,0)</f>
        <v>0</v>
      </c>
      <c r="U262" s="290">
        <f>VLOOKUP($B262,'3、工程合同'!$D:$AL,20,0)</f>
        <v>0</v>
      </c>
      <c r="V262" s="293">
        <f>VLOOKUP($B262,'3、工程合同'!$D:$AL,21,0)</f>
        <v>0</v>
      </c>
      <c r="W262" s="293">
        <f>VLOOKUP($B262,'3、工程合同'!$D:$AL,22,0)</f>
        <v>0</v>
      </c>
      <c r="X262" s="290">
        <f>VLOOKUP($B262,'3、工程合同'!$D:$AL,23,0)</f>
        <v>0</v>
      </c>
      <c r="Y262" s="293">
        <f>VLOOKUP($B262,'3、工程合同'!$D:$AL,24,0)</f>
        <v>0</v>
      </c>
      <c r="Z262" s="293">
        <f>VLOOKUP($B262,'3、工程合同'!$D:$AL,25,0)</f>
        <v>0</v>
      </c>
      <c r="AA262" s="290">
        <f>VLOOKUP($B262,'3、工程合同'!$D:$AL,26,0)</f>
        <v>0</v>
      </c>
      <c r="AB262" s="293">
        <f>VLOOKUP($B262,'3、工程合同'!$D:$AL,27,0)</f>
        <v>0</v>
      </c>
      <c r="AC262" s="293">
        <f>VLOOKUP($B262,'3、工程合同'!$D:$AL,28,0)</f>
        <v>0</v>
      </c>
      <c r="AD262" s="290">
        <f>VLOOKUP($B262,'3、工程合同'!$D:$AL,29,0)</f>
        <v>0</v>
      </c>
      <c r="AE262" s="293">
        <f>VLOOKUP($B262,'3、工程合同'!$D:$AL,30,0)</f>
        <v>0</v>
      </c>
      <c r="AF262" s="293">
        <f>VLOOKUP($B262,'3、工程合同'!$D:$AL,31,0)</f>
        <v>0</v>
      </c>
      <c r="AG262" s="293">
        <f>VLOOKUP($B262,'3、工程合同'!$D:$AL,32,0)</f>
        <v>0</v>
      </c>
      <c r="AH262" s="293">
        <f>VLOOKUP($B262,'3、工程合同'!$D:$AL,33,0)</f>
        <v>0</v>
      </c>
      <c r="AI262" s="312">
        <f>VLOOKUP($B262,'3、工程合同'!$D:$AL,34,0)</f>
        <v>0</v>
      </c>
      <c r="AJ262" s="309">
        <f t="shared" si="74"/>
        <v>0</v>
      </c>
      <c r="AK262" s="289">
        <f t="shared" si="75"/>
        <v>0</v>
      </c>
      <c r="AL262" s="310" t="e">
        <f t="shared" si="76"/>
        <v>#DIV/0!</v>
      </c>
      <c r="AM262" s="289">
        <f t="shared" si="77"/>
        <v>0</v>
      </c>
      <c r="AN262" s="311" t="str">
        <f t="shared" si="78"/>
        <v>数据正确</v>
      </c>
    </row>
    <row r="263" customHeight="1" spans="1:40">
      <c r="A263" s="228" t="e">
        <f t="shared" si="79"/>
        <v>#DIV/0!</v>
      </c>
      <c r="B263" s="261">
        <v>258</v>
      </c>
      <c r="C263" s="266"/>
      <c r="D263" s="267"/>
      <c r="E263" s="267"/>
      <c r="F263" s="268"/>
      <c r="G263" s="269"/>
      <c r="H263" s="269"/>
      <c r="I263" s="269"/>
      <c r="J263" s="290"/>
      <c r="K263" s="291"/>
      <c r="L263" s="292"/>
      <c r="M263" s="293"/>
      <c r="N263" s="293"/>
      <c r="O263" s="290"/>
      <c r="P263" s="293"/>
      <c r="Q263" s="293"/>
      <c r="R263" s="290"/>
      <c r="S263" s="293"/>
      <c r="T263" s="293"/>
      <c r="U263" s="290"/>
      <c r="V263" s="293"/>
      <c r="W263" s="293"/>
      <c r="X263" s="290"/>
      <c r="Y263" s="293"/>
      <c r="Z263" s="293"/>
      <c r="AA263" s="290"/>
      <c r="AB263" s="293"/>
      <c r="AC263" s="293"/>
      <c r="AD263" s="290"/>
      <c r="AE263" s="293"/>
      <c r="AF263" s="293"/>
      <c r="AG263" s="293"/>
      <c r="AH263" s="293"/>
      <c r="AI263" s="312"/>
      <c r="AJ263" s="309">
        <f t="shared" ref="AJ261:AJ266" si="80">N263+Q263+T263+W263+Z263+AC263+AF263+AI263</f>
        <v>0</v>
      </c>
      <c r="AK263" s="289">
        <f t="shared" ref="AK261:AK266" si="81">G263-AJ263</f>
        <v>0</v>
      </c>
      <c r="AL263" s="310" t="e">
        <f t="shared" ref="AL261:AL266" si="82">AJ263/G263</f>
        <v>#DIV/0!</v>
      </c>
      <c r="AM263" s="289">
        <f t="shared" ref="AM261:AM266" si="83">M263+P263+S263+V263+Y263+AB263+AE263+AH263</f>
        <v>0</v>
      </c>
      <c r="AN263" s="311" t="str">
        <f t="shared" ref="AN261:AN266" si="84">IF(AM263-G263=0,"数据正确","数据错误")</f>
        <v>数据正确</v>
      </c>
    </row>
    <row r="264" customHeight="1" spans="1:40">
      <c r="A264" s="228" t="e">
        <f t="shared" si="79"/>
        <v>#DIV/0!</v>
      </c>
      <c r="B264" s="261">
        <v>259</v>
      </c>
      <c r="C264" s="266"/>
      <c r="D264" s="267"/>
      <c r="E264" s="267"/>
      <c r="F264" s="268"/>
      <c r="G264" s="269"/>
      <c r="H264" s="269"/>
      <c r="I264" s="269"/>
      <c r="J264" s="290"/>
      <c r="K264" s="291"/>
      <c r="L264" s="292"/>
      <c r="M264" s="293"/>
      <c r="N264" s="293"/>
      <c r="O264" s="290"/>
      <c r="P264" s="293"/>
      <c r="Q264" s="293"/>
      <c r="R264" s="290"/>
      <c r="S264" s="293"/>
      <c r="T264" s="293"/>
      <c r="U264" s="290"/>
      <c r="V264" s="293"/>
      <c r="W264" s="293"/>
      <c r="X264" s="290"/>
      <c r="Y264" s="293"/>
      <c r="Z264" s="293"/>
      <c r="AA264" s="290"/>
      <c r="AB264" s="293"/>
      <c r="AC264" s="293"/>
      <c r="AD264" s="290"/>
      <c r="AE264" s="293"/>
      <c r="AF264" s="293"/>
      <c r="AG264" s="293"/>
      <c r="AH264" s="293"/>
      <c r="AI264" s="312"/>
      <c r="AJ264" s="309">
        <f t="shared" si="80"/>
        <v>0</v>
      </c>
      <c r="AK264" s="289">
        <f t="shared" si="81"/>
        <v>0</v>
      </c>
      <c r="AL264" s="310" t="e">
        <f t="shared" si="82"/>
        <v>#DIV/0!</v>
      </c>
      <c r="AM264" s="289">
        <f t="shared" si="83"/>
        <v>0</v>
      </c>
      <c r="AN264" s="311" t="str">
        <f t="shared" si="84"/>
        <v>数据正确</v>
      </c>
    </row>
    <row r="265" customHeight="1" spans="1:40">
      <c r="A265" s="228" t="e">
        <f t="shared" si="79"/>
        <v>#DIV/0!</v>
      </c>
      <c r="B265" s="261">
        <v>260</v>
      </c>
      <c r="C265" s="266"/>
      <c r="D265" s="267"/>
      <c r="E265" s="267"/>
      <c r="F265" s="268"/>
      <c r="G265" s="269"/>
      <c r="H265" s="269"/>
      <c r="I265" s="269"/>
      <c r="J265" s="290"/>
      <c r="K265" s="291"/>
      <c r="L265" s="292"/>
      <c r="M265" s="293"/>
      <c r="N265" s="293"/>
      <c r="O265" s="290"/>
      <c r="P265" s="293"/>
      <c r="Q265" s="293"/>
      <c r="R265" s="290"/>
      <c r="S265" s="293"/>
      <c r="T265" s="293"/>
      <c r="U265" s="290"/>
      <c r="V265" s="293"/>
      <c r="W265" s="293"/>
      <c r="X265" s="290"/>
      <c r="Y265" s="293"/>
      <c r="Z265" s="293"/>
      <c r="AA265" s="290"/>
      <c r="AB265" s="293"/>
      <c r="AC265" s="293"/>
      <c r="AD265" s="290"/>
      <c r="AE265" s="293"/>
      <c r="AF265" s="293"/>
      <c r="AG265" s="293"/>
      <c r="AH265" s="293"/>
      <c r="AI265" s="312"/>
      <c r="AJ265" s="309">
        <f t="shared" si="80"/>
        <v>0</v>
      </c>
      <c r="AK265" s="289">
        <f t="shared" si="81"/>
        <v>0</v>
      </c>
      <c r="AL265" s="310" t="e">
        <f t="shared" si="82"/>
        <v>#DIV/0!</v>
      </c>
      <c r="AM265" s="289">
        <f t="shared" si="83"/>
        <v>0</v>
      </c>
      <c r="AN265" s="311" t="str">
        <f t="shared" si="84"/>
        <v>数据正确</v>
      </c>
    </row>
    <row r="266" customHeight="1" spans="1:40">
      <c r="A266" s="228" t="e">
        <f t="shared" si="79"/>
        <v>#DIV/0!</v>
      </c>
      <c r="B266" s="261">
        <v>261</v>
      </c>
      <c r="C266" s="266"/>
      <c r="D266" s="267"/>
      <c r="E266" s="267"/>
      <c r="F266" s="268"/>
      <c r="G266" s="269"/>
      <c r="H266" s="269"/>
      <c r="I266" s="269"/>
      <c r="J266" s="290"/>
      <c r="K266" s="291"/>
      <c r="L266" s="292"/>
      <c r="M266" s="293"/>
      <c r="N266" s="293"/>
      <c r="O266" s="290"/>
      <c r="P266" s="293"/>
      <c r="Q266" s="293"/>
      <c r="R266" s="290"/>
      <c r="S266" s="293"/>
      <c r="T266" s="293"/>
      <c r="U266" s="290"/>
      <c r="V266" s="293"/>
      <c r="W266" s="293"/>
      <c r="X266" s="290"/>
      <c r="Y266" s="293"/>
      <c r="Z266" s="293"/>
      <c r="AA266" s="290"/>
      <c r="AB266" s="293"/>
      <c r="AC266" s="293"/>
      <c r="AD266" s="290"/>
      <c r="AE266" s="293"/>
      <c r="AF266" s="293"/>
      <c r="AG266" s="293"/>
      <c r="AH266" s="293"/>
      <c r="AI266" s="312"/>
      <c r="AJ266" s="309">
        <f t="shared" si="80"/>
        <v>0</v>
      </c>
      <c r="AK266" s="289">
        <f t="shared" si="81"/>
        <v>0</v>
      </c>
      <c r="AL266" s="310" t="e">
        <f t="shared" si="82"/>
        <v>#DIV/0!</v>
      </c>
      <c r="AM266" s="289">
        <f t="shared" si="83"/>
        <v>0</v>
      </c>
      <c r="AN266" s="311" t="str">
        <f t="shared" si="84"/>
        <v>数据正确</v>
      </c>
    </row>
    <row r="267" customHeight="1" spans="1:40">
      <c r="A267" s="228" t="e">
        <f t="shared" si="79"/>
        <v>#DIV/0!</v>
      </c>
      <c r="B267" s="261">
        <v>262</v>
      </c>
      <c r="C267" s="266"/>
      <c r="D267" s="267"/>
      <c r="E267" s="267"/>
      <c r="F267" s="268"/>
      <c r="G267" s="269"/>
      <c r="H267" s="269"/>
      <c r="I267" s="269"/>
      <c r="J267" s="290"/>
      <c r="K267" s="291"/>
      <c r="L267" s="292"/>
      <c r="M267" s="293"/>
      <c r="N267" s="293"/>
      <c r="O267" s="290"/>
      <c r="P267" s="293"/>
      <c r="Q267" s="293"/>
      <c r="R267" s="290"/>
      <c r="S267" s="293"/>
      <c r="T267" s="293"/>
      <c r="U267" s="290"/>
      <c r="V267" s="293"/>
      <c r="W267" s="293"/>
      <c r="X267" s="290"/>
      <c r="Y267" s="293"/>
      <c r="Z267" s="293"/>
      <c r="AA267" s="290"/>
      <c r="AB267" s="293"/>
      <c r="AC267" s="293"/>
      <c r="AD267" s="290"/>
      <c r="AE267" s="293"/>
      <c r="AF267" s="293"/>
      <c r="AG267" s="293"/>
      <c r="AH267" s="293"/>
      <c r="AI267" s="312"/>
      <c r="AJ267" s="309">
        <f t="shared" ref="AJ254:AJ291" si="85">N267+Q267+T267+W267+Z267+AC267+AF267+AI267</f>
        <v>0</v>
      </c>
      <c r="AK267" s="289">
        <f t="shared" ref="AK254:AK291" si="86">G267-AJ267</f>
        <v>0</v>
      </c>
      <c r="AL267" s="310" t="e">
        <f t="shared" ref="AL254:AL291" si="87">AJ267/G267</f>
        <v>#DIV/0!</v>
      </c>
      <c r="AM267" s="289">
        <f t="shared" ref="AM254:AM291" si="88">M267+P267+S267+V267+Y267+AB267+AE267+AH267</f>
        <v>0</v>
      </c>
      <c r="AN267" s="311" t="str">
        <f t="shared" ref="AN254:AN291" si="89">IF(AM267-G267=0,"数据正确","数据错误")</f>
        <v>数据正确</v>
      </c>
    </row>
    <row r="268" customHeight="1" spans="1:40">
      <c r="A268" s="228" t="e">
        <f t="shared" si="79"/>
        <v>#DIV/0!</v>
      </c>
      <c r="B268" s="261">
        <v>263</v>
      </c>
      <c r="C268" s="266"/>
      <c r="D268" s="267"/>
      <c r="E268" s="267"/>
      <c r="F268" s="268"/>
      <c r="G268" s="269"/>
      <c r="H268" s="269"/>
      <c r="I268" s="269"/>
      <c r="J268" s="290"/>
      <c r="K268" s="291"/>
      <c r="L268" s="292"/>
      <c r="M268" s="293"/>
      <c r="N268" s="293"/>
      <c r="O268" s="290"/>
      <c r="P268" s="293"/>
      <c r="Q268" s="293"/>
      <c r="R268" s="290"/>
      <c r="S268" s="293"/>
      <c r="T268" s="293"/>
      <c r="U268" s="290"/>
      <c r="V268" s="293"/>
      <c r="W268" s="293"/>
      <c r="X268" s="290"/>
      <c r="Y268" s="293"/>
      <c r="Z268" s="293"/>
      <c r="AA268" s="290"/>
      <c r="AB268" s="293"/>
      <c r="AC268" s="293"/>
      <c r="AD268" s="290"/>
      <c r="AE268" s="293"/>
      <c r="AF268" s="293"/>
      <c r="AG268" s="293"/>
      <c r="AH268" s="293"/>
      <c r="AI268" s="312"/>
      <c r="AJ268" s="309">
        <f t="shared" si="85"/>
        <v>0</v>
      </c>
      <c r="AK268" s="289">
        <f t="shared" si="86"/>
        <v>0</v>
      </c>
      <c r="AL268" s="310" t="e">
        <f t="shared" si="87"/>
        <v>#DIV/0!</v>
      </c>
      <c r="AM268" s="289">
        <f t="shared" si="88"/>
        <v>0</v>
      </c>
      <c r="AN268" s="311" t="str">
        <f t="shared" si="89"/>
        <v>数据正确</v>
      </c>
    </row>
    <row r="269" customHeight="1" spans="1:40">
      <c r="A269" s="228" t="e">
        <f t="shared" si="79"/>
        <v>#DIV/0!</v>
      </c>
      <c r="B269" s="261">
        <v>264</v>
      </c>
      <c r="C269" s="266"/>
      <c r="D269" s="267"/>
      <c r="E269" s="267"/>
      <c r="F269" s="268"/>
      <c r="G269" s="269"/>
      <c r="H269" s="269"/>
      <c r="I269" s="269"/>
      <c r="J269" s="290"/>
      <c r="K269" s="291"/>
      <c r="L269" s="292"/>
      <c r="M269" s="293"/>
      <c r="N269" s="293"/>
      <c r="O269" s="290"/>
      <c r="P269" s="293"/>
      <c r="Q269" s="293"/>
      <c r="R269" s="290"/>
      <c r="S269" s="293"/>
      <c r="T269" s="293"/>
      <c r="U269" s="290"/>
      <c r="V269" s="293"/>
      <c r="W269" s="293"/>
      <c r="X269" s="290"/>
      <c r="Y269" s="293"/>
      <c r="Z269" s="293"/>
      <c r="AA269" s="290"/>
      <c r="AB269" s="293"/>
      <c r="AC269" s="293"/>
      <c r="AD269" s="290"/>
      <c r="AE269" s="293"/>
      <c r="AF269" s="293"/>
      <c r="AG269" s="293"/>
      <c r="AH269" s="293"/>
      <c r="AI269" s="312"/>
      <c r="AJ269" s="309">
        <f t="shared" si="85"/>
        <v>0</v>
      </c>
      <c r="AK269" s="289">
        <f t="shared" si="86"/>
        <v>0</v>
      </c>
      <c r="AL269" s="310" t="e">
        <f t="shared" si="87"/>
        <v>#DIV/0!</v>
      </c>
      <c r="AM269" s="289">
        <f t="shared" si="88"/>
        <v>0</v>
      </c>
      <c r="AN269" s="311" t="str">
        <f t="shared" si="89"/>
        <v>数据正确</v>
      </c>
    </row>
    <row r="270" customHeight="1" spans="1:40">
      <c r="A270" s="228" t="e">
        <f t="shared" si="79"/>
        <v>#DIV/0!</v>
      </c>
      <c r="B270" s="261">
        <v>265</v>
      </c>
      <c r="C270" s="266"/>
      <c r="D270" s="267"/>
      <c r="E270" s="267"/>
      <c r="F270" s="268"/>
      <c r="G270" s="269"/>
      <c r="H270" s="269"/>
      <c r="I270" s="269"/>
      <c r="J270" s="290"/>
      <c r="K270" s="291"/>
      <c r="L270" s="292"/>
      <c r="M270" s="293"/>
      <c r="N270" s="293"/>
      <c r="O270" s="290"/>
      <c r="P270" s="293"/>
      <c r="Q270" s="293"/>
      <c r="R270" s="290"/>
      <c r="S270" s="293"/>
      <c r="T270" s="293"/>
      <c r="U270" s="290"/>
      <c r="V270" s="293"/>
      <c r="W270" s="293"/>
      <c r="X270" s="290"/>
      <c r="Y270" s="293"/>
      <c r="Z270" s="293"/>
      <c r="AA270" s="290"/>
      <c r="AB270" s="293"/>
      <c r="AC270" s="293"/>
      <c r="AD270" s="290"/>
      <c r="AE270" s="293"/>
      <c r="AF270" s="293"/>
      <c r="AG270" s="293"/>
      <c r="AH270" s="293"/>
      <c r="AI270" s="312"/>
      <c r="AJ270" s="309">
        <f t="shared" si="85"/>
        <v>0</v>
      </c>
      <c r="AK270" s="289">
        <f t="shared" si="86"/>
        <v>0</v>
      </c>
      <c r="AL270" s="310" t="e">
        <f t="shared" si="87"/>
        <v>#DIV/0!</v>
      </c>
      <c r="AM270" s="289">
        <f t="shared" si="88"/>
        <v>0</v>
      </c>
      <c r="AN270" s="311" t="str">
        <f t="shared" si="89"/>
        <v>数据正确</v>
      </c>
    </row>
    <row r="271" customHeight="1" spans="1:40">
      <c r="A271" s="228" t="e">
        <f t="shared" si="79"/>
        <v>#DIV/0!</v>
      </c>
      <c r="B271" s="261">
        <v>266</v>
      </c>
      <c r="C271" s="266"/>
      <c r="D271" s="267"/>
      <c r="E271" s="267"/>
      <c r="F271" s="268"/>
      <c r="G271" s="269"/>
      <c r="H271" s="269"/>
      <c r="I271" s="269"/>
      <c r="J271" s="290"/>
      <c r="K271" s="291"/>
      <c r="L271" s="292"/>
      <c r="M271" s="293"/>
      <c r="N271" s="293"/>
      <c r="O271" s="290"/>
      <c r="P271" s="293"/>
      <c r="Q271" s="293"/>
      <c r="R271" s="290"/>
      <c r="S271" s="293"/>
      <c r="T271" s="293"/>
      <c r="U271" s="290"/>
      <c r="V271" s="293"/>
      <c r="W271" s="293"/>
      <c r="X271" s="290"/>
      <c r="Y271" s="293"/>
      <c r="Z271" s="293"/>
      <c r="AA271" s="290"/>
      <c r="AB271" s="293"/>
      <c r="AC271" s="293"/>
      <c r="AD271" s="290"/>
      <c r="AE271" s="293"/>
      <c r="AF271" s="293"/>
      <c r="AG271" s="293"/>
      <c r="AH271" s="293"/>
      <c r="AI271" s="312"/>
      <c r="AJ271" s="309">
        <f t="shared" si="85"/>
        <v>0</v>
      </c>
      <c r="AK271" s="289">
        <f t="shared" si="86"/>
        <v>0</v>
      </c>
      <c r="AL271" s="310" t="e">
        <f t="shared" si="87"/>
        <v>#DIV/0!</v>
      </c>
      <c r="AM271" s="289">
        <f t="shared" si="88"/>
        <v>0</v>
      </c>
      <c r="AN271" s="311" t="str">
        <f t="shared" si="89"/>
        <v>数据正确</v>
      </c>
    </row>
    <row r="272" customHeight="1" spans="1:40">
      <c r="A272" s="228" t="e">
        <f t="shared" si="79"/>
        <v>#DIV/0!</v>
      </c>
      <c r="B272" s="261">
        <v>267</v>
      </c>
      <c r="C272" s="266"/>
      <c r="D272" s="267"/>
      <c r="E272" s="267"/>
      <c r="F272" s="268"/>
      <c r="G272" s="269"/>
      <c r="H272" s="269"/>
      <c r="I272" s="269"/>
      <c r="J272" s="290"/>
      <c r="K272" s="291"/>
      <c r="L272" s="292"/>
      <c r="M272" s="293"/>
      <c r="N272" s="293"/>
      <c r="O272" s="290"/>
      <c r="P272" s="293"/>
      <c r="Q272" s="293"/>
      <c r="R272" s="290"/>
      <c r="S272" s="293"/>
      <c r="T272" s="293"/>
      <c r="U272" s="290"/>
      <c r="V272" s="293"/>
      <c r="W272" s="293"/>
      <c r="X272" s="290"/>
      <c r="Y272" s="293"/>
      <c r="Z272" s="293"/>
      <c r="AA272" s="290"/>
      <c r="AB272" s="293"/>
      <c r="AC272" s="293"/>
      <c r="AD272" s="290"/>
      <c r="AE272" s="293"/>
      <c r="AF272" s="293"/>
      <c r="AG272" s="293"/>
      <c r="AH272" s="293"/>
      <c r="AI272" s="312"/>
      <c r="AJ272" s="309">
        <f t="shared" si="85"/>
        <v>0</v>
      </c>
      <c r="AK272" s="289">
        <f t="shared" si="86"/>
        <v>0</v>
      </c>
      <c r="AL272" s="310" t="e">
        <f t="shared" si="87"/>
        <v>#DIV/0!</v>
      </c>
      <c r="AM272" s="289">
        <f t="shared" si="88"/>
        <v>0</v>
      </c>
      <c r="AN272" s="311" t="str">
        <f t="shared" si="89"/>
        <v>数据正确</v>
      </c>
    </row>
    <row r="273" customHeight="1" spans="1:40">
      <c r="A273" s="228" t="e">
        <f t="shared" si="79"/>
        <v>#DIV/0!</v>
      </c>
      <c r="B273" s="261">
        <v>268</v>
      </c>
      <c r="C273" s="266"/>
      <c r="D273" s="267"/>
      <c r="E273" s="267"/>
      <c r="F273" s="268"/>
      <c r="G273" s="269"/>
      <c r="H273" s="269"/>
      <c r="I273" s="269"/>
      <c r="J273" s="290"/>
      <c r="K273" s="291"/>
      <c r="L273" s="292"/>
      <c r="M273" s="293"/>
      <c r="N273" s="293"/>
      <c r="O273" s="290"/>
      <c r="P273" s="293"/>
      <c r="Q273" s="293"/>
      <c r="R273" s="290"/>
      <c r="S273" s="293"/>
      <c r="T273" s="293"/>
      <c r="U273" s="290"/>
      <c r="V273" s="293"/>
      <c r="W273" s="293"/>
      <c r="X273" s="290"/>
      <c r="Y273" s="293"/>
      <c r="Z273" s="293"/>
      <c r="AA273" s="290"/>
      <c r="AB273" s="293"/>
      <c r="AC273" s="293"/>
      <c r="AD273" s="290"/>
      <c r="AE273" s="293"/>
      <c r="AF273" s="293"/>
      <c r="AG273" s="293"/>
      <c r="AH273" s="293"/>
      <c r="AI273" s="312"/>
      <c r="AJ273" s="309">
        <f t="shared" si="85"/>
        <v>0</v>
      </c>
      <c r="AK273" s="289">
        <f t="shared" si="86"/>
        <v>0</v>
      </c>
      <c r="AL273" s="310" t="e">
        <f t="shared" si="87"/>
        <v>#DIV/0!</v>
      </c>
      <c r="AM273" s="289">
        <f t="shared" si="88"/>
        <v>0</v>
      </c>
      <c r="AN273" s="311" t="str">
        <f t="shared" si="89"/>
        <v>数据正确</v>
      </c>
    </row>
    <row r="274" customHeight="1" spans="1:40">
      <c r="A274" s="228" t="e">
        <f t="shared" si="79"/>
        <v>#DIV/0!</v>
      </c>
      <c r="B274" s="261">
        <v>269</v>
      </c>
      <c r="C274" s="266"/>
      <c r="D274" s="267"/>
      <c r="E274" s="267"/>
      <c r="F274" s="268"/>
      <c r="G274" s="269"/>
      <c r="H274" s="269"/>
      <c r="I274" s="269"/>
      <c r="J274" s="290"/>
      <c r="K274" s="291"/>
      <c r="L274" s="292"/>
      <c r="M274" s="293"/>
      <c r="N274" s="293"/>
      <c r="O274" s="290"/>
      <c r="P274" s="293"/>
      <c r="Q274" s="293"/>
      <c r="R274" s="290"/>
      <c r="S274" s="293"/>
      <c r="T274" s="293"/>
      <c r="U274" s="290"/>
      <c r="V274" s="293"/>
      <c r="W274" s="293"/>
      <c r="X274" s="290"/>
      <c r="Y274" s="293"/>
      <c r="Z274" s="293"/>
      <c r="AA274" s="290"/>
      <c r="AB274" s="293"/>
      <c r="AC274" s="293"/>
      <c r="AD274" s="290"/>
      <c r="AE274" s="293"/>
      <c r="AF274" s="293"/>
      <c r="AG274" s="293"/>
      <c r="AH274" s="293"/>
      <c r="AI274" s="312"/>
      <c r="AJ274" s="309">
        <f t="shared" si="85"/>
        <v>0</v>
      </c>
      <c r="AK274" s="289">
        <f t="shared" si="86"/>
        <v>0</v>
      </c>
      <c r="AL274" s="310" t="e">
        <f t="shared" si="87"/>
        <v>#DIV/0!</v>
      </c>
      <c r="AM274" s="289">
        <f t="shared" si="88"/>
        <v>0</v>
      </c>
      <c r="AN274" s="311" t="str">
        <f t="shared" si="89"/>
        <v>数据正确</v>
      </c>
    </row>
    <row r="275" customHeight="1" spans="1:40">
      <c r="A275" s="228" t="e">
        <f t="shared" si="79"/>
        <v>#DIV/0!</v>
      </c>
      <c r="B275" s="261">
        <v>270</v>
      </c>
      <c r="C275" s="266"/>
      <c r="D275" s="267"/>
      <c r="E275" s="267"/>
      <c r="F275" s="268"/>
      <c r="G275" s="269"/>
      <c r="H275" s="269"/>
      <c r="I275" s="269"/>
      <c r="J275" s="290"/>
      <c r="K275" s="291"/>
      <c r="L275" s="292"/>
      <c r="M275" s="293"/>
      <c r="N275" s="293"/>
      <c r="O275" s="290"/>
      <c r="P275" s="293"/>
      <c r="Q275" s="293"/>
      <c r="R275" s="290"/>
      <c r="S275" s="293"/>
      <c r="T275" s="293"/>
      <c r="U275" s="290"/>
      <c r="V275" s="293"/>
      <c r="W275" s="293"/>
      <c r="X275" s="290"/>
      <c r="Y275" s="293"/>
      <c r="Z275" s="293"/>
      <c r="AA275" s="290"/>
      <c r="AB275" s="293"/>
      <c r="AC275" s="293"/>
      <c r="AD275" s="290"/>
      <c r="AE275" s="293"/>
      <c r="AF275" s="293"/>
      <c r="AG275" s="293"/>
      <c r="AH275" s="293"/>
      <c r="AI275" s="312"/>
      <c r="AJ275" s="309">
        <f t="shared" si="85"/>
        <v>0</v>
      </c>
      <c r="AK275" s="289">
        <f t="shared" si="86"/>
        <v>0</v>
      </c>
      <c r="AL275" s="310" t="e">
        <f t="shared" si="87"/>
        <v>#DIV/0!</v>
      </c>
      <c r="AM275" s="289">
        <f t="shared" si="88"/>
        <v>0</v>
      </c>
      <c r="AN275" s="311" t="str">
        <f t="shared" si="89"/>
        <v>数据正确</v>
      </c>
    </row>
    <row r="276" customHeight="1" spans="1:40">
      <c r="A276" s="228" t="e">
        <f t="shared" si="79"/>
        <v>#DIV/0!</v>
      </c>
      <c r="B276" s="261">
        <v>271</v>
      </c>
      <c r="C276" s="266"/>
      <c r="D276" s="267"/>
      <c r="E276" s="267"/>
      <c r="F276" s="268"/>
      <c r="G276" s="269"/>
      <c r="H276" s="269"/>
      <c r="I276" s="269"/>
      <c r="J276" s="290"/>
      <c r="K276" s="291"/>
      <c r="L276" s="292"/>
      <c r="M276" s="293"/>
      <c r="N276" s="293"/>
      <c r="O276" s="290"/>
      <c r="P276" s="293"/>
      <c r="Q276" s="293"/>
      <c r="R276" s="290"/>
      <c r="S276" s="293"/>
      <c r="T276" s="293"/>
      <c r="U276" s="290"/>
      <c r="V276" s="293"/>
      <c r="W276" s="293"/>
      <c r="X276" s="290"/>
      <c r="Y276" s="293"/>
      <c r="Z276" s="293"/>
      <c r="AA276" s="290"/>
      <c r="AB276" s="293"/>
      <c r="AC276" s="293"/>
      <c r="AD276" s="290"/>
      <c r="AE276" s="293"/>
      <c r="AF276" s="293"/>
      <c r="AG276" s="293"/>
      <c r="AH276" s="293"/>
      <c r="AI276" s="312"/>
      <c r="AJ276" s="309">
        <f t="shared" si="85"/>
        <v>0</v>
      </c>
      <c r="AK276" s="289">
        <f t="shared" si="86"/>
        <v>0</v>
      </c>
      <c r="AL276" s="310" t="e">
        <f t="shared" si="87"/>
        <v>#DIV/0!</v>
      </c>
      <c r="AM276" s="289">
        <f t="shared" si="88"/>
        <v>0</v>
      </c>
      <c r="AN276" s="311" t="str">
        <f t="shared" si="89"/>
        <v>数据正确</v>
      </c>
    </row>
    <row r="277" customHeight="1" spans="1:40">
      <c r="A277" s="228" t="e">
        <f t="shared" si="79"/>
        <v>#DIV/0!</v>
      </c>
      <c r="B277" s="261">
        <v>272</v>
      </c>
      <c r="C277" s="266"/>
      <c r="D277" s="267"/>
      <c r="E277" s="267"/>
      <c r="F277" s="268"/>
      <c r="G277" s="269"/>
      <c r="H277" s="269"/>
      <c r="I277" s="269"/>
      <c r="J277" s="290"/>
      <c r="K277" s="291"/>
      <c r="L277" s="292"/>
      <c r="M277" s="293"/>
      <c r="N277" s="293"/>
      <c r="O277" s="290"/>
      <c r="P277" s="293"/>
      <c r="Q277" s="293"/>
      <c r="R277" s="290"/>
      <c r="S277" s="293"/>
      <c r="T277" s="293"/>
      <c r="U277" s="290"/>
      <c r="V277" s="293"/>
      <c r="W277" s="293"/>
      <c r="X277" s="290"/>
      <c r="Y277" s="293"/>
      <c r="Z277" s="293"/>
      <c r="AA277" s="290"/>
      <c r="AB277" s="293"/>
      <c r="AC277" s="293"/>
      <c r="AD277" s="290"/>
      <c r="AE277" s="293"/>
      <c r="AF277" s="293"/>
      <c r="AG277" s="293"/>
      <c r="AH277" s="293"/>
      <c r="AI277" s="312"/>
      <c r="AJ277" s="309">
        <f t="shared" si="85"/>
        <v>0</v>
      </c>
      <c r="AK277" s="289">
        <f t="shared" si="86"/>
        <v>0</v>
      </c>
      <c r="AL277" s="310" t="e">
        <f t="shared" si="87"/>
        <v>#DIV/0!</v>
      </c>
      <c r="AM277" s="289">
        <f t="shared" si="88"/>
        <v>0</v>
      </c>
      <c r="AN277" s="311" t="str">
        <f t="shared" si="89"/>
        <v>数据正确</v>
      </c>
    </row>
    <row r="278" customHeight="1" spans="1:40">
      <c r="A278" s="228" t="e">
        <f t="shared" si="79"/>
        <v>#DIV/0!</v>
      </c>
      <c r="B278" s="261">
        <v>273</v>
      </c>
      <c r="C278" s="266"/>
      <c r="D278" s="267"/>
      <c r="E278" s="267"/>
      <c r="F278" s="268"/>
      <c r="G278" s="269"/>
      <c r="H278" s="269"/>
      <c r="I278" s="269"/>
      <c r="J278" s="290"/>
      <c r="K278" s="291"/>
      <c r="L278" s="292"/>
      <c r="M278" s="293"/>
      <c r="N278" s="293"/>
      <c r="O278" s="290"/>
      <c r="P278" s="293"/>
      <c r="Q278" s="293"/>
      <c r="R278" s="290"/>
      <c r="S278" s="293"/>
      <c r="T278" s="293"/>
      <c r="U278" s="290"/>
      <c r="V278" s="293"/>
      <c r="W278" s="293"/>
      <c r="X278" s="290"/>
      <c r="Y278" s="293"/>
      <c r="Z278" s="293"/>
      <c r="AA278" s="290"/>
      <c r="AB278" s="293"/>
      <c r="AC278" s="293"/>
      <c r="AD278" s="290"/>
      <c r="AE278" s="293"/>
      <c r="AF278" s="293"/>
      <c r="AG278" s="293"/>
      <c r="AH278" s="293"/>
      <c r="AI278" s="312"/>
      <c r="AJ278" s="309">
        <f t="shared" si="85"/>
        <v>0</v>
      </c>
      <c r="AK278" s="289">
        <f t="shared" si="86"/>
        <v>0</v>
      </c>
      <c r="AL278" s="310" t="e">
        <f t="shared" si="87"/>
        <v>#DIV/0!</v>
      </c>
      <c r="AM278" s="289">
        <f t="shared" si="88"/>
        <v>0</v>
      </c>
      <c r="AN278" s="311" t="str">
        <f t="shared" si="89"/>
        <v>数据正确</v>
      </c>
    </row>
    <row r="279" customHeight="1" spans="1:40">
      <c r="A279" s="228" t="e">
        <f t="shared" si="79"/>
        <v>#DIV/0!</v>
      </c>
      <c r="B279" s="261">
        <v>274</v>
      </c>
      <c r="C279" s="266"/>
      <c r="D279" s="267"/>
      <c r="E279" s="267"/>
      <c r="F279" s="268"/>
      <c r="G279" s="269"/>
      <c r="H279" s="269"/>
      <c r="I279" s="269"/>
      <c r="J279" s="290"/>
      <c r="K279" s="291"/>
      <c r="L279" s="292"/>
      <c r="M279" s="293"/>
      <c r="N279" s="293"/>
      <c r="O279" s="290"/>
      <c r="P279" s="293"/>
      <c r="Q279" s="293"/>
      <c r="R279" s="290"/>
      <c r="S279" s="293"/>
      <c r="T279" s="293"/>
      <c r="U279" s="290"/>
      <c r="V279" s="293"/>
      <c r="W279" s="293"/>
      <c r="X279" s="290"/>
      <c r="Y279" s="293"/>
      <c r="Z279" s="293"/>
      <c r="AA279" s="290"/>
      <c r="AB279" s="293"/>
      <c r="AC279" s="293"/>
      <c r="AD279" s="290"/>
      <c r="AE279" s="293"/>
      <c r="AF279" s="293"/>
      <c r="AG279" s="293"/>
      <c r="AH279" s="293"/>
      <c r="AI279" s="312"/>
      <c r="AJ279" s="309">
        <f t="shared" si="85"/>
        <v>0</v>
      </c>
      <c r="AK279" s="289">
        <f t="shared" si="86"/>
        <v>0</v>
      </c>
      <c r="AL279" s="310" t="e">
        <f t="shared" si="87"/>
        <v>#DIV/0!</v>
      </c>
      <c r="AM279" s="289">
        <f t="shared" si="88"/>
        <v>0</v>
      </c>
      <c r="AN279" s="311" t="str">
        <f t="shared" si="89"/>
        <v>数据正确</v>
      </c>
    </row>
    <row r="280" customHeight="1" spans="1:40">
      <c r="A280" s="228" t="e">
        <f t="shared" si="79"/>
        <v>#DIV/0!</v>
      </c>
      <c r="B280" s="261">
        <v>275</v>
      </c>
      <c r="C280" s="266"/>
      <c r="D280" s="267"/>
      <c r="E280" s="267"/>
      <c r="F280" s="268"/>
      <c r="G280" s="269"/>
      <c r="H280" s="269"/>
      <c r="I280" s="269"/>
      <c r="J280" s="290"/>
      <c r="K280" s="291"/>
      <c r="L280" s="292"/>
      <c r="M280" s="293"/>
      <c r="N280" s="293"/>
      <c r="O280" s="290"/>
      <c r="P280" s="293"/>
      <c r="Q280" s="293"/>
      <c r="R280" s="290"/>
      <c r="S280" s="293"/>
      <c r="T280" s="293"/>
      <c r="U280" s="290"/>
      <c r="V280" s="293"/>
      <c r="W280" s="293"/>
      <c r="X280" s="290"/>
      <c r="Y280" s="293"/>
      <c r="Z280" s="293"/>
      <c r="AA280" s="290"/>
      <c r="AB280" s="293"/>
      <c r="AC280" s="293"/>
      <c r="AD280" s="290"/>
      <c r="AE280" s="293"/>
      <c r="AF280" s="293"/>
      <c r="AG280" s="293"/>
      <c r="AH280" s="293"/>
      <c r="AI280" s="312"/>
      <c r="AJ280" s="309">
        <f t="shared" si="85"/>
        <v>0</v>
      </c>
      <c r="AK280" s="289">
        <f t="shared" si="86"/>
        <v>0</v>
      </c>
      <c r="AL280" s="310" t="e">
        <f t="shared" si="87"/>
        <v>#DIV/0!</v>
      </c>
      <c r="AM280" s="289">
        <f t="shared" si="88"/>
        <v>0</v>
      </c>
      <c r="AN280" s="311" t="str">
        <f t="shared" si="89"/>
        <v>数据正确</v>
      </c>
    </row>
    <row r="281" customHeight="1" spans="1:40">
      <c r="A281" s="228" t="e">
        <f t="shared" si="79"/>
        <v>#DIV/0!</v>
      </c>
      <c r="B281" s="261">
        <v>276</v>
      </c>
      <c r="C281" s="266"/>
      <c r="D281" s="267"/>
      <c r="E281" s="267"/>
      <c r="F281" s="268"/>
      <c r="G281" s="269"/>
      <c r="H281" s="269"/>
      <c r="I281" s="269"/>
      <c r="J281" s="290"/>
      <c r="K281" s="291"/>
      <c r="L281" s="292"/>
      <c r="M281" s="293"/>
      <c r="N281" s="293"/>
      <c r="O281" s="290"/>
      <c r="P281" s="293"/>
      <c r="Q281" s="293"/>
      <c r="R281" s="290"/>
      <c r="S281" s="293"/>
      <c r="T281" s="293"/>
      <c r="U281" s="290"/>
      <c r="V281" s="293"/>
      <c r="W281" s="293"/>
      <c r="X281" s="290"/>
      <c r="Y281" s="293"/>
      <c r="Z281" s="293"/>
      <c r="AA281" s="290"/>
      <c r="AB281" s="293"/>
      <c r="AC281" s="293"/>
      <c r="AD281" s="290"/>
      <c r="AE281" s="293"/>
      <c r="AF281" s="293"/>
      <c r="AG281" s="293"/>
      <c r="AH281" s="293"/>
      <c r="AI281" s="312"/>
      <c r="AJ281" s="309">
        <f t="shared" si="85"/>
        <v>0</v>
      </c>
      <c r="AK281" s="289">
        <f t="shared" si="86"/>
        <v>0</v>
      </c>
      <c r="AL281" s="310" t="e">
        <f t="shared" si="87"/>
        <v>#DIV/0!</v>
      </c>
      <c r="AM281" s="289">
        <f t="shared" si="88"/>
        <v>0</v>
      </c>
      <c r="AN281" s="311" t="str">
        <f t="shared" si="89"/>
        <v>数据正确</v>
      </c>
    </row>
    <row r="282" customHeight="1" spans="1:40">
      <c r="A282" s="228" t="e">
        <f t="shared" si="79"/>
        <v>#DIV/0!</v>
      </c>
      <c r="B282" s="261">
        <v>277</v>
      </c>
      <c r="C282" s="266"/>
      <c r="D282" s="267"/>
      <c r="E282" s="267"/>
      <c r="F282" s="268"/>
      <c r="G282" s="269"/>
      <c r="H282" s="269"/>
      <c r="I282" s="269"/>
      <c r="J282" s="290"/>
      <c r="K282" s="291"/>
      <c r="L282" s="292"/>
      <c r="M282" s="293"/>
      <c r="N282" s="293"/>
      <c r="O282" s="290"/>
      <c r="P282" s="293"/>
      <c r="Q282" s="293"/>
      <c r="R282" s="290"/>
      <c r="S282" s="293"/>
      <c r="T282" s="293"/>
      <c r="U282" s="290"/>
      <c r="V282" s="293"/>
      <c r="W282" s="293"/>
      <c r="X282" s="290"/>
      <c r="Y282" s="293"/>
      <c r="Z282" s="293"/>
      <c r="AA282" s="290"/>
      <c r="AB282" s="293"/>
      <c r="AC282" s="293"/>
      <c r="AD282" s="290"/>
      <c r="AE282" s="293"/>
      <c r="AF282" s="293"/>
      <c r="AG282" s="293"/>
      <c r="AH282" s="293"/>
      <c r="AI282" s="312"/>
      <c r="AJ282" s="309">
        <f t="shared" si="85"/>
        <v>0</v>
      </c>
      <c r="AK282" s="289">
        <f t="shared" si="86"/>
        <v>0</v>
      </c>
      <c r="AL282" s="310" t="e">
        <f t="shared" si="87"/>
        <v>#DIV/0!</v>
      </c>
      <c r="AM282" s="289">
        <f t="shared" si="88"/>
        <v>0</v>
      </c>
      <c r="AN282" s="311" t="str">
        <f t="shared" si="89"/>
        <v>数据正确</v>
      </c>
    </row>
    <row r="283" customHeight="1" spans="1:40">
      <c r="A283" s="228" t="e">
        <f t="shared" si="79"/>
        <v>#DIV/0!</v>
      </c>
      <c r="B283" s="261">
        <v>278</v>
      </c>
      <c r="C283" s="266"/>
      <c r="D283" s="267"/>
      <c r="E283" s="267"/>
      <c r="F283" s="268"/>
      <c r="G283" s="269"/>
      <c r="H283" s="269"/>
      <c r="I283" s="269"/>
      <c r="J283" s="290"/>
      <c r="K283" s="291"/>
      <c r="L283" s="292"/>
      <c r="M283" s="293"/>
      <c r="N283" s="293"/>
      <c r="O283" s="290"/>
      <c r="P283" s="293"/>
      <c r="Q283" s="293"/>
      <c r="R283" s="290"/>
      <c r="S283" s="293"/>
      <c r="T283" s="293"/>
      <c r="U283" s="290"/>
      <c r="V283" s="293"/>
      <c r="W283" s="293"/>
      <c r="X283" s="290"/>
      <c r="Y283" s="293"/>
      <c r="Z283" s="293"/>
      <c r="AA283" s="290"/>
      <c r="AB283" s="293"/>
      <c r="AC283" s="293"/>
      <c r="AD283" s="290"/>
      <c r="AE283" s="293"/>
      <c r="AF283" s="293"/>
      <c r="AG283" s="293"/>
      <c r="AH283" s="293"/>
      <c r="AI283" s="312"/>
      <c r="AJ283" s="309">
        <f t="shared" si="85"/>
        <v>0</v>
      </c>
      <c r="AK283" s="289">
        <f t="shared" si="86"/>
        <v>0</v>
      </c>
      <c r="AL283" s="310" t="e">
        <f t="shared" si="87"/>
        <v>#DIV/0!</v>
      </c>
      <c r="AM283" s="289">
        <f t="shared" si="88"/>
        <v>0</v>
      </c>
      <c r="AN283" s="311" t="str">
        <f t="shared" si="89"/>
        <v>数据正确</v>
      </c>
    </row>
    <row r="284" customHeight="1" spans="1:40">
      <c r="A284" s="228" t="e">
        <f t="shared" si="79"/>
        <v>#DIV/0!</v>
      </c>
      <c r="B284" s="261">
        <v>279</v>
      </c>
      <c r="C284" s="266"/>
      <c r="D284" s="267"/>
      <c r="E284" s="267"/>
      <c r="F284" s="268"/>
      <c r="G284" s="269"/>
      <c r="H284" s="269"/>
      <c r="I284" s="269"/>
      <c r="J284" s="290"/>
      <c r="K284" s="291"/>
      <c r="L284" s="292"/>
      <c r="M284" s="293"/>
      <c r="N284" s="293"/>
      <c r="O284" s="290"/>
      <c r="P284" s="293"/>
      <c r="Q284" s="293"/>
      <c r="R284" s="290"/>
      <c r="S284" s="293"/>
      <c r="T284" s="293"/>
      <c r="U284" s="290"/>
      <c r="V284" s="293"/>
      <c r="W284" s="293"/>
      <c r="X284" s="290"/>
      <c r="Y284" s="293"/>
      <c r="Z284" s="293"/>
      <c r="AA284" s="290"/>
      <c r="AB284" s="293"/>
      <c r="AC284" s="293"/>
      <c r="AD284" s="290"/>
      <c r="AE284" s="293"/>
      <c r="AF284" s="293"/>
      <c r="AG284" s="293"/>
      <c r="AH284" s="293"/>
      <c r="AI284" s="312"/>
      <c r="AJ284" s="309">
        <f t="shared" si="85"/>
        <v>0</v>
      </c>
      <c r="AK284" s="289">
        <f t="shared" si="86"/>
        <v>0</v>
      </c>
      <c r="AL284" s="310" t="e">
        <f t="shared" si="87"/>
        <v>#DIV/0!</v>
      </c>
      <c r="AM284" s="289">
        <f t="shared" si="88"/>
        <v>0</v>
      </c>
      <c r="AN284" s="311" t="str">
        <f t="shared" si="89"/>
        <v>数据正确</v>
      </c>
    </row>
    <row r="285" customHeight="1" spans="1:40">
      <c r="A285" s="228" t="e">
        <f t="shared" si="79"/>
        <v>#DIV/0!</v>
      </c>
      <c r="B285" s="261">
        <v>280</v>
      </c>
      <c r="C285" s="266"/>
      <c r="D285" s="267"/>
      <c r="E285" s="267"/>
      <c r="F285" s="268"/>
      <c r="G285" s="269"/>
      <c r="H285" s="269"/>
      <c r="I285" s="269"/>
      <c r="J285" s="290"/>
      <c r="K285" s="291"/>
      <c r="L285" s="292"/>
      <c r="M285" s="293"/>
      <c r="N285" s="293"/>
      <c r="O285" s="290"/>
      <c r="P285" s="293"/>
      <c r="Q285" s="293"/>
      <c r="R285" s="290"/>
      <c r="S285" s="293"/>
      <c r="T285" s="293"/>
      <c r="U285" s="290"/>
      <c r="V285" s="293"/>
      <c r="W285" s="293"/>
      <c r="X285" s="290"/>
      <c r="Y285" s="293"/>
      <c r="Z285" s="293"/>
      <c r="AA285" s="290"/>
      <c r="AB285" s="293"/>
      <c r="AC285" s="293"/>
      <c r="AD285" s="290"/>
      <c r="AE285" s="293"/>
      <c r="AF285" s="293"/>
      <c r="AG285" s="293"/>
      <c r="AH285" s="293"/>
      <c r="AI285" s="312"/>
      <c r="AJ285" s="309">
        <f t="shared" si="85"/>
        <v>0</v>
      </c>
      <c r="AK285" s="289">
        <f t="shared" si="86"/>
        <v>0</v>
      </c>
      <c r="AL285" s="310" t="e">
        <f t="shared" si="87"/>
        <v>#DIV/0!</v>
      </c>
      <c r="AM285" s="289">
        <f t="shared" si="88"/>
        <v>0</v>
      </c>
      <c r="AN285" s="311" t="str">
        <f t="shared" si="89"/>
        <v>数据正确</v>
      </c>
    </row>
    <row r="286" customHeight="1" spans="1:40">
      <c r="A286" s="228" t="e">
        <f t="shared" si="79"/>
        <v>#DIV/0!</v>
      </c>
      <c r="B286" s="261">
        <v>281</v>
      </c>
      <c r="C286" s="266"/>
      <c r="D286" s="267"/>
      <c r="E286" s="267"/>
      <c r="F286" s="268"/>
      <c r="G286" s="269"/>
      <c r="H286" s="269"/>
      <c r="I286" s="269"/>
      <c r="J286" s="290"/>
      <c r="K286" s="291"/>
      <c r="L286" s="292"/>
      <c r="M286" s="293"/>
      <c r="N286" s="293"/>
      <c r="O286" s="290"/>
      <c r="P286" s="293"/>
      <c r="Q286" s="293"/>
      <c r="R286" s="290"/>
      <c r="S286" s="293"/>
      <c r="T286" s="293"/>
      <c r="U286" s="290"/>
      <c r="V286" s="293"/>
      <c r="W286" s="293"/>
      <c r="X286" s="290"/>
      <c r="Y286" s="293"/>
      <c r="Z286" s="293"/>
      <c r="AA286" s="290"/>
      <c r="AB286" s="293"/>
      <c r="AC286" s="293"/>
      <c r="AD286" s="290"/>
      <c r="AE286" s="293"/>
      <c r="AF286" s="293"/>
      <c r="AG286" s="293"/>
      <c r="AH286" s="293"/>
      <c r="AI286" s="312"/>
      <c r="AJ286" s="309">
        <f t="shared" si="85"/>
        <v>0</v>
      </c>
      <c r="AK286" s="289">
        <f t="shared" si="86"/>
        <v>0</v>
      </c>
      <c r="AL286" s="310" t="e">
        <f t="shared" si="87"/>
        <v>#DIV/0!</v>
      </c>
      <c r="AM286" s="289">
        <f t="shared" si="88"/>
        <v>0</v>
      </c>
      <c r="AN286" s="311" t="str">
        <f t="shared" si="89"/>
        <v>数据正确</v>
      </c>
    </row>
    <row r="287" customHeight="1" spans="1:40">
      <c r="A287" s="228" t="e">
        <f t="shared" si="79"/>
        <v>#DIV/0!</v>
      </c>
      <c r="B287" s="261">
        <v>282</v>
      </c>
      <c r="C287" s="266"/>
      <c r="D287" s="267"/>
      <c r="E287" s="267"/>
      <c r="F287" s="268"/>
      <c r="G287" s="269"/>
      <c r="H287" s="269"/>
      <c r="I287" s="269"/>
      <c r="J287" s="290"/>
      <c r="K287" s="291"/>
      <c r="L287" s="292"/>
      <c r="M287" s="293"/>
      <c r="N287" s="293"/>
      <c r="O287" s="290"/>
      <c r="P287" s="293"/>
      <c r="Q287" s="293"/>
      <c r="R287" s="290"/>
      <c r="S287" s="293"/>
      <c r="T287" s="293"/>
      <c r="U287" s="290"/>
      <c r="V287" s="293"/>
      <c r="W287" s="293"/>
      <c r="X287" s="290"/>
      <c r="Y287" s="293"/>
      <c r="Z287" s="293"/>
      <c r="AA287" s="290"/>
      <c r="AB287" s="293"/>
      <c r="AC287" s="293"/>
      <c r="AD287" s="290"/>
      <c r="AE287" s="293"/>
      <c r="AF287" s="293"/>
      <c r="AG287" s="293"/>
      <c r="AH287" s="293"/>
      <c r="AI287" s="312"/>
      <c r="AJ287" s="309">
        <f t="shared" si="85"/>
        <v>0</v>
      </c>
      <c r="AK287" s="289">
        <f t="shared" si="86"/>
        <v>0</v>
      </c>
      <c r="AL287" s="310" t="e">
        <f t="shared" si="87"/>
        <v>#DIV/0!</v>
      </c>
      <c r="AM287" s="289">
        <f t="shared" si="88"/>
        <v>0</v>
      </c>
      <c r="AN287" s="311" t="str">
        <f t="shared" si="89"/>
        <v>数据正确</v>
      </c>
    </row>
    <row r="288" customHeight="1" spans="1:40">
      <c r="A288" s="228" t="e">
        <f t="shared" si="79"/>
        <v>#DIV/0!</v>
      </c>
      <c r="B288" s="261">
        <v>283</v>
      </c>
      <c r="C288" s="266"/>
      <c r="D288" s="267"/>
      <c r="E288" s="267"/>
      <c r="F288" s="268"/>
      <c r="G288" s="269"/>
      <c r="H288" s="269"/>
      <c r="I288" s="269"/>
      <c r="J288" s="290"/>
      <c r="K288" s="291"/>
      <c r="L288" s="292"/>
      <c r="M288" s="293"/>
      <c r="N288" s="293"/>
      <c r="O288" s="290"/>
      <c r="P288" s="293"/>
      <c r="Q288" s="293"/>
      <c r="R288" s="290"/>
      <c r="S288" s="293"/>
      <c r="T288" s="293"/>
      <c r="U288" s="290"/>
      <c r="V288" s="293"/>
      <c r="W288" s="293"/>
      <c r="X288" s="290"/>
      <c r="Y288" s="293"/>
      <c r="Z288" s="293"/>
      <c r="AA288" s="290"/>
      <c r="AB288" s="293"/>
      <c r="AC288" s="293"/>
      <c r="AD288" s="290"/>
      <c r="AE288" s="293"/>
      <c r="AF288" s="293"/>
      <c r="AG288" s="293"/>
      <c r="AH288" s="293"/>
      <c r="AI288" s="312"/>
      <c r="AJ288" s="309">
        <f t="shared" si="85"/>
        <v>0</v>
      </c>
      <c r="AK288" s="289">
        <f t="shared" si="86"/>
        <v>0</v>
      </c>
      <c r="AL288" s="310" t="e">
        <f t="shared" si="87"/>
        <v>#DIV/0!</v>
      </c>
      <c r="AM288" s="289">
        <f t="shared" si="88"/>
        <v>0</v>
      </c>
      <c r="AN288" s="311" t="str">
        <f t="shared" si="89"/>
        <v>数据正确</v>
      </c>
    </row>
    <row r="289" customHeight="1" spans="1:40">
      <c r="A289" s="228" t="e">
        <f t="shared" si="79"/>
        <v>#DIV/0!</v>
      </c>
      <c r="B289" s="261">
        <v>284</v>
      </c>
      <c r="C289" s="266"/>
      <c r="D289" s="267"/>
      <c r="E289" s="267"/>
      <c r="F289" s="268"/>
      <c r="G289" s="269"/>
      <c r="H289" s="269"/>
      <c r="I289" s="269"/>
      <c r="J289" s="290"/>
      <c r="K289" s="291"/>
      <c r="L289" s="292"/>
      <c r="M289" s="293"/>
      <c r="N289" s="293"/>
      <c r="O289" s="290"/>
      <c r="P289" s="293"/>
      <c r="Q289" s="293"/>
      <c r="R289" s="290"/>
      <c r="S289" s="293"/>
      <c r="T289" s="293"/>
      <c r="U289" s="290"/>
      <c r="V289" s="293"/>
      <c r="W289" s="293"/>
      <c r="X289" s="290"/>
      <c r="Y289" s="293"/>
      <c r="Z289" s="293"/>
      <c r="AA289" s="290"/>
      <c r="AB289" s="293"/>
      <c r="AC289" s="293"/>
      <c r="AD289" s="290"/>
      <c r="AE289" s="293"/>
      <c r="AF289" s="293"/>
      <c r="AG289" s="293"/>
      <c r="AH289" s="293"/>
      <c r="AI289" s="312"/>
      <c r="AJ289" s="309">
        <f t="shared" si="85"/>
        <v>0</v>
      </c>
      <c r="AK289" s="289">
        <f t="shared" si="86"/>
        <v>0</v>
      </c>
      <c r="AL289" s="310" t="e">
        <f t="shared" si="87"/>
        <v>#DIV/0!</v>
      </c>
      <c r="AM289" s="289">
        <f t="shared" si="88"/>
        <v>0</v>
      </c>
      <c r="AN289" s="311" t="str">
        <f t="shared" si="89"/>
        <v>数据正确</v>
      </c>
    </row>
    <row r="290" customHeight="1" spans="1:40">
      <c r="A290" s="228" t="e">
        <f t="shared" si="79"/>
        <v>#DIV/0!</v>
      </c>
      <c r="B290" s="261">
        <v>285</v>
      </c>
      <c r="C290" s="266"/>
      <c r="D290" s="267"/>
      <c r="E290" s="267"/>
      <c r="F290" s="268"/>
      <c r="G290" s="269"/>
      <c r="H290" s="269"/>
      <c r="I290" s="269"/>
      <c r="J290" s="290"/>
      <c r="K290" s="291"/>
      <c r="L290" s="292"/>
      <c r="M290" s="293"/>
      <c r="N290" s="293"/>
      <c r="O290" s="290"/>
      <c r="P290" s="293"/>
      <c r="Q290" s="293"/>
      <c r="R290" s="290"/>
      <c r="S290" s="293"/>
      <c r="T290" s="293"/>
      <c r="U290" s="290"/>
      <c r="V290" s="293"/>
      <c r="W290" s="293"/>
      <c r="X290" s="290"/>
      <c r="Y290" s="293"/>
      <c r="Z290" s="293"/>
      <c r="AA290" s="290"/>
      <c r="AB290" s="293"/>
      <c r="AC290" s="293"/>
      <c r="AD290" s="290"/>
      <c r="AE290" s="293"/>
      <c r="AF290" s="293"/>
      <c r="AG290" s="293"/>
      <c r="AH290" s="293"/>
      <c r="AI290" s="312"/>
      <c r="AJ290" s="309">
        <f t="shared" si="85"/>
        <v>0</v>
      </c>
      <c r="AK290" s="289">
        <f t="shared" si="86"/>
        <v>0</v>
      </c>
      <c r="AL290" s="310" t="e">
        <f t="shared" si="87"/>
        <v>#DIV/0!</v>
      </c>
      <c r="AM290" s="289">
        <f t="shared" si="88"/>
        <v>0</v>
      </c>
      <c r="AN290" s="311" t="str">
        <f t="shared" si="89"/>
        <v>数据正确</v>
      </c>
    </row>
    <row r="291" customHeight="1" spans="1:40">
      <c r="A291" s="228" t="e">
        <f t="shared" si="79"/>
        <v>#DIV/0!</v>
      </c>
      <c r="B291" s="261">
        <v>286</v>
      </c>
      <c r="C291" s="266"/>
      <c r="D291" s="267"/>
      <c r="E291" s="267"/>
      <c r="F291" s="268"/>
      <c r="G291" s="269"/>
      <c r="H291" s="269"/>
      <c r="I291" s="269"/>
      <c r="J291" s="290"/>
      <c r="K291" s="291"/>
      <c r="L291" s="292"/>
      <c r="M291" s="293"/>
      <c r="N291" s="293"/>
      <c r="O291" s="290"/>
      <c r="P291" s="293"/>
      <c r="Q291" s="293"/>
      <c r="R291" s="290"/>
      <c r="S291" s="293"/>
      <c r="T291" s="293"/>
      <c r="U291" s="290"/>
      <c r="V291" s="293"/>
      <c r="W291" s="293"/>
      <c r="X291" s="290"/>
      <c r="Y291" s="293"/>
      <c r="Z291" s="293"/>
      <c r="AA291" s="290"/>
      <c r="AB291" s="293"/>
      <c r="AC291" s="293"/>
      <c r="AD291" s="290"/>
      <c r="AE291" s="293"/>
      <c r="AF291" s="293"/>
      <c r="AG291" s="293"/>
      <c r="AH291" s="293"/>
      <c r="AI291" s="312"/>
      <c r="AJ291" s="309">
        <f t="shared" si="85"/>
        <v>0</v>
      </c>
      <c r="AK291" s="289">
        <f t="shared" si="86"/>
        <v>0</v>
      </c>
      <c r="AL291" s="310" t="e">
        <f t="shared" si="87"/>
        <v>#DIV/0!</v>
      </c>
      <c r="AM291" s="289">
        <f t="shared" si="88"/>
        <v>0</v>
      </c>
      <c r="AN291" s="311" t="str">
        <f t="shared" si="89"/>
        <v>数据正确</v>
      </c>
    </row>
  </sheetData>
  <mergeCells count="27">
    <mergeCell ref="C2:K2"/>
    <mergeCell ref="L2:AI2"/>
    <mergeCell ref="AJ2:AN2"/>
    <mergeCell ref="L3:N3"/>
    <mergeCell ref="O3:Q3"/>
    <mergeCell ref="R3:T3"/>
    <mergeCell ref="U3:W3"/>
    <mergeCell ref="X3:Z3"/>
    <mergeCell ref="AA3:AC3"/>
    <mergeCell ref="AD3:AF3"/>
    <mergeCell ref="AG3:AI3"/>
    <mergeCell ref="A2:A4"/>
    <mergeCell ref="B2:B4"/>
    <mergeCell ref="C3:C4"/>
    <mergeCell ref="D3:D4"/>
    <mergeCell ref="E3:E4"/>
    <mergeCell ref="F3:F4"/>
    <mergeCell ref="G3:G4"/>
    <mergeCell ref="H3:H4"/>
    <mergeCell ref="I3:I4"/>
    <mergeCell ref="J3:J4"/>
    <mergeCell ref="K3:K4"/>
    <mergeCell ref="AJ3:AJ4"/>
    <mergeCell ref="AK3:AK4"/>
    <mergeCell ref="AL3:AL4"/>
    <mergeCell ref="AM3:AM4"/>
    <mergeCell ref="AN3:AN4"/>
  </mergeCells>
  <pageMargins left="0.751388888888889" right="0.751388888888889" top="1" bottom="1" header="0.511805555555556" footer="0.511805555555556"/>
  <pageSetup paperSize="9" orientation="landscape"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6"/>
  <sheetViews>
    <sheetView workbookViewId="0">
      <pane xSplit="10" ySplit="5" topLeftCell="K6" activePane="bottomRight" state="frozen"/>
      <selection/>
      <selection pane="topRight"/>
      <selection pane="bottomLeft"/>
      <selection pane="bottomRight" activeCell="H19" sqref="H19"/>
    </sheetView>
  </sheetViews>
  <sheetFormatPr defaultColWidth="9" defaultRowHeight="18" customHeight="1"/>
  <cols>
    <col min="1" max="3" width="4.75" style="120" customWidth="1"/>
    <col min="4" max="4" width="4.875" style="193" customWidth="1"/>
    <col min="5" max="5" width="13.375" style="42" customWidth="1"/>
    <col min="6" max="6" width="8.25" style="37" customWidth="1"/>
    <col min="7" max="7" width="9.875" style="42" customWidth="1"/>
    <col min="8" max="8" width="12.125" style="42" customWidth="1"/>
    <col min="9" max="9" width="13.125" style="43"/>
    <col min="10" max="10" width="34.125" style="37" customWidth="1"/>
    <col min="11" max="11" width="24.375" style="37" customWidth="1"/>
    <col min="12" max="12" width="9" style="37"/>
    <col min="13" max="13" width="9.5" style="37" customWidth="1"/>
    <col min="14" max="14" width="7.875" style="44" customWidth="1"/>
    <col min="15" max="16" width="12.125" style="43" customWidth="1"/>
    <col min="17" max="17" width="12.625" style="44" customWidth="1"/>
    <col min="18" max="19" width="12.125" style="43" customWidth="1"/>
    <col min="20" max="20" width="10.25" style="44" customWidth="1"/>
    <col min="21" max="21" width="13.125" style="43" customWidth="1"/>
    <col min="22" max="22" width="13.875" style="43" customWidth="1"/>
    <col min="23" max="23" width="10.375" style="44" customWidth="1"/>
    <col min="24" max="24" width="12.125" style="43" customWidth="1"/>
    <col min="25" max="25" width="6.25" style="43" customWidth="1"/>
    <col min="26" max="26" width="10.375" style="44" customWidth="1"/>
    <col min="27" max="27" width="12.125" style="43" customWidth="1"/>
    <col min="28" max="28" width="6.25" style="43" customWidth="1"/>
    <col min="29" max="29" width="10.375" style="44" customWidth="1"/>
    <col min="30" max="30" width="12.125" style="43" customWidth="1"/>
    <col min="31" max="31" width="6.25" style="43" customWidth="1"/>
    <col min="32" max="32" width="11.5" style="44" customWidth="1"/>
    <col min="33" max="33" width="12.125" style="43" customWidth="1"/>
    <col min="34" max="34" width="14" style="43" customWidth="1"/>
    <col min="35" max="35" width="10.25" style="44" customWidth="1"/>
    <col min="36" max="36" width="12.125" style="43" customWidth="1"/>
    <col min="37" max="37" width="9.5" style="43" customWidth="1"/>
    <col min="38" max="38" width="12.125" style="43" customWidth="1"/>
    <col min="39" max="39" width="13.125" style="43" customWidth="1"/>
    <col min="40" max="40" width="11.25" style="45" customWidth="1"/>
    <col min="41" max="41" width="13.125" style="43" customWidth="1"/>
    <col min="42" max="42" width="9.875" style="43" customWidth="1"/>
    <col min="43" max="43" width="8.125" style="42" customWidth="1"/>
    <col min="44" max="44" width="9" style="42"/>
    <col min="45" max="16384" width="9" style="37"/>
  </cols>
  <sheetData>
    <row r="1" s="37" customFormat="1" ht="5" customHeight="1" spans="1:44">
      <c r="A1" s="120"/>
      <c r="B1" s="120"/>
      <c r="C1" s="120"/>
      <c r="D1" s="193"/>
      <c r="E1" s="42"/>
      <c r="G1" s="42"/>
      <c r="H1" s="42"/>
      <c r="I1" s="43"/>
      <c r="N1" s="44"/>
      <c r="O1" s="43"/>
      <c r="P1" s="43"/>
      <c r="Q1" s="44"/>
      <c r="R1" s="43"/>
      <c r="S1" s="43"/>
      <c r="T1" s="44"/>
      <c r="U1" s="43"/>
      <c r="V1" s="43"/>
      <c r="W1" s="44"/>
      <c r="X1" s="43"/>
      <c r="Y1" s="43"/>
      <c r="Z1" s="44"/>
      <c r="AA1" s="43"/>
      <c r="AB1" s="43"/>
      <c r="AC1" s="44"/>
      <c r="AD1" s="43"/>
      <c r="AE1" s="43"/>
      <c r="AF1" s="44"/>
      <c r="AG1" s="43"/>
      <c r="AH1" s="43"/>
      <c r="AI1" s="44"/>
      <c r="AJ1" s="43"/>
      <c r="AK1" s="43"/>
      <c r="AL1" s="43"/>
      <c r="AM1" s="43"/>
      <c r="AN1" s="45"/>
      <c r="AO1" s="43"/>
      <c r="AP1" s="43"/>
      <c r="AQ1" s="42"/>
      <c r="AR1" s="42"/>
    </row>
    <row r="2" s="38" customFormat="1" ht="24" customHeight="1" spans="1:42">
      <c r="A2" s="46" t="s">
        <v>47</v>
      </c>
      <c r="B2" s="46" t="s">
        <v>77</v>
      </c>
      <c r="C2" s="46" t="s">
        <v>78</v>
      </c>
      <c r="D2" s="194" t="s">
        <v>48</v>
      </c>
      <c r="E2" s="48" t="s">
        <v>79</v>
      </c>
      <c r="F2" s="195"/>
      <c r="G2" s="48"/>
      <c r="H2" s="48"/>
      <c r="I2" s="48"/>
      <c r="J2" s="48"/>
      <c r="K2" s="48"/>
      <c r="L2" s="48"/>
      <c r="M2" s="72"/>
      <c r="N2" s="73" t="s">
        <v>80</v>
      </c>
      <c r="O2" s="74"/>
      <c r="P2" s="74"/>
      <c r="Q2" s="74"/>
      <c r="R2" s="74"/>
      <c r="S2" s="74"/>
      <c r="T2" s="74"/>
      <c r="U2" s="74"/>
      <c r="V2" s="74"/>
      <c r="W2" s="74"/>
      <c r="X2" s="74"/>
      <c r="Y2" s="74"/>
      <c r="Z2" s="74"/>
      <c r="AA2" s="74"/>
      <c r="AB2" s="74"/>
      <c r="AC2" s="74"/>
      <c r="AD2" s="74"/>
      <c r="AE2" s="74"/>
      <c r="AF2" s="74"/>
      <c r="AG2" s="74"/>
      <c r="AH2" s="74"/>
      <c r="AI2" s="74"/>
      <c r="AJ2" s="74"/>
      <c r="AK2" s="95"/>
      <c r="AL2" s="73" t="s">
        <v>51</v>
      </c>
      <c r="AM2" s="74"/>
      <c r="AN2" s="96"/>
      <c r="AO2" s="74"/>
      <c r="AP2" s="95"/>
    </row>
    <row r="3" s="39" customFormat="1" customHeight="1" spans="1:42">
      <c r="A3" s="46"/>
      <c r="B3" s="46"/>
      <c r="C3" s="46"/>
      <c r="D3" s="196"/>
      <c r="E3" s="50" t="s">
        <v>52</v>
      </c>
      <c r="F3" s="50" t="s">
        <v>13</v>
      </c>
      <c r="G3" s="50" t="s">
        <v>53</v>
      </c>
      <c r="H3" s="51" t="s">
        <v>54</v>
      </c>
      <c r="I3" s="75" t="s">
        <v>39</v>
      </c>
      <c r="J3" s="50" t="s">
        <v>55</v>
      </c>
      <c r="K3" s="50" t="s">
        <v>56</v>
      </c>
      <c r="L3" s="50" t="s">
        <v>57</v>
      </c>
      <c r="M3" s="76" t="s">
        <v>58</v>
      </c>
      <c r="N3" s="77" t="s">
        <v>59</v>
      </c>
      <c r="O3" s="75"/>
      <c r="P3" s="75"/>
      <c r="Q3" s="75" t="s">
        <v>60</v>
      </c>
      <c r="R3" s="75"/>
      <c r="S3" s="75"/>
      <c r="T3" s="75" t="s">
        <v>61</v>
      </c>
      <c r="U3" s="75"/>
      <c r="V3" s="75"/>
      <c r="W3" s="75" t="s">
        <v>62</v>
      </c>
      <c r="X3" s="75"/>
      <c r="Y3" s="75"/>
      <c r="Z3" s="75" t="s">
        <v>63</v>
      </c>
      <c r="AA3" s="75"/>
      <c r="AB3" s="75"/>
      <c r="AC3" s="75" t="s">
        <v>64</v>
      </c>
      <c r="AD3" s="75"/>
      <c r="AE3" s="75"/>
      <c r="AF3" s="75" t="s">
        <v>65</v>
      </c>
      <c r="AG3" s="75"/>
      <c r="AH3" s="75"/>
      <c r="AI3" s="75" t="s">
        <v>66</v>
      </c>
      <c r="AJ3" s="75"/>
      <c r="AK3" s="97"/>
      <c r="AL3" s="77" t="s">
        <v>67</v>
      </c>
      <c r="AM3" s="75" t="s">
        <v>68</v>
      </c>
      <c r="AN3" s="98" t="s">
        <v>18</v>
      </c>
      <c r="AO3" s="79" t="s">
        <v>69</v>
      </c>
      <c r="AP3" s="99" t="s">
        <v>70</v>
      </c>
    </row>
    <row r="4" s="39" customFormat="1" ht="26" customHeight="1" spans="1:42">
      <c r="A4" s="46"/>
      <c r="B4" s="46"/>
      <c r="C4" s="46"/>
      <c r="D4" s="196"/>
      <c r="E4" s="50"/>
      <c r="F4" s="50"/>
      <c r="G4" s="50"/>
      <c r="H4" s="51"/>
      <c r="I4" s="75"/>
      <c r="J4" s="50"/>
      <c r="K4" s="50"/>
      <c r="L4" s="50"/>
      <c r="M4" s="76"/>
      <c r="N4" s="78" t="s">
        <v>71</v>
      </c>
      <c r="O4" s="79" t="s">
        <v>72</v>
      </c>
      <c r="P4" s="79" t="s">
        <v>73</v>
      </c>
      <c r="Q4" s="79" t="s">
        <v>71</v>
      </c>
      <c r="R4" s="79" t="s">
        <v>72</v>
      </c>
      <c r="S4" s="79" t="s">
        <v>73</v>
      </c>
      <c r="T4" s="79" t="s">
        <v>71</v>
      </c>
      <c r="U4" s="79" t="s">
        <v>72</v>
      </c>
      <c r="V4" s="79" t="s">
        <v>73</v>
      </c>
      <c r="W4" s="79" t="s">
        <v>71</v>
      </c>
      <c r="X4" s="79" t="s">
        <v>72</v>
      </c>
      <c r="Y4" s="79" t="s">
        <v>73</v>
      </c>
      <c r="Z4" s="79" t="s">
        <v>71</v>
      </c>
      <c r="AA4" s="79" t="s">
        <v>72</v>
      </c>
      <c r="AB4" s="79" t="s">
        <v>73</v>
      </c>
      <c r="AC4" s="79" t="s">
        <v>71</v>
      </c>
      <c r="AD4" s="79" t="s">
        <v>72</v>
      </c>
      <c r="AE4" s="79" t="s">
        <v>73</v>
      </c>
      <c r="AF4" s="79" t="s">
        <v>71</v>
      </c>
      <c r="AG4" s="79" t="s">
        <v>72</v>
      </c>
      <c r="AH4" s="79" t="s">
        <v>73</v>
      </c>
      <c r="AI4" s="79" t="s">
        <v>71</v>
      </c>
      <c r="AJ4" s="79" t="s">
        <v>72</v>
      </c>
      <c r="AK4" s="99" t="s">
        <v>73</v>
      </c>
      <c r="AL4" s="77"/>
      <c r="AM4" s="75"/>
      <c r="AN4" s="98"/>
      <c r="AO4" s="79"/>
      <c r="AP4" s="99"/>
    </row>
    <row r="5" s="40" customFormat="1" ht="21" customHeight="1" spans="1:44">
      <c r="A5" s="46"/>
      <c r="B5" s="46"/>
      <c r="C5" s="46"/>
      <c r="D5" s="52" t="s">
        <v>26</v>
      </c>
      <c r="E5" s="53" t="s">
        <v>74</v>
      </c>
      <c r="F5" s="54" t="s">
        <v>75</v>
      </c>
      <c r="G5" s="54" t="s">
        <v>75</v>
      </c>
      <c r="H5" s="55" t="s">
        <v>75</v>
      </c>
      <c r="I5" s="80">
        <f>SUM(I6:I2217)/2</f>
        <v>794400000</v>
      </c>
      <c r="J5" s="80" t="s">
        <v>75</v>
      </c>
      <c r="K5" s="80" t="s">
        <v>75</v>
      </c>
      <c r="L5" s="80" t="s">
        <v>75</v>
      </c>
      <c r="M5" s="81" t="s">
        <v>75</v>
      </c>
      <c r="N5" s="82" t="s">
        <v>75</v>
      </c>
      <c r="O5" s="80">
        <f t="shared" ref="J5:AK5" si="0">SUM(O6:O2217)/2</f>
        <v>194417665.1</v>
      </c>
      <c r="P5" s="80">
        <f t="shared" si="0"/>
        <v>48618437.4</v>
      </c>
      <c r="Q5" s="80" t="s">
        <v>75</v>
      </c>
      <c r="R5" s="80">
        <f t="shared" si="0"/>
        <v>160799994.1</v>
      </c>
      <c r="S5" s="80">
        <f t="shared" si="0"/>
        <v>16925524</v>
      </c>
      <c r="T5" s="80" t="s">
        <v>75</v>
      </c>
      <c r="U5" s="80">
        <f t="shared" si="0"/>
        <v>199094935.55</v>
      </c>
      <c r="V5" s="80">
        <f t="shared" si="0"/>
        <v>15785416</v>
      </c>
      <c r="W5" s="80" t="s">
        <v>75</v>
      </c>
      <c r="X5" s="80">
        <f t="shared" si="0"/>
        <v>46067926.15</v>
      </c>
      <c r="Y5" s="80">
        <f t="shared" si="0"/>
        <v>0</v>
      </c>
      <c r="Z5" s="80" t="s">
        <v>75</v>
      </c>
      <c r="AA5" s="80">
        <f t="shared" si="0"/>
        <v>60928788.7</v>
      </c>
      <c r="AB5" s="80">
        <f t="shared" si="0"/>
        <v>0</v>
      </c>
      <c r="AC5" s="80" t="s">
        <v>75</v>
      </c>
      <c r="AD5" s="80">
        <f t="shared" si="0"/>
        <v>60383788.7</v>
      </c>
      <c r="AE5" s="80">
        <f t="shared" si="0"/>
        <v>0</v>
      </c>
      <c r="AF5" s="80" t="s">
        <v>75</v>
      </c>
      <c r="AG5" s="80">
        <f t="shared" si="0"/>
        <v>40267851.7</v>
      </c>
      <c r="AH5" s="80">
        <f t="shared" si="0"/>
        <v>3920379</v>
      </c>
      <c r="AI5" s="80" t="s">
        <v>75</v>
      </c>
      <c r="AJ5" s="80">
        <f t="shared" si="0"/>
        <v>32439050</v>
      </c>
      <c r="AK5" s="81">
        <f t="shared" si="0"/>
        <v>0</v>
      </c>
      <c r="AL5" s="100">
        <f t="shared" ref="AL5:AL19" si="1">P5+S5+V5+Y5+AB5+AE5+AH5+AK5</f>
        <v>85249756.4</v>
      </c>
      <c r="AM5" s="101">
        <f t="shared" ref="AM5:AM19" si="2">I5-AL5</f>
        <v>709150243.6</v>
      </c>
      <c r="AN5" s="102">
        <f t="shared" ref="AN5:AN19" si="3">AL5/I5</f>
        <v>0.107313389224572</v>
      </c>
      <c r="AO5" s="101">
        <f t="shared" ref="AO5:AO19" si="4">O5+R5+U5+X5+AA5+AD5+AG5+AJ5</f>
        <v>794400000</v>
      </c>
      <c r="AP5" s="115" t="str">
        <f>IF(AO5-I5=0,"数据正确","数据错误")</f>
        <v>数据正确</v>
      </c>
      <c r="AQ5" s="40" t="s">
        <v>81</v>
      </c>
      <c r="AR5" s="40" t="s">
        <v>82</v>
      </c>
    </row>
    <row r="6" s="37" customFormat="1" customHeight="1" outlineLevel="1" spans="1:44">
      <c r="A6" s="130" t="str">
        <f>IF(AN6=100%,"已完毕","")</f>
        <v/>
      </c>
      <c r="B6" s="130" t="s">
        <v>83</v>
      </c>
      <c r="C6" s="130" t="s">
        <v>84</v>
      </c>
      <c r="D6" s="197">
        <v>1.1</v>
      </c>
      <c r="E6" s="173" t="s">
        <v>85</v>
      </c>
      <c r="F6" s="198" t="s">
        <v>22</v>
      </c>
      <c r="G6" s="199" t="s">
        <v>86</v>
      </c>
      <c r="H6" s="200">
        <v>42805</v>
      </c>
      <c r="I6" s="105">
        <v>11383200</v>
      </c>
      <c r="J6" s="198" t="s">
        <v>87</v>
      </c>
      <c r="K6" s="198" t="s">
        <v>88</v>
      </c>
      <c r="L6" s="198" t="s">
        <v>89</v>
      </c>
      <c r="M6" s="209" t="s">
        <v>90</v>
      </c>
      <c r="N6" s="85" t="s">
        <v>91</v>
      </c>
      <c r="O6" s="83">
        <f>I6*0.1</f>
        <v>1138320</v>
      </c>
      <c r="P6" s="83">
        <f>1138320</f>
        <v>1138320</v>
      </c>
      <c r="Q6" s="92" t="s">
        <v>92</v>
      </c>
      <c r="R6" s="83">
        <f>I6*0.3</f>
        <v>3414960</v>
      </c>
      <c r="S6" s="83">
        <v>3414960</v>
      </c>
      <c r="T6" s="92" t="s">
        <v>93</v>
      </c>
      <c r="U6" s="83">
        <f>I6*0.25</f>
        <v>2845800</v>
      </c>
      <c r="V6" s="83"/>
      <c r="W6" s="92" t="s">
        <v>94</v>
      </c>
      <c r="X6" s="83">
        <f>I6*0.05</f>
        <v>569160</v>
      </c>
      <c r="Y6" s="83"/>
      <c r="Z6" s="93" t="s">
        <v>95</v>
      </c>
      <c r="AA6" s="83">
        <f>I6*0.1</f>
        <v>1138320</v>
      </c>
      <c r="AB6" s="83"/>
      <c r="AC6" s="93" t="s">
        <v>96</v>
      </c>
      <c r="AD6" s="83">
        <f>I6*0.1</f>
        <v>1138320</v>
      </c>
      <c r="AE6" s="83"/>
      <c r="AF6" s="93" t="s">
        <v>97</v>
      </c>
      <c r="AG6" s="83">
        <f>I6*0.05</f>
        <v>569160</v>
      </c>
      <c r="AH6" s="83"/>
      <c r="AI6" s="93" t="s">
        <v>98</v>
      </c>
      <c r="AJ6" s="83">
        <f t="shared" ref="AJ6:AJ11" si="5">I6*0.05</f>
        <v>569160</v>
      </c>
      <c r="AK6" s="103"/>
      <c r="AL6" s="104">
        <f t="shared" si="1"/>
        <v>4553280</v>
      </c>
      <c r="AM6" s="105">
        <f t="shared" si="2"/>
        <v>6829920</v>
      </c>
      <c r="AN6" s="106">
        <f t="shared" si="3"/>
        <v>0.4</v>
      </c>
      <c r="AO6" s="105">
        <f t="shared" si="4"/>
        <v>11383200</v>
      </c>
      <c r="AP6" s="116" t="str">
        <f>IF(AO6-I6=0,"数据正确","数据错误")</f>
        <v>数据正确</v>
      </c>
      <c r="AQ6" s="42"/>
      <c r="AR6" s="42"/>
    </row>
    <row r="7" s="37" customFormat="1" customHeight="1" outlineLevel="1" spans="1:44">
      <c r="A7" s="130" t="str">
        <f t="shared" ref="A7:A38" si="6">IF(AN7=100%,"已完毕","")</f>
        <v/>
      </c>
      <c r="B7" s="130" t="s">
        <v>83</v>
      </c>
      <c r="C7" s="130" t="s">
        <v>84</v>
      </c>
      <c r="D7" s="131">
        <v>1.2</v>
      </c>
      <c r="E7" s="133" t="s">
        <v>85</v>
      </c>
      <c r="F7" s="132" t="s">
        <v>22</v>
      </c>
      <c r="G7" s="175" t="s">
        <v>86</v>
      </c>
      <c r="H7" s="201">
        <v>42805</v>
      </c>
      <c r="I7" s="109">
        <v>218067988</v>
      </c>
      <c r="J7" s="132" t="s">
        <v>99</v>
      </c>
      <c r="K7" s="132" t="s">
        <v>88</v>
      </c>
      <c r="L7" s="198" t="s">
        <v>89</v>
      </c>
      <c r="M7" s="209" t="s">
        <v>90</v>
      </c>
      <c r="N7" s="85" t="s">
        <v>91</v>
      </c>
      <c r="O7" s="83">
        <f>I7*0.1</f>
        <v>21806798.8</v>
      </c>
      <c r="P7" s="86">
        <f>10903399.4+10903399.4</f>
        <v>21806798.8</v>
      </c>
      <c r="Q7" s="92" t="s">
        <v>100</v>
      </c>
      <c r="R7" s="83">
        <f>I7*0.4</f>
        <v>87227195.2</v>
      </c>
      <c r="S7" s="86">
        <f>5111514</f>
        <v>5111514</v>
      </c>
      <c r="T7" s="92" t="s">
        <v>101</v>
      </c>
      <c r="U7" s="83">
        <f>I7*0.15</f>
        <v>32710198.2</v>
      </c>
      <c r="V7" s="86">
        <f>6993231</f>
        <v>6993231</v>
      </c>
      <c r="W7" s="92" t="s">
        <v>94</v>
      </c>
      <c r="X7" s="83">
        <f>I7*0.05</f>
        <v>10903399.4</v>
      </c>
      <c r="Y7" s="86"/>
      <c r="Z7" s="93" t="s">
        <v>95</v>
      </c>
      <c r="AA7" s="83">
        <f>I7*0.1</f>
        <v>21806798.8</v>
      </c>
      <c r="AB7" s="86"/>
      <c r="AC7" s="93" t="s">
        <v>96</v>
      </c>
      <c r="AD7" s="83">
        <f>I7*0.1</f>
        <v>21806798.8</v>
      </c>
      <c r="AE7" s="86"/>
      <c r="AF7" s="93" t="s">
        <v>97</v>
      </c>
      <c r="AG7" s="83">
        <f>I7*0.05</f>
        <v>10903399.4</v>
      </c>
      <c r="AH7" s="86"/>
      <c r="AI7" s="93" t="s">
        <v>98</v>
      </c>
      <c r="AJ7" s="83">
        <f t="shared" si="5"/>
        <v>10903399.4</v>
      </c>
      <c r="AK7" s="107"/>
      <c r="AL7" s="108">
        <f t="shared" si="1"/>
        <v>33911543.8</v>
      </c>
      <c r="AM7" s="109">
        <f t="shared" si="2"/>
        <v>184156444.2</v>
      </c>
      <c r="AN7" s="110">
        <f t="shared" si="3"/>
        <v>0.155509041519657</v>
      </c>
      <c r="AO7" s="109">
        <f t="shared" si="4"/>
        <v>218067988</v>
      </c>
      <c r="AP7" s="117" t="str">
        <f>IF(AO7-I7=0,"数据正确","数据错误")</f>
        <v>数据正确</v>
      </c>
      <c r="AQ7" s="42"/>
      <c r="AR7" s="42"/>
    </row>
    <row r="8" s="37" customFormat="1" customHeight="1" outlineLevel="1" spans="1:44">
      <c r="A8" s="130" t="str">
        <f t="shared" si="6"/>
        <v/>
      </c>
      <c r="B8" s="130" t="s">
        <v>83</v>
      </c>
      <c r="C8" s="130" t="s">
        <v>84</v>
      </c>
      <c r="D8" s="131">
        <v>1.3</v>
      </c>
      <c r="E8" s="133" t="s">
        <v>85</v>
      </c>
      <c r="F8" s="132" t="s">
        <v>22</v>
      </c>
      <c r="G8" s="175" t="s">
        <v>86</v>
      </c>
      <c r="H8" s="201">
        <v>42805</v>
      </c>
      <c r="I8" s="109">
        <f>97310001+59145698</f>
        <v>156455699</v>
      </c>
      <c r="J8" s="132" t="s">
        <v>102</v>
      </c>
      <c r="K8" s="132" t="s">
        <v>88</v>
      </c>
      <c r="L8" s="198" t="s">
        <v>89</v>
      </c>
      <c r="M8" s="209" t="s">
        <v>90</v>
      </c>
      <c r="N8" s="92" t="s">
        <v>103</v>
      </c>
      <c r="O8" s="83">
        <v>0</v>
      </c>
      <c r="P8" s="86">
        <v>0</v>
      </c>
      <c r="Q8" s="92" t="s">
        <v>103</v>
      </c>
      <c r="R8" s="83">
        <v>0</v>
      </c>
      <c r="S8" s="86">
        <v>0</v>
      </c>
      <c r="T8" s="92" t="s">
        <v>104</v>
      </c>
      <c r="U8" s="83">
        <f>I8*0.6</f>
        <v>93873419.4</v>
      </c>
      <c r="V8" s="86">
        <f>2437893</f>
        <v>2437893</v>
      </c>
      <c r="W8" s="92" t="s">
        <v>94</v>
      </c>
      <c r="X8" s="83">
        <f>I8*0.1</f>
        <v>15645569.9</v>
      </c>
      <c r="Y8" s="86"/>
      <c r="Z8" s="93" t="s">
        <v>95</v>
      </c>
      <c r="AA8" s="83">
        <f>I8*0.1</f>
        <v>15645569.9</v>
      </c>
      <c r="AB8" s="86"/>
      <c r="AC8" s="93" t="s">
        <v>96</v>
      </c>
      <c r="AD8" s="83">
        <f>I8*0.1</f>
        <v>15645569.9</v>
      </c>
      <c r="AE8" s="86"/>
      <c r="AF8" s="93" t="s">
        <v>97</v>
      </c>
      <c r="AG8" s="83">
        <f>I8*0.05</f>
        <v>7822784.95</v>
      </c>
      <c r="AH8" s="86"/>
      <c r="AI8" s="93" t="s">
        <v>98</v>
      </c>
      <c r="AJ8" s="83">
        <f t="shared" si="5"/>
        <v>7822784.95</v>
      </c>
      <c r="AK8" s="107"/>
      <c r="AL8" s="108">
        <f t="shared" si="1"/>
        <v>2437893</v>
      </c>
      <c r="AM8" s="109">
        <f t="shared" si="2"/>
        <v>154017806</v>
      </c>
      <c r="AN8" s="110">
        <f t="shared" si="3"/>
        <v>0.0155820019058558</v>
      </c>
      <c r="AO8" s="109">
        <f t="shared" si="4"/>
        <v>156455699</v>
      </c>
      <c r="AP8" s="117" t="str">
        <f>IF(AO8-I8=0,"数据正确","数据错误")</f>
        <v>数据正确</v>
      </c>
      <c r="AQ8" s="42"/>
      <c r="AR8" s="42"/>
    </row>
    <row r="9" s="37" customFormat="1" customHeight="1" outlineLevel="1" spans="1:44">
      <c r="A9" s="130" t="str">
        <f t="shared" si="6"/>
        <v/>
      </c>
      <c r="B9" s="130" t="s">
        <v>83</v>
      </c>
      <c r="C9" s="130" t="s">
        <v>84</v>
      </c>
      <c r="D9" s="131">
        <v>1.5</v>
      </c>
      <c r="E9" s="133" t="s">
        <v>85</v>
      </c>
      <c r="F9" s="132" t="s">
        <v>22</v>
      </c>
      <c r="G9" s="175" t="s">
        <v>86</v>
      </c>
      <c r="H9" s="201">
        <v>42805</v>
      </c>
      <c r="I9" s="109">
        <v>200000</v>
      </c>
      <c r="J9" s="132" t="s">
        <v>105</v>
      </c>
      <c r="K9" s="132" t="s">
        <v>88</v>
      </c>
      <c r="L9" s="198" t="s">
        <v>89</v>
      </c>
      <c r="M9" s="209" t="s">
        <v>90</v>
      </c>
      <c r="N9" s="92" t="s">
        <v>103</v>
      </c>
      <c r="O9" s="83">
        <v>0</v>
      </c>
      <c r="P9" s="86">
        <v>0</v>
      </c>
      <c r="Q9" s="92" t="s">
        <v>103</v>
      </c>
      <c r="R9" s="83">
        <v>0</v>
      </c>
      <c r="S9" s="86">
        <v>0</v>
      </c>
      <c r="T9" s="92" t="s">
        <v>103</v>
      </c>
      <c r="U9" s="83">
        <v>0</v>
      </c>
      <c r="V9" s="86">
        <v>6354292</v>
      </c>
      <c r="W9" s="92" t="s">
        <v>106</v>
      </c>
      <c r="X9" s="83">
        <v>0</v>
      </c>
      <c r="Y9" s="86"/>
      <c r="Z9" s="93" t="s">
        <v>106</v>
      </c>
      <c r="AA9" s="83">
        <v>0</v>
      </c>
      <c r="AB9" s="86"/>
      <c r="AC9" s="93" t="s">
        <v>106</v>
      </c>
      <c r="AD9" s="83">
        <v>0</v>
      </c>
      <c r="AE9" s="86"/>
      <c r="AF9" s="93" t="s">
        <v>107</v>
      </c>
      <c r="AG9" s="83">
        <f>I9*0.95</f>
        <v>190000</v>
      </c>
      <c r="AH9" s="86"/>
      <c r="AI9" s="93" t="s">
        <v>98</v>
      </c>
      <c r="AJ9" s="83">
        <f t="shared" si="5"/>
        <v>10000</v>
      </c>
      <c r="AK9" s="107"/>
      <c r="AL9" s="108">
        <f t="shared" si="1"/>
        <v>6354292</v>
      </c>
      <c r="AM9" s="109">
        <f t="shared" si="2"/>
        <v>-6154292</v>
      </c>
      <c r="AN9" s="110">
        <f t="shared" si="3"/>
        <v>31.77146</v>
      </c>
      <c r="AO9" s="109">
        <f t="shared" si="4"/>
        <v>200000</v>
      </c>
      <c r="AP9" s="117" t="str">
        <f t="shared" ref="AP9:AP17" si="7">IF(AO9-I9=0,"数据正确","数据错误")</f>
        <v>数据正确</v>
      </c>
      <c r="AQ9" s="42"/>
      <c r="AR9" s="42"/>
    </row>
    <row r="10" s="37" customFormat="1" customHeight="1" outlineLevel="1" spans="1:44">
      <c r="A10" s="130" t="str">
        <f t="shared" si="6"/>
        <v/>
      </c>
      <c r="B10" s="130" t="s">
        <v>83</v>
      </c>
      <c r="C10" s="130" t="s">
        <v>84</v>
      </c>
      <c r="D10" s="131">
        <v>1.6</v>
      </c>
      <c r="E10" s="133" t="s">
        <v>85</v>
      </c>
      <c r="F10" s="132" t="s">
        <v>22</v>
      </c>
      <c r="G10" s="175" t="s">
        <v>86</v>
      </c>
      <c r="H10" s="201">
        <v>42805</v>
      </c>
      <c r="I10" s="109">
        <v>5546278</v>
      </c>
      <c r="J10" s="132" t="s">
        <v>108</v>
      </c>
      <c r="K10" s="132" t="s">
        <v>88</v>
      </c>
      <c r="L10" s="198" t="s">
        <v>89</v>
      </c>
      <c r="M10" s="209" t="s">
        <v>90</v>
      </c>
      <c r="N10" s="92" t="s">
        <v>103</v>
      </c>
      <c r="O10" s="83">
        <v>0</v>
      </c>
      <c r="P10" s="86">
        <v>0</v>
      </c>
      <c r="Q10" s="92" t="s">
        <v>103</v>
      </c>
      <c r="R10" s="83">
        <v>0</v>
      </c>
      <c r="S10" s="86">
        <v>0</v>
      </c>
      <c r="T10" s="92" t="s">
        <v>103</v>
      </c>
      <c r="U10" s="83">
        <v>0</v>
      </c>
      <c r="V10" s="86"/>
      <c r="W10" s="92" t="s">
        <v>106</v>
      </c>
      <c r="X10" s="83">
        <v>0</v>
      </c>
      <c r="Y10" s="86"/>
      <c r="Z10" s="93" t="s">
        <v>106</v>
      </c>
      <c r="AA10" s="83">
        <v>0</v>
      </c>
      <c r="AB10" s="86"/>
      <c r="AC10" s="93" t="s">
        <v>106</v>
      </c>
      <c r="AD10" s="83">
        <v>0</v>
      </c>
      <c r="AE10" s="86"/>
      <c r="AF10" s="93" t="s">
        <v>107</v>
      </c>
      <c r="AG10" s="83">
        <f>I10*0.95</f>
        <v>5268964.1</v>
      </c>
      <c r="AH10" s="86">
        <f>1738385-47500</f>
        <v>1690885</v>
      </c>
      <c r="AI10" s="93" t="s">
        <v>98</v>
      </c>
      <c r="AJ10" s="83">
        <f t="shared" si="5"/>
        <v>277313.9</v>
      </c>
      <c r="AK10" s="107"/>
      <c r="AL10" s="108">
        <f t="shared" si="1"/>
        <v>1690885</v>
      </c>
      <c r="AM10" s="109">
        <f t="shared" si="2"/>
        <v>3855393</v>
      </c>
      <c r="AN10" s="110">
        <f t="shared" si="3"/>
        <v>0.304868418063429</v>
      </c>
      <c r="AO10" s="109">
        <f t="shared" si="4"/>
        <v>5546278</v>
      </c>
      <c r="AP10" s="117" t="str">
        <f t="shared" si="7"/>
        <v>数据正确</v>
      </c>
      <c r="AQ10" s="42"/>
      <c r="AR10" s="42"/>
    </row>
    <row r="11" s="37" customFormat="1" customHeight="1" outlineLevel="1" spans="1:44">
      <c r="A11" s="130" t="str">
        <f t="shared" si="6"/>
        <v/>
      </c>
      <c r="B11" s="130" t="s">
        <v>83</v>
      </c>
      <c r="C11" s="130" t="s">
        <v>84</v>
      </c>
      <c r="D11" s="131">
        <v>1.7</v>
      </c>
      <c r="E11" s="133" t="s">
        <v>85</v>
      </c>
      <c r="F11" s="132" t="s">
        <v>22</v>
      </c>
      <c r="G11" s="175" t="s">
        <v>86</v>
      </c>
      <c r="H11" s="201">
        <v>42805</v>
      </c>
      <c r="I11" s="109">
        <v>2346835</v>
      </c>
      <c r="J11" s="132" t="s">
        <v>109</v>
      </c>
      <c r="K11" s="132" t="s">
        <v>88</v>
      </c>
      <c r="L11" s="198" t="s">
        <v>89</v>
      </c>
      <c r="M11" s="209" t="s">
        <v>90</v>
      </c>
      <c r="N11" s="92" t="s">
        <v>103</v>
      </c>
      <c r="O11" s="83">
        <v>0</v>
      </c>
      <c r="P11" s="86">
        <v>0</v>
      </c>
      <c r="Q11" s="92" t="s">
        <v>103</v>
      </c>
      <c r="R11" s="83">
        <v>0</v>
      </c>
      <c r="S11" s="86">
        <v>0</v>
      </c>
      <c r="T11" s="92" t="s">
        <v>103</v>
      </c>
      <c r="U11" s="83">
        <v>0</v>
      </c>
      <c r="V11" s="86"/>
      <c r="W11" s="92" t="s">
        <v>106</v>
      </c>
      <c r="X11" s="83">
        <v>0</v>
      </c>
      <c r="Y11" s="86"/>
      <c r="Z11" s="93" t="s">
        <v>106</v>
      </c>
      <c r="AA11" s="83">
        <v>0</v>
      </c>
      <c r="AB11" s="86"/>
      <c r="AC11" s="93" t="s">
        <v>106</v>
      </c>
      <c r="AD11" s="83">
        <v>0</v>
      </c>
      <c r="AE11" s="86"/>
      <c r="AF11" s="93" t="s">
        <v>107</v>
      </c>
      <c r="AG11" s="83">
        <f>I11*0.95</f>
        <v>2229493.25</v>
      </c>
      <c r="AH11" s="86">
        <v>2229494</v>
      </c>
      <c r="AI11" s="93" t="s">
        <v>98</v>
      </c>
      <c r="AJ11" s="83">
        <f t="shared" si="5"/>
        <v>117341.75</v>
      </c>
      <c r="AK11" s="107"/>
      <c r="AL11" s="108">
        <f t="shared" si="1"/>
        <v>2229494</v>
      </c>
      <c r="AM11" s="109">
        <f t="shared" si="2"/>
        <v>117341</v>
      </c>
      <c r="AN11" s="110">
        <f t="shared" si="3"/>
        <v>0.950000319579348</v>
      </c>
      <c r="AO11" s="109">
        <f t="shared" si="4"/>
        <v>2346835</v>
      </c>
      <c r="AP11" s="117" t="str">
        <f t="shared" si="7"/>
        <v>数据正确</v>
      </c>
      <c r="AQ11" s="42"/>
      <c r="AR11" s="42"/>
    </row>
    <row r="12" s="120" customFormat="1" customHeight="1" spans="1:44">
      <c r="A12" s="130" t="str">
        <f t="shared" si="6"/>
        <v/>
      </c>
      <c r="B12" s="130" t="s">
        <v>83</v>
      </c>
      <c r="C12" s="130" t="s">
        <v>84</v>
      </c>
      <c r="D12" s="202">
        <v>1</v>
      </c>
      <c r="E12" s="137" t="s">
        <v>85</v>
      </c>
      <c r="F12" s="136" t="s">
        <v>22</v>
      </c>
      <c r="G12" s="176" t="s">
        <v>86</v>
      </c>
      <c r="H12" s="138">
        <v>42805</v>
      </c>
      <c r="I12" s="155">
        <f>SUM(I6:I11)</f>
        <v>394000000</v>
      </c>
      <c r="J12" s="136" t="s">
        <v>110</v>
      </c>
      <c r="K12" s="136" t="s">
        <v>88</v>
      </c>
      <c r="L12" s="210" t="s">
        <v>89</v>
      </c>
      <c r="M12" s="211" t="s">
        <v>90</v>
      </c>
      <c r="N12" s="212" t="s">
        <v>75</v>
      </c>
      <c r="O12" s="155">
        <f>SUM(O6:O11)</f>
        <v>22945118.8</v>
      </c>
      <c r="P12" s="155">
        <f t="shared" ref="P12:AK12" si="8">SUM(P6:P11)</f>
        <v>22945118.8</v>
      </c>
      <c r="Q12" s="155">
        <f t="shared" si="8"/>
        <v>0</v>
      </c>
      <c r="R12" s="155">
        <f t="shared" si="8"/>
        <v>90642155.2</v>
      </c>
      <c r="S12" s="155">
        <f t="shared" si="8"/>
        <v>8526474</v>
      </c>
      <c r="T12" s="155">
        <f t="shared" si="8"/>
        <v>0</v>
      </c>
      <c r="U12" s="155">
        <f t="shared" si="8"/>
        <v>129429417.6</v>
      </c>
      <c r="V12" s="155">
        <f t="shared" si="8"/>
        <v>15785416</v>
      </c>
      <c r="W12" s="155">
        <f t="shared" si="8"/>
        <v>0</v>
      </c>
      <c r="X12" s="155">
        <f t="shared" si="8"/>
        <v>27118129.3</v>
      </c>
      <c r="Y12" s="155">
        <f t="shared" si="8"/>
        <v>0</v>
      </c>
      <c r="Z12" s="155">
        <f t="shared" si="8"/>
        <v>0</v>
      </c>
      <c r="AA12" s="155">
        <f t="shared" si="8"/>
        <v>38590688.7</v>
      </c>
      <c r="AB12" s="155">
        <f t="shared" si="8"/>
        <v>0</v>
      </c>
      <c r="AC12" s="155">
        <f t="shared" si="8"/>
        <v>0</v>
      </c>
      <c r="AD12" s="155">
        <f t="shared" si="8"/>
        <v>38590688.7</v>
      </c>
      <c r="AE12" s="155">
        <f t="shared" si="8"/>
        <v>0</v>
      </c>
      <c r="AF12" s="155">
        <f t="shared" si="8"/>
        <v>0</v>
      </c>
      <c r="AG12" s="155">
        <f t="shared" si="8"/>
        <v>26983801.7</v>
      </c>
      <c r="AH12" s="155">
        <f t="shared" si="8"/>
        <v>3920379</v>
      </c>
      <c r="AI12" s="155">
        <f t="shared" si="8"/>
        <v>0</v>
      </c>
      <c r="AJ12" s="155">
        <f t="shared" si="8"/>
        <v>19700000</v>
      </c>
      <c r="AK12" s="168">
        <f t="shared" si="8"/>
        <v>0</v>
      </c>
      <c r="AL12" s="162">
        <f t="shared" si="1"/>
        <v>51177387.8</v>
      </c>
      <c r="AM12" s="155">
        <f t="shared" si="2"/>
        <v>342822612.2</v>
      </c>
      <c r="AN12" s="163">
        <f t="shared" si="3"/>
        <v>0.129891847208122</v>
      </c>
      <c r="AO12" s="155">
        <f t="shared" si="4"/>
        <v>394000000</v>
      </c>
      <c r="AP12" s="168" t="str">
        <f t="shared" si="7"/>
        <v>数据正确</v>
      </c>
      <c r="AQ12" s="192" t="s">
        <v>111</v>
      </c>
      <c r="AR12" s="192" t="s">
        <v>112</v>
      </c>
    </row>
    <row r="13" s="37" customFormat="1" ht="15" customHeight="1" outlineLevel="1" spans="1:44">
      <c r="A13" s="130" t="str">
        <f t="shared" si="6"/>
        <v/>
      </c>
      <c r="B13" s="130" t="s">
        <v>83</v>
      </c>
      <c r="C13" s="130" t="s">
        <v>84</v>
      </c>
      <c r="D13" s="131">
        <v>2.1</v>
      </c>
      <c r="E13" s="133" t="s">
        <v>113</v>
      </c>
      <c r="F13" s="132" t="s">
        <v>22</v>
      </c>
      <c r="G13" s="134" t="s">
        <v>114</v>
      </c>
      <c r="H13" s="201">
        <v>42805</v>
      </c>
      <c r="I13" s="109">
        <v>13000000</v>
      </c>
      <c r="J13" s="62" t="s">
        <v>115</v>
      </c>
      <c r="K13" s="132" t="s">
        <v>116</v>
      </c>
      <c r="L13" s="132" t="s">
        <v>117</v>
      </c>
      <c r="M13" s="213" t="s">
        <v>118</v>
      </c>
      <c r="N13" s="214" t="s">
        <v>91</v>
      </c>
      <c r="O13" s="109">
        <f>I13*0.1</f>
        <v>1300000</v>
      </c>
      <c r="P13" s="109">
        <f>O13</f>
        <v>1300000</v>
      </c>
      <c r="Q13" s="217" t="s">
        <v>119</v>
      </c>
      <c r="R13" s="109">
        <f>I13*0.3</f>
        <v>3900000</v>
      </c>
      <c r="S13" s="109">
        <f>3900000</f>
        <v>3900000</v>
      </c>
      <c r="T13" s="217" t="s">
        <v>120</v>
      </c>
      <c r="U13" s="109">
        <f>I13*0.25</f>
        <v>3250000</v>
      </c>
      <c r="V13" s="109"/>
      <c r="W13" s="217" t="s">
        <v>121</v>
      </c>
      <c r="X13" s="109">
        <f>I13*0.05</f>
        <v>650000</v>
      </c>
      <c r="Y13" s="109"/>
      <c r="Z13" s="224" t="s">
        <v>122</v>
      </c>
      <c r="AA13" s="109">
        <f>I13*0.1</f>
        <v>1300000</v>
      </c>
      <c r="AB13" s="109"/>
      <c r="AC13" s="217" t="s">
        <v>123</v>
      </c>
      <c r="AD13" s="109">
        <f>I13*0.1</f>
        <v>1300000</v>
      </c>
      <c r="AE13" s="109"/>
      <c r="AF13" s="217" t="s">
        <v>124</v>
      </c>
      <c r="AG13" s="109">
        <f>I13*0.05</f>
        <v>650000</v>
      </c>
      <c r="AH13" s="109"/>
      <c r="AI13" s="217" t="s">
        <v>125</v>
      </c>
      <c r="AJ13" s="109">
        <f t="shared" ref="AJ13:AJ21" si="9">I13*0.05</f>
        <v>650000</v>
      </c>
      <c r="AK13" s="117"/>
      <c r="AL13" s="108">
        <f t="shared" si="1"/>
        <v>5200000</v>
      </c>
      <c r="AM13" s="109">
        <f t="shared" si="2"/>
        <v>7800000</v>
      </c>
      <c r="AN13" s="110">
        <f t="shared" si="3"/>
        <v>0.4</v>
      </c>
      <c r="AO13" s="109">
        <f t="shared" si="4"/>
        <v>13000000</v>
      </c>
      <c r="AP13" s="117" t="str">
        <f t="shared" si="7"/>
        <v>数据正确</v>
      </c>
      <c r="AQ13" s="42"/>
      <c r="AR13" s="42"/>
    </row>
    <row r="14" s="41" customFormat="1" ht="15" customHeight="1" outlineLevel="1" spans="1:44">
      <c r="A14" s="203" t="str">
        <f t="shared" si="6"/>
        <v/>
      </c>
      <c r="B14" s="203" t="s">
        <v>83</v>
      </c>
      <c r="C14" s="203" t="s">
        <v>84</v>
      </c>
      <c r="D14" s="204">
        <v>2.2</v>
      </c>
      <c r="E14" s="177" t="s">
        <v>113</v>
      </c>
      <c r="F14" s="205" t="s">
        <v>22</v>
      </c>
      <c r="G14" s="206" t="s">
        <v>114</v>
      </c>
      <c r="H14" s="207">
        <v>42805</v>
      </c>
      <c r="I14" s="113">
        <v>89981000</v>
      </c>
      <c r="J14" s="67" t="s">
        <v>126</v>
      </c>
      <c r="K14" s="205" t="s">
        <v>116</v>
      </c>
      <c r="L14" s="205" t="s">
        <v>117</v>
      </c>
      <c r="M14" s="215" t="s">
        <v>118</v>
      </c>
      <c r="N14" s="216" t="s">
        <v>91</v>
      </c>
      <c r="O14" s="113">
        <f>I14*0.1</f>
        <v>8998100</v>
      </c>
      <c r="P14" s="113">
        <f>I14*0.1</f>
        <v>8998100</v>
      </c>
      <c r="Q14" s="223" t="s">
        <v>127</v>
      </c>
      <c r="R14" s="113">
        <f>I14*0.3</f>
        <v>26994300</v>
      </c>
      <c r="S14" s="113">
        <f>4499050</f>
        <v>4499050</v>
      </c>
      <c r="T14" s="223" t="s">
        <v>128</v>
      </c>
      <c r="U14" s="113">
        <f>I14*0.25</f>
        <v>22495250</v>
      </c>
      <c r="V14" s="113"/>
      <c r="W14" s="223" t="s">
        <v>121</v>
      </c>
      <c r="X14" s="113">
        <f>I14*0.05</f>
        <v>4499050</v>
      </c>
      <c r="Y14" s="113"/>
      <c r="Z14" s="225" t="s">
        <v>122</v>
      </c>
      <c r="AA14" s="113">
        <f>I14*0.1</f>
        <v>8998100</v>
      </c>
      <c r="AB14" s="113"/>
      <c r="AC14" s="223" t="s">
        <v>123</v>
      </c>
      <c r="AD14" s="113">
        <f>I14*0.1</f>
        <v>8998100</v>
      </c>
      <c r="AE14" s="113"/>
      <c r="AF14" s="223" t="s">
        <v>124</v>
      </c>
      <c r="AG14" s="113">
        <f>I14*0.05</f>
        <v>4499050</v>
      </c>
      <c r="AH14" s="113"/>
      <c r="AI14" s="223" t="s">
        <v>125</v>
      </c>
      <c r="AJ14" s="113">
        <f t="shared" si="9"/>
        <v>4499050</v>
      </c>
      <c r="AK14" s="118"/>
      <c r="AL14" s="112">
        <f t="shared" si="1"/>
        <v>13497150</v>
      </c>
      <c r="AM14" s="113">
        <f t="shared" si="2"/>
        <v>76483850</v>
      </c>
      <c r="AN14" s="114">
        <f t="shared" si="3"/>
        <v>0.15</v>
      </c>
      <c r="AO14" s="113">
        <f t="shared" si="4"/>
        <v>89981000</v>
      </c>
      <c r="AP14" s="118" t="str">
        <f t="shared" si="7"/>
        <v>数据正确</v>
      </c>
      <c r="AQ14" s="227"/>
      <c r="AR14" s="227"/>
    </row>
    <row r="15" s="37" customFormat="1" ht="15" customHeight="1" outlineLevel="1" spans="1:44">
      <c r="A15" s="130" t="str">
        <f t="shared" si="6"/>
        <v/>
      </c>
      <c r="B15" s="130" t="s">
        <v>83</v>
      </c>
      <c r="C15" s="130" t="s">
        <v>84</v>
      </c>
      <c r="D15" s="131">
        <v>2.3</v>
      </c>
      <c r="E15" s="133" t="s">
        <v>113</v>
      </c>
      <c r="F15" s="132" t="s">
        <v>22</v>
      </c>
      <c r="G15" s="134">
        <v>2016120034</v>
      </c>
      <c r="H15" s="201">
        <v>42805</v>
      </c>
      <c r="I15" s="109">
        <f>15900000</f>
        <v>15900000</v>
      </c>
      <c r="J15" s="62" t="s">
        <v>129</v>
      </c>
      <c r="K15" s="132" t="s">
        <v>116</v>
      </c>
      <c r="L15" s="132" t="s">
        <v>117</v>
      </c>
      <c r="M15" s="213" t="s">
        <v>118</v>
      </c>
      <c r="N15" s="217" t="s">
        <v>130</v>
      </c>
      <c r="O15" s="109">
        <f>I15*0.6</f>
        <v>9540000</v>
      </c>
      <c r="P15" s="109">
        <f>514933.6+1238817+1238817</f>
        <v>2992567.6</v>
      </c>
      <c r="Q15" s="217" t="s">
        <v>106</v>
      </c>
      <c r="R15" s="109">
        <v>0</v>
      </c>
      <c r="S15" s="109"/>
      <c r="T15" s="217" t="s">
        <v>131</v>
      </c>
      <c r="U15" s="109">
        <f>I15*0.05</f>
        <v>795000</v>
      </c>
      <c r="V15" s="109"/>
      <c r="W15" s="217" t="s">
        <v>121</v>
      </c>
      <c r="X15" s="109">
        <f>I15*0.05</f>
        <v>795000</v>
      </c>
      <c r="Y15" s="109"/>
      <c r="Z15" s="224" t="s">
        <v>122</v>
      </c>
      <c r="AA15" s="109">
        <f>I15*0.1</f>
        <v>1590000</v>
      </c>
      <c r="AB15" s="109"/>
      <c r="AC15" s="217" t="s">
        <v>123</v>
      </c>
      <c r="AD15" s="109">
        <f>I15*0.1</f>
        <v>1590000</v>
      </c>
      <c r="AE15" s="109"/>
      <c r="AF15" s="217" t="s">
        <v>124</v>
      </c>
      <c r="AG15" s="109">
        <f>I15*0.05</f>
        <v>795000</v>
      </c>
      <c r="AH15" s="109"/>
      <c r="AI15" s="217" t="s">
        <v>125</v>
      </c>
      <c r="AJ15" s="109">
        <f t="shared" si="9"/>
        <v>795000</v>
      </c>
      <c r="AK15" s="117"/>
      <c r="AL15" s="108">
        <f t="shared" si="1"/>
        <v>2992567.6</v>
      </c>
      <c r="AM15" s="109">
        <f t="shared" si="2"/>
        <v>12907432.4</v>
      </c>
      <c r="AN15" s="110">
        <f t="shared" si="3"/>
        <v>0.188211798742138</v>
      </c>
      <c r="AO15" s="109">
        <f t="shared" si="4"/>
        <v>15900000</v>
      </c>
      <c r="AP15" s="117" t="str">
        <f t="shared" si="7"/>
        <v>数据正确</v>
      </c>
      <c r="AQ15" s="42"/>
      <c r="AR15" s="42"/>
    </row>
    <row r="16" s="37" customFormat="1" ht="15" customHeight="1" outlineLevel="1" spans="1:44">
      <c r="A16" s="130" t="str">
        <f t="shared" si="6"/>
        <v/>
      </c>
      <c r="B16" s="130" t="s">
        <v>83</v>
      </c>
      <c r="C16" s="130" t="s">
        <v>84</v>
      </c>
      <c r="D16" s="131">
        <v>2.3</v>
      </c>
      <c r="E16" s="133" t="s">
        <v>113</v>
      </c>
      <c r="F16" s="132" t="s">
        <v>22</v>
      </c>
      <c r="G16" s="134">
        <v>2016120034</v>
      </c>
      <c r="H16" s="201">
        <v>42805</v>
      </c>
      <c r="I16" s="109">
        <f>15400000</f>
        <v>15400000</v>
      </c>
      <c r="J16" s="62" t="s">
        <v>132</v>
      </c>
      <c r="K16" s="132" t="s">
        <v>116</v>
      </c>
      <c r="L16" s="132" t="s">
        <v>117</v>
      </c>
      <c r="M16" s="213" t="s">
        <v>118</v>
      </c>
      <c r="N16" s="217" t="s">
        <v>130</v>
      </c>
      <c r="O16" s="109">
        <f>I16*0.6</f>
        <v>9240000</v>
      </c>
      <c r="P16" s="109"/>
      <c r="Q16" s="217" t="s">
        <v>106</v>
      </c>
      <c r="R16" s="109">
        <v>0</v>
      </c>
      <c r="S16" s="109"/>
      <c r="T16" s="217" t="s">
        <v>131</v>
      </c>
      <c r="U16" s="109">
        <f>I16*0.05</f>
        <v>770000</v>
      </c>
      <c r="V16" s="109"/>
      <c r="W16" s="217" t="s">
        <v>121</v>
      </c>
      <c r="X16" s="109">
        <f>I16*0.05</f>
        <v>770000</v>
      </c>
      <c r="Y16" s="109"/>
      <c r="Z16" s="224" t="s">
        <v>122</v>
      </c>
      <c r="AA16" s="109">
        <f>I16*0.1</f>
        <v>1540000</v>
      </c>
      <c r="AB16" s="109"/>
      <c r="AC16" s="217" t="s">
        <v>123</v>
      </c>
      <c r="AD16" s="109">
        <f>I16*0.1</f>
        <v>1540000</v>
      </c>
      <c r="AE16" s="109"/>
      <c r="AF16" s="217" t="s">
        <v>124</v>
      </c>
      <c r="AG16" s="109">
        <f>I16*0.05</f>
        <v>770000</v>
      </c>
      <c r="AH16" s="109"/>
      <c r="AI16" s="217" t="s">
        <v>125</v>
      </c>
      <c r="AJ16" s="109">
        <f t="shared" si="9"/>
        <v>770000</v>
      </c>
      <c r="AK16" s="117"/>
      <c r="AL16" s="108">
        <f t="shared" ref="AL16:AL21" si="10">P16+S16+V16+Y16+AB16+AE16+AH16+AK16</f>
        <v>0</v>
      </c>
      <c r="AM16" s="109">
        <f t="shared" ref="AM16:AM21" si="11">I16-AL16</f>
        <v>15400000</v>
      </c>
      <c r="AN16" s="110">
        <f t="shared" ref="AN16:AN21" si="12">AL16/I16</f>
        <v>0</v>
      </c>
      <c r="AO16" s="109">
        <f t="shared" ref="AO16:AO21" si="13">O16+R16+U16+X16+AA16+AD16+AG16+AJ16</f>
        <v>15400000</v>
      </c>
      <c r="AP16" s="117" t="str">
        <f t="shared" ref="AP16:AP21" si="14">IF(AO16-I16=0,"数据正确","数据错误")</f>
        <v>数据正确</v>
      </c>
      <c r="AQ16" s="42"/>
      <c r="AR16" s="42"/>
    </row>
    <row r="17" s="37" customFormat="1" ht="15" customHeight="1" outlineLevel="1" spans="1:44">
      <c r="A17" s="130" t="str">
        <f t="shared" si="6"/>
        <v/>
      </c>
      <c r="B17" s="130" t="s">
        <v>83</v>
      </c>
      <c r="C17" s="130" t="s">
        <v>84</v>
      </c>
      <c r="D17" s="131">
        <v>2.4</v>
      </c>
      <c r="E17" s="133" t="s">
        <v>113</v>
      </c>
      <c r="F17" s="132" t="s">
        <v>22</v>
      </c>
      <c r="G17" s="134" t="s">
        <v>114</v>
      </c>
      <c r="H17" s="201">
        <v>42805</v>
      </c>
      <c r="I17" s="109">
        <v>120000</v>
      </c>
      <c r="J17" s="62" t="s">
        <v>133</v>
      </c>
      <c r="K17" s="132" t="s">
        <v>116</v>
      </c>
      <c r="L17" s="132" t="s">
        <v>117</v>
      </c>
      <c r="M17" s="213" t="s">
        <v>118</v>
      </c>
      <c r="N17" s="214" t="s">
        <v>134</v>
      </c>
      <c r="O17" s="109">
        <f>I17*0.95</f>
        <v>114000</v>
      </c>
      <c r="P17" s="109"/>
      <c r="Q17" s="214" t="s">
        <v>135</v>
      </c>
      <c r="R17" s="109">
        <f>I17*0.05</f>
        <v>6000</v>
      </c>
      <c r="S17" s="109"/>
      <c r="T17" s="217"/>
      <c r="U17" s="109"/>
      <c r="V17" s="109"/>
      <c r="W17" s="217"/>
      <c r="X17" s="109"/>
      <c r="Y17" s="109"/>
      <c r="Z17" s="224"/>
      <c r="AA17" s="109"/>
      <c r="AB17" s="109"/>
      <c r="AC17" s="217"/>
      <c r="AD17" s="109"/>
      <c r="AE17" s="109"/>
      <c r="AF17" s="217"/>
      <c r="AG17" s="109"/>
      <c r="AH17" s="109"/>
      <c r="AI17" s="217"/>
      <c r="AJ17" s="109"/>
      <c r="AK17" s="117"/>
      <c r="AL17" s="108">
        <f t="shared" si="10"/>
        <v>0</v>
      </c>
      <c r="AM17" s="109">
        <f t="shared" si="11"/>
        <v>120000</v>
      </c>
      <c r="AN17" s="110">
        <f t="shared" si="12"/>
        <v>0</v>
      </c>
      <c r="AO17" s="109">
        <f t="shared" si="13"/>
        <v>120000</v>
      </c>
      <c r="AP17" s="117" t="str">
        <f t="shared" si="14"/>
        <v>数据正确</v>
      </c>
      <c r="AQ17" s="42"/>
      <c r="AR17" s="42"/>
    </row>
    <row r="18" s="37" customFormat="1" ht="15" customHeight="1" outlineLevel="1" spans="1:44">
      <c r="A18" s="130" t="str">
        <f t="shared" si="6"/>
        <v/>
      </c>
      <c r="B18" s="130" t="s">
        <v>83</v>
      </c>
      <c r="C18" s="130" t="s">
        <v>84</v>
      </c>
      <c r="D18" s="131">
        <v>2.4</v>
      </c>
      <c r="E18" s="133" t="s">
        <v>113</v>
      </c>
      <c r="F18" s="132" t="s">
        <v>22</v>
      </c>
      <c r="G18" s="134" t="s">
        <v>114</v>
      </c>
      <c r="H18" s="201">
        <v>42805</v>
      </c>
      <c r="I18" s="109">
        <v>200000</v>
      </c>
      <c r="J18" s="62" t="s">
        <v>136</v>
      </c>
      <c r="K18" s="132" t="s">
        <v>116</v>
      </c>
      <c r="L18" s="132" t="s">
        <v>117</v>
      </c>
      <c r="M18" s="213" t="s">
        <v>118</v>
      </c>
      <c r="N18" s="214" t="s">
        <v>134</v>
      </c>
      <c r="O18" s="109">
        <f t="shared" ref="O18:O27" si="15">I18*0.95</f>
        <v>190000</v>
      </c>
      <c r="P18" s="109"/>
      <c r="Q18" s="214" t="s">
        <v>135</v>
      </c>
      <c r="R18" s="109">
        <f t="shared" ref="R18:R27" si="16">I18*0.05</f>
        <v>10000</v>
      </c>
      <c r="S18" s="109"/>
      <c r="T18" s="217"/>
      <c r="U18" s="109"/>
      <c r="V18" s="109"/>
      <c r="W18" s="217"/>
      <c r="X18" s="109"/>
      <c r="Y18" s="109"/>
      <c r="Z18" s="224"/>
      <c r="AA18" s="109"/>
      <c r="AB18" s="109"/>
      <c r="AC18" s="217"/>
      <c r="AD18" s="109"/>
      <c r="AE18" s="109"/>
      <c r="AF18" s="217"/>
      <c r="AG18" s="109"/>
      <c r="AH18" s="109"/>
      <c r="AI18" s="217"/>
      <c r="AJ18" s="109"/>
      <c r="AK18" s="117"/>
      <c r="AL18" s="108">
        <f t="shared" si="10"/>
        <v>0</v>
      </c>
      <c r="AM18" s="109">
        <f t="shared" si="11"/>
        <v>200000</v>
      </c>
      <c r="AN18" s="110">
        <f t="shared" si="12"/>
        <v>0</v>
      </c>
      <c r="AO18" s="109">
        <f t="shared" si="13"/>
        <v>200000</v>
      </c>
      <c r="AP18" s="117" t="str">
        <f t="shared" si="14"/>
        <v>数据正确</v>
      </c>
      <c r="AQ18" s="42"/>
      <c r="AR18" s="42"/>
    </row>
    <row r="19" s="37" customFormat="1" ht="15" customHeight="1" outlineLevel="1" spans="1:44">
      <c r="A19" s="130" t="str">
        <f t="shared" si="6"/>
        <v/>
      </c>
      <c r="B19" s="130" t="s">
        <v>83</v>
      </c>
      <c r="C19" s="130" t="s">
        <v>84</v>
      </c>
      <c r="D19" s="131">
        <v>2.4</v>
      </c>
      <c r="E19" s="133" t="s">
        <v>113</v>
      </c>
      <c r="F19" s="132" t="s">
        <v>22</v>
      </c>
      <c r="G19" s="134" t="s">
        <v>114</v>
      </c>
      <c r="H19" s="201">
        <v>42805</v>
      </c>
      <c r="I19" s="109">
        <v>600000</v>
      </c>
      <c r="J19" s="62" t="s">
        <v>137</v>
      </c>
      <c r="K19" s="132" t="s">
        <v>116</v>
      </c>
      <c r="L19" s="132" t="s">
        <v>117</v>
      </c>
      <c r="M19" s="213" t="s">
        <v>118</v>
      </c>
      <c r="N19" s="214" t="s">
        <v>138</v>
      </c>
      <c r="O19" s="109">
        <f>I19*0.8</f>
        <v>480000</v>
      </c>
      <c r="P19" s="109">
        <f>160000+64000+64000</f>
        <v>288000</v>
      </c>
      <c r="Q19" s="214" t="s">
        <v>139</v>
      </c>
      <c r="R19" s="109">
        <f>I19*0.2</f>
        <v>120000</v>
      </c>
      <c r="S19" s="109"/>
      <c r="T19" s="217"/>
      <c r="U19" s="109"/>
      <c r="V19" s="109"/>
      <c r="W19" s="217"/>
      <c r="X19" s="109"/>
      <c r="Y19" s="109"/>
      <c r="Z19" s="224"/>
      <c r="AA19" s="109"/>
      <c r="AB19" s="109"/>
      <c r="AC19" s="217"/>
      <c r="AD19" s="109"/>
      <c r="AE19" s="109"/>
      <c r="AF19" s="217"/>
      <c r="AG19" s="109"/>
      <c r="AH19" s="109"/>
      <c r="AI19" s="217"/>
      <c r="AJ19" s="109"/>
      <c r="AK19" s="117"/>
      <c r="AL19" s="108">
        <f t="shared" si="10"/>
        <v>288000</v>
      </c>
      <c r="AM19" s="109">
        <f t="shared" si="11"/>
        <v>312000</v>
      </c>
      <c r="AN19" s="110">
        <f t="shared" si="12"/>
        <v>0.48</v>
      </c>
      <c r="AO19" s="109">
        <f t="shared" si="13"/>
        <v>600000</v>
      </c>
      <c r="AP19" s="117" t="str">
        <f t="shared" si="14"/>
        <v>数据正确</v>
      </c>
      <c r="AQ19" s="42"/>
      <c r="AR19" s="42"/>
    </row>
    <row r="20" s="37" customFormat="1" ht="15" customHeight="1" outlineLevel="1" spans="1:44">
      <c r="A20" s="130" t="str">
        <f t="shared" si="6"/>
        <v/>
      </c>
      <c r="B20" s="130" t="s">
        <v>83</v>
      </c>
      <c r="C20" s="130" t="s">
        <v>84</v>
      </c>
      <c r="D20" s="131">
        <v>2.4</v>
      </c>
      <c r="E20" s="133" t="s">
        <v>113</v>
      </c>
      <c r="F20" s="132" t="s">
        <v>22</v>
      </c>
      <c r="G20" s="134" t="s">
        <v>114</v>
      </c>
      <c r="H20" s="201">
        <v>42805</v>
      </c>
      <c r="I20" s="109">
        <v>300000</v>
      </c>
      <c r="J20" s="62" t="s">
        <v>140</v>
      </c>
      <c r="K20" s="132" t="s">
        <v>116</v>
      </c>
      <c r="L20" s="132" t="s">
        <v>117</v>
      </c>
      <c r="M20" s="213" t="s">
        <v>118</v>
      </c>
      <c r="N20" s="214" t="s">
        <v>138</v>
      </c>
      <c r="O20" s="109">
        <f>I20*0.8</f>
        <v>240000</v>
      </c>
      <c r="P20" s="109"/>
      <c r="Q20" s="214" t="s">
        <v>139</v>
      </c>
      <c r="R20" s="109">
        <f>I20*0.2</f>
        <v>60000</v>
      </c>
      <c r="S20" s="109"/>
      <c r="T20" s="217"/>
      <c r="U20" s="109"/>
      <c r="V20" s="109"/>
      <c r="W20" s="217"/>
      <c r="X20" s="109"/>
      <c r="Y20" s="109"/>
      <c r="Z20" s="224"/>
      <c r="AA20" s="109"/>
      <c r="AB20" s="109"/>
      <c r="AC20" s="217"/>
      <c r="AD20" s="109"/>
      <c r="AE20" s="109"/>
      <c r="AF20" s="217"/>
      <c r="AG20" s="109"/>
      <c r="AH20" s="109"/>
      <c r="AI20" s="217"/>
      <c r="AJ20" s="109"/>
      <c r="AK20" s="117"/>
      <c r="AL20" s="108">
        <f t="shared" si="10"/>
        <v>0</v>
      </c>
      <c r="AM20" s="109">
        <f t="shared" si="11"/>
        <v>300000</v>
      </c>
      <c r="AN20" s="110">
        <f t="shared" si="12"/>
        <v>0</v>
      </c>
      <c r="AO20" s="109">
        <f t="shared" si="13"/>
        <v>300000</v>
      </c>
      <c r="AP20" s="117" t="str">
        <f t="shared" si="14"/>
        <v>数据正确</v>
      </c>
      <c r="AQ20" s="42"/>
      <c r="AR20" s="42"/>
    </row>
    <row r="21" s="37" customFormat="1" ht="15" customHeight="1" outlineLevel="1" spans="1:44">
      <c r="A21" s="130" t="str">
        <f t="shared" si="6"/>
        <v/>
      </c>
      <c r="B21" s="130" t="s">
        <v>83</v>
      </c>
      <c r="C21" s="130" t="s">
        <v>84</v>
      </c>
      <c r="D21" s="131">
        <v>2.4</v>
      </c>
      <c r="E21" s="133" t="s">
        <v>113</v>
      </c>
      <c r="F21" s="132" t="s">
        <v>22</v>
      </c>
      <c r="G21" s="134" t="s">
        <v>114</v>
      </c>
      <c r="H21" s="201">
        <v>42805</v>
      </c>
      <c r="I21" s="109">
        <v>160000</v>
      </c>
      <c r="J21" s="62" t="s">
        <v>141</v>
      </c>
      <c r="K21" s="132" t="s">
        <v>116</v>
      </c>
      <c r="L21" s="132" t="s">
        <v>117</v>
      </c>
      <c r="M21" s="213" t="s">
        <v>118</v>
      </c>
      <c r="N21" s="214" t="s">
        <v>134</v>
      </c>
      <c r="O21" s="109">
        <f t="shared" si="15"/>
        <v>152000</v>
      </c>
      <c r="P21" s="109"/>
      <c r="Q21" s="214" t="s">
        <v>135</v>
      </c>
      <c r="R21" s="109">
        <f t="shared" si="16"/>
        <v>8000</v>
      </c>
      <c r="S21" s="109"/>
      <c r="T21" s="217"/>
      <c r="U21" s="109"/>
      <c r="V21" s="109"/>
      <c r="W21" s="217"/>
      <c r="X21" s="109"/>
      <c r="Y21" s="109"/>
      <c r="Z21" s="224"/>
      <c r="AA21" s="109"/>
      <c r="AB21" s="109"/>
      <c r="AC21" s="217"/>
      <c r="AD21" s="109"/>
      <c r="AE21" s="109"/>
      <c r="AF21" s="217"/>
      <c r="AG21" s="109"/>
      <c r="AH21" s="109"/>
      <c r="AI21" s="217"/>
      <c r="AJ21" s="109"/>
      <c r="AK21" s="117"/>
      <c r="AL21" s="108">
        <f t="shared" si="10"/>
        <v>0</v>
      </c>
      <c r="AM21" s="109">
        <f t="shared" si="11"/>
        <v>160000</v>
      </c>
      <c r="AN21" s="110">
        <f t="shared" si="12"/>
        <v>0</v>
      </c>
      <c r="AO21" s="109">
        <f t="shared" si="13"/>
        <v>160000</v>
      </c>
      <c r="AP21" s="117" t="str">
        <f t="shared" si="14"/>
        <v>数据正确</v>
      </c>
      <c r="AQ21" s="42"/>
      <c r="AR21" s="42"/>
    </row>
    <row r="22" s="37" customFormat="1" ht="15" customHeight="1" outlineLevel="1" spans="1:44">
      <c r="A22" s="130" t="str">
        <f t="shared" si="6"/>
        <v/>
      </c>
      <c r="B22" s="130" t="s">
        <v>83</v>
      </c>
      <c r="C22" s="130" t="s">
        <v>84</v>
      </c>
      <c r="D22" s="131">
        <v>2.5</v>
      </c>
      <c r="E22" s="133" t="s">
        <v>113</v>
      </c>
      <c r="F22" s="132" t="s">
        <v>22</v>
      </c>
      <c r="G22" s="134" t="s">
        <v>114</v>
      </c>
      <c r="H22" s="201">
        <v>42805</v>
      </c>
      <c r="I22" s="109">
        <v>20000</v>
      </c>
      <c r="J22" s="62" t="s">
        <v>142</v>
      </c>
      <c r="K22" s="132" t="s">
        <v>116</v>
      </c>
      <c r="L22" s="132" t="s">
        <v>117</v>
      </c>
      <c r="M22" s="213" t="s">
        <v>118</v>
      </c>
      <c r="N22" s="214" t="s">
        <v>134</v>
      </c>
      <c r="O22" s="109">
        <f t="shared" si="15"/>
        <v>19000</v>
      </c>
      <c r="P22" s="109"/>
      <c r="Q22" s="214" t="s">
        <v>135</v>
      </c>
      <c r="R22" s="109">
        <f t="shared" si="16"/>
        <v>1000</v>
      </c>
      <c r="S22" s="109"/>
      <c r="T22" s="217"/>
      <c r="U22" s="109"/>
      <c r="V22" s="109"/>
      <c r="W22" s="217"/>
      <c r="X22" s="109"/>
      <c r="Y22" s="109"/>
      <c r="Z22" s="224"/>
      <c r="AA22" s="109"/>
      <c r="AB22" s="109"/>
      <c r="AC22" s="217"/>
      <c r="AD22" s="109"/>
      <c r="AE22" s="109"/>
      <c r="AF22" s="217"/>
      <c r="AG22" s="109"/>
      <c r="AH22" s="109"/>
      <c r="AI22" s="217"/>
      <c r="AJ22" s="109"/>
      <c r="AK22" s="117"/>
      <c r="AL22" s="108">
        <f t="shared" ref="AL22:AL27" si="17">P22+S22+V22+Y22+AB22+AE22+AH22+AK22</f>
        <v>0</v>
      </c>
      <c r="AM22" s="109">
        <f t="shared" ref="AM22:AM27" si="18">I22-AL22</f>
        <v>20000</v>
      </c>
      <c r="AN22" s="110">
        <f t="shared" ref="AN22:AN27" si="19">AL22/I22</f>
        <v>0</v>
      </c>
      <c r="AO22" s="109">
        <f t="shared" ref="AO22:AO27" si="20">O22+R22+U22+X22+AA22+AD22+AG22+AJ22</f>
        <v>20000</v>
      </c>
      <c r="AP22" s="117" t="str">
        <f t="shared" ref="AP22:AP27" si="21">IF(AO22-I22=0,"数据正确","数据错误")</f>
        <v>数据正确</v>
      </c>
      <c r="AQ22" s="42"/>
      <c r="AR22" s="42"/>
    </row>
    <row r="23" s="37" customFormat="1" ht="15" customHeight="1" outlineLevel="1" spans="1:44">
      <c r="A23" s="130" t="str">
        <f t="shared" si="6"/>
        <v/>
      </c>
      <c r="B23" s="130" t="s">
        <v>83</v>
      </c>
      <c r="C23" s="130" t="s">
        <v>84</v>
      </c>
      <c r="D23" s="131">
        <v>2.5</v>
      </c>
      <c r="E23" s="133" t="s">
        <v>113</v>
      </c>
      <c r="F23" s="132" t="s">
        <v>22</v>
      </c>
      <c r="G23" s="134" t="s">
        <v>114</v>
      </c>
      <c r="H23" s="201">
        <v>42805</v>
      </c>
      <c r="I23" s="109">
        <v>200000</v>
      </c>
      <c r="J23" s="62" t="s">
        <v>143</v>
      </c>
      <c r="K23" s="132" t="s">
        <v>116</v>
      </c>
      <c r="L23" s="132" t="s">
        <v>117</v>
      </c>
      <c r="M23" s="213" t="s">
        <v>118</v>
      </c>
      <c r="N23" s="214" t="s">
        <v>134</v>
      </c>
      <c r="O23" s="109">
        <f t="shared" si="15"/>
        <v>190000</v>
      </c>
      <c r="P23" s="109"/>
      <c r="Q23" s="214" t="s">
        <v>135</v>
      </c>
      <c r="R23" s="109">
        <f t="shared" si="16"/>
        <v>10000</v>
      </c>
      <c r="S23" s="109"/>
      <c r="T23" s="217"/>
      <c r="U23" s="109"/>
      <c r="V23" s="109"/>
      <c r="W23" s="217"/>
      <c r="X23" s="109"/>
      <c r="Y23" s="109"/>
      <c r="Z23" s="224"/>
      <c r="AA23" s="109"/>
      <c r="AB23" s="109"/>
      <c r="AC23" s="217"/>
      <c r="AD23" s="109"/>
      <c r="AE23" s="109"/>
      <c r="AF23" s="217"/>
      <c r="AG23" s="109"/>
      <c r="AH23" s="109"/>
      <c r="AI23" s="217"/>
      <c r="AJ23" s="109"/>
      <c r="AK23" s="117"/>
      <c r="AL23" s="108">
        <f t="shared" si="17"/>
        <v>0</v>
      </c>
      <c r="AM23" s="109">
        <f t="shared" si="18"/>
        <v>200000</v>
      </c>
      <c r="AN23" s="110">
        <f t="shared" si="19"/>
        <v>0</v>
      </c>
      <c r="AO23" s="109">
        <f t="shared" si="20"/>
        <v>200000</v>
      </c>
      <c r="AP23" s="117" t="str">
        <f t="shared" si="21"/>
        <v>数据正确</v>
      </c>
      <c r="AQ23" s="42"/>
      <c r="AR23" s="42"/>
    </row>
    <row r="24" s="37" customFormat="1" ht="15" customHeight="1" outlineLevel="1" spans="1:44">
      <c r="A24" s="130" t="str">
        <f t="shared" si="6"/>
        <v/>
      </c>
      <c r="B24" s="130" t="s">
        <v>83</v>
      </c>
      <c r="C24" s="130" t="s">
        <v>84</v>
      </c>
      <c r="D24" s="131">
        <v>2.5</v>
      </c>
      <c r="E24" s="133" t="s">
        <v>113</v>
      </c>
      <c r="F24" s="132" t="s">
        <v>22</v>
      </c>
      <c r="G24" s="134" t="s">
        <v>114</v>
      </c>
      <c r="H24" s="201">
        <v>42805</v>
      </c>
      <c r="I24" s="109">
        <v>150000</v>
      </c>
      <c r="J24" s="62" t="s">
        <v>144</v>
      </c>
      <c r="K24" s="132" t="s">
        <v>116</v>
      </c>
      <c r="L24" s="132" t="s">
        <v>117</v>
      </c>
      <c r="M24" s="213" t="s">
        <v>118</v>
      </c>
      <c r="N24" s="214" t="s">
        <v>134</v>
      </c>
      <c r="O24" s="109">
        <f t="shared" si="15"/>
        <v>142500</v>
      </c>
      <c r="P24" s="109"/>
      <c r="Q24" s="214" t="s">
        <v>135</v>
      </c>
      <c r="R24" s="109">
        <f t="shared" si="16"/>
        <v>7500</v>
      </c>
      <c r="S24" s="109"/>
      <c r="T24" s="217"/>
      <c r="U24" s="109"/>
      <c r="V24" s="109"/>
      <c r="W24" s="217"/>
      <c r="X24" s="109"/>
      <c r="Y24" s="109"/>
      <c r="Z24" s="224"/>
      <c r="AA24" s="109"/>
      <c r="AB24" s="109"/>
      <c r="AC24" s="217"/>
      <c r="AD24" s="109"/>
      <c r="AE24" s="109"/>
      <c r="AF24" s="217"/>
      <c r="AG24" s="109"/>
      <c r="AH24" s="109"/>
      <c r="AI24" s="217"/>
      <c r="AJ24" s="109"/>
      <c r="AK24" s="117"/>
      <c r="AL24" s="108">
        <f t="shared" si="17"/>
        <v>0</v>
      </c>
      <c r="AM24" s="109">
        <f t="shared" si="18"/>
        <v>150000</v>
      </c>
      <c r="AN24" s="110">
        <f t="shared" si="19"/>
        <v>0</v>
      </c>
      <c r="AO24" s="109">
        <f t="shared" si="20"/>
        <v>150000</v>
      </c>
      <c r="AP24" s="117" t="str">
        <f t="shared" si="21"/>
        <v>数据正确</v>
      </c>
      <c r="AQ24" s="42"/>
      <c r="AR24" s="42"/>
    </row>
    <row r="25" s="37" customFormat="1" ht="15" customHeight="1" outlineLevel="1" spans="1:44">
      <c r="A25" s="130" t="str">
        <f t="shared" si="6"/>
        <v/>
      </c>
      <c r="B25" s="130" t="s">
        <v>83</v>
      </c>
      <c r="C25" s="130" t="s">
        <v>84</v>
      </c>
      <c r="D25" s="131">
        <v>2.5</v>
      </c>
      <c r="E25" s="133" t="s">
        <v>113</v>
      </c>
      <c r="F25" s="132" t="s">
        <v>22</v>
      </c>
      <c r="G25" s="134" t="s">
        <v>114</v>
      </c>
      <c r="H25" s="201">
        <v>42805</v>
      </c>
      <c r="I25" s="109">
        <v>200000</v>
      </c>
      <c r="J25" s="62" t="s">
        <v>145</v>
      </c>
      <c r="K25" s="132" t="s">
        <v>116</v>
      </c>
      <c r="L25" s="132" t="s">
        <v>117</v>
      </c>
      <c r="M25" s="213" t="s">
        <v>118</v>
      </c>
      <c r="N25" s="214" t="s">
        <v>134</v>
      </c>
      <c r="O25" s="109">
        <f t="shared" si="15"/>
        <v>190000</v>
      </c>
      <c r="P25" s="109">
        <f>118940</f>
        <v>118940</v>
      </c>
      <c r="Q25" s="214" t="s">
        <v>135</v>
      </c>
      <c r="R25" s="109">
        <f t="shared" si="16"/>
        <v>10000</v>
      </c>
      <c r="S25" s="109"/>
      <c r="T25" s="217"/>
      <c r="U25" s="109"/>
      <c r="V25" s="109"/>
      <c r="W25" s="217"/>
      <c r="X25" s="109"/>
      <c r="Y25" s="109"/>
      <c r="Z25" s="224"/>
      <c r="AA25" s="109"/>
      <c r="AB25" s="109"/>
      <c r="AC25" s="217"/>
      <c r="AD25" s="109"/>
      <c r="AE25" s="109"/>
      <c r="AF25" s="217"/>
      <c r="AG25" s="109"/>
      <c r="AH25" s="109"/>
      <c r="AI25" s="217"/>
      <c r="AJ25" s="109"/>
      <c r="AK25" s="117"/>
      <c r="AL25" s="108">
        <f t="shared" si="17"/>
        <v>118940</v>
      </c>
      <c r="AM25" s="109">
        <f t="shared" si="18"/>
        <v>81060</v>
      </c>
      <c r="AN25" s="110">
        <f t="shared" si="19"/>
        <v>0.5947</v>
      </c>
      <c r="AO25" s="109">
        <f t="shared" si="20"/>
        <v>200000</v>
      </c>
      <c r="AP25" s="117" t="str">
        <f t="shared" si="21"/>
        <v>数据正确</v>
      </c>
      <c r="AQ25" s="42"/>
      <c r="AR25" s="42"/>
    </row>
    <row r="26" s="41" customFormat="1" ht="15" customHeight="1" outlineLevel="1" spans="1:44">
      <c r="A26" s="203" t="str">
        <f t="shared" si="6"/>
        <v/>
      </c>
      <c r="B26" s="203" t="s">
        <v>83</v>
      </c>
      <c r="C26" s="203" t="s">
        <v>84</v>
      </c>
      <c r="D26" s="204">
        <v>2.5</v>
      </c>
      <c r="E26" s="177" t="s">
        <v>113</v>
      </c>
      <c r="F26" s="205" t="s">
        <v>22</v>
      </c>
      <c r="G26" s="206" t="s">
        <v>114</v>
      </c>
      <c r="H26" s="207">
        <v>42805</v>
      </c>
      <c r="I26" s="113">
        <v>9300000</v>
      </c>
      <c r="J26" s="67" t="s">
        <v>146</v>
      </c>
      <c r="K26" s="205" t="s">
        <v>116</v>
      </c>
      <c r="L26" s="205" t="s">
        <v>117</v>
      </c>
      <c r="M26" s="215" t="s">
        <v>118</v>
      </c>
      <c r="N26" s="216" t="s">
        <v>138</v>
      </c>
      <c r="O26" s="113">
        <f>I26*0.8</f>
        <v>7440000</v>
      </c>
      <c r="P26" s="113">
        <f>1594286+531428+531428</f>
        <v>2657142</v>
      </c>
      <c r="Q26" s="216" t="s">
        <v>139</v>
      </c>
      <c r="R26" s="113">
        <f>I26*0.2</f>
        <v>1860000</v>
      </c>
      <c r="S26" s="113"/>
      <c r="T26" s="223"/>
      <c r="U26" s="113"/>
      <c r="V26" s="113"/>
      <c r="W26" s="223"/>
      <c r="X26" s="113"/>
      <c r="Y26" s="113"/>
      <c r="Z26" s="225"/>
      <c r="AA26" s="113"/>
      <c r="AB26" s="113"/>
      <c r="AC26" s="223"/>
      <c r="AD26" s="113"/>
      <c r="AE26" s="113"/>
      <c r="AF26" s="223"/>
      <c r="AG26" s="113"/>
      <c r="AH26" s="113"/>
      <c r="AI26" s="223"/>
      <c r="AJ26" s="113"/>
      <c r="AK26" s="118"/>
      <c r="AL26" s="112">
        <f t="shared" si="17"/>
        <v>2657142</v>
      </c>
      <c r="AM26" s="113">
        <f t="shared" si="18"/>
        <v>6642858</v>
      </c>
      <c r="AN26" s="114">
        <f t="shared" si="19"/>
        <v>0.285714193548387</v>
      </c>
      <c r="AO26" s="113">
        <f t="shared" si="20"/>
        <v>9300000</v>
      </c>
      <c r="AP26" s="118" t="str">
        <f t="shared" si="21"/>
        <v>数据正确</v>
      </c>
      <c r="AQ26" s="227"/>
      <c r="AR26" s="227"/>
    </row>
    <row r="27" s="41" customFormat="1" ht="15" customHeight="1" outlineLevel="1" spans="1:44">
      <c r="A27" s="203" t="str">
        <f t="shared" si="6"/>
        <v/>
      </c>
      <c r="B27" s="203" t="s">
        <v>83</v>
      </c>
      <c r="C27" s="203" t="s">
        <v>84</v>
      </c>
      <c r="D27" s="204">
        <v>2.5</v>
      </c>
      <c r="E27" s="177" t="s">
        <v>113</v>
      </c>
      <c r="F27" s="205" t="s">
        <v>22</v>
      </c>
      <c r="G27" s="206" t="s">
        <v>114</v>
      </c>
      <c r="H27" s="207">
        <v>42805</v>
      </c>
      <c r="I27" s="113">
        <v>3159000</v>
      </c>
      <c r="J27" s="67" t="s">
        <v>147</v>
      </c>
      <c r="K27" s="205" t="s">
        <v>116</v>
      </c>
      <c r="L27" s="205" t="s">
        <v>117</v>
      </c>
      <c r="M27" s="215" t="s">
        <v>118</v>
      </c>
      <c r="N27" s="216" t="s">
        <v>138</v>
      </c>
      <c r="O27" s="113">
        <f>I27*0.8</f>
        <v>2527200</v>
      </c>
      <c r="P27" s="113">
        <f>541543+180514+180514</f>
        <v>902571</v>
      </c>
      <c r="Q27" s="216" t="s">
        <v>139</v>
      </c>
      <c r="R27" s="113">
        <f>I27*0.2</f>
        <v>631800</v>
      </c>
      <c r="S27" s="113"/>
      <c r="T27" s="223"/>
      <c r="U27" s="113"/>
      <c r="V27" s="113"/>
      <c r="W27" s="223"/>
      <c r="X27" s="113"/>
      <c r="Y27" s="113"/>
      <c r="Z27" s="225"/>
      <c r="AA27" s="113"/>
      <c r="AB27" s="113"/>
      <c r="AC27" s="223"/>
      <c r="AD27" s="113"/>
      <c r="AE27" s="113"/>
      <c r="AF27" s="223"/>
      <c r="AG27" s="113"/>
      <c r="AH27" s="113"/>
      <c r="AI27" s="223"/>
      <c r="AJ27" s="113"/>
      <c r="AK27" s="118"/>
      <c r="AL27" s="112">
        <f t="shared" si="17"/>
        <v>902571</v>
      </c>
      <c r="AM27" s="113">
        <f t="shared" si="18"/>
        <v>2256429</v>
      </c>
      <c r="AN27" s="114">
        <f t="shared" si="19"/>
        <v>0.285714150047483</v>
      </c>
      <c r="AO27" s="113">
        <f t="shared" si="20"/>
        <v>3159000</v>
      </c>
      <c r="AP27" s="118" t="str">
        <f t="shared" si="21"/>
        <v>数据正确</v>
      </c>
      <c r="AQ27" s="227"/>
      <c r="AR27" s="227"/>
    </row>
    <row r="28" s="37" customFormat="1" ht="15" customHeight="1" outlineLevel="1" spans="1:44">
      <c r="A28" s="130" t="str">
        <f t="shared" si="6"/>
        <v/>
      </c>
      <c r="B28" s="130" t="s">
        <v>83</v>
      </c>
      <c r="C28" s="130" t="s">
        <v>84</v>
      </c>
      <c r="D28" s="131">
        <v>2.6</v>
      </c>
      <c r="E28" s="133" t="s">
        <v>113</v>
      </c>
      <c r="F28" s="132" t="s">
        <v>22</v>
      </c>
      <c r="G28" s="134" t="s">
        <v>114</v>
      </c>
      <c r="H28" s="201">
        <v>42805</v>
      </c>
      <c r="I28" s="109">
        <v>70000</v>
      </c>
      <c r="J28" s="62" t="s">
        <v>148</v>
      </c>
      <c r="K28" s="132" t="s">
        <v>116</v>
      </c>
      <c r="L28" s="132" t="s">
        <v>117</v>
      </c>
      <c r="M28" s="213" t="s">
        <v>118</v>
      </c>
      <c r="N28" s="214" t="s">
        <v>149</v>
      </c>
      <c r="O28" s="109">
        <f>I28</f>
        <v>70000</v>
      </c>
      <c r="P28" s="109">
        <f>9332+4666+4666</f>
        <v>18664</v>
      </c>
      <c r="Q28" s="217" t="s">
        <v>75</v>
      </c>
      <c r="R28" s="109"/>
      <c r="S28" s="71"/>
      <c r="T28" s="217"/>
      <c r="U28" s="109"/>
      <c r="V28" s="109"/>
      <c r="W28" s="217"/>
      <c r="X28" s="109"/>
      <c r="Y28" s="109"/>
      <c r="Z28" s="224"/>
      <c r="AA28" s="109"/>
      <c r="AB28" s="109"/>
      <c r="AC28" s="217"/>
      <c r="AD28" s="109"/>
      <c r="AE28" s="109"/>
      <c r="AF28" s="217"/>
      <c r="AG28" s="109"/>
      <c r="AH28" s="109"/>
      <c r="AI28" s="217"/>
      <c r="AJ28" s="109"/>
      <c r="AK28" s="117"/>
      <c r="AL28" s="108">
        <f t="shared" ref="AL28:AL34" si="22">P28+S28+V28+Y28+AB28+AE28+AH28+AK28</f>
        <v>18664</v>
      </c>
      <c r="AM28" s="109">
        <f t="shared" ref="AM28:AM34" si="23">I28-AL28</f>
        <v>51336</v>
      </c>
      <c r="AN28" s="110">
        <f t="shared" ref="AN28:AN34" si="24">AL28/I28</f>
        <v>0.266628571428571</v>
      </c>
      <c r="AO28" s="109">
        <f t="shared" ref="AO28:AO34" si="25">O28+R28+U28+X28+AA28+AD28+AG28+AJ28</f>
        <v>70000</v>
      </c>
      <c r="AP28" s="117" t="str">
        <f t="shared" ref="AP28:AP33" si="26">IF(AO28-I28=0,"数据正确","数据错误")</f>
        <v>数据正确</v>
      </c>
      <c r="AQ28" s="42"/>
      <c r="AR28" s="42"/>
    </row>
    <row r="29" s="37" customFormat="1" ht="15" customHeight="1" outlineLevel="1" spans="1:44">
      <c r="A29" s="130" t="str">
        <f t="shared" si="6"/>
        <v/>
      </c>
      <c r="B29" s="130" t="s">
        <v>83</v>
      </c>
      <c r="C29" s="130" t="s">
        <v>84</v>
      </c>
      <c r="D29" s="131">
        <v>2.6</v>
      </c>
      <c r="E29" s="133" t="s">
        <v>113</v>
      </c>
      <c r="F29" s="132" t="s">
        <v>22</v>
      </c>
      <c r="G29" s="134" t="s">
        <v>114</v>
      </c>
      <c r="H29" s="201">
        <v>42805</v>
      </c>
      <c r="I29" s="109">
        <v>120000</v>
      </c>
      <c r="J29" s="62" t="s">
        <v>150</v>
      </c>
      <c r="K29" s="132" t="s">
        <v>116</v>
      </c>
      <c r="L29" s="132" t="s">
        <v>117</v>
      </c>
      <c r="M29" s="213" t="s">
        <v>118</v>
      </c>
      <c r="N29" s="214" t="s">
        <v>149</v>
      </c>
      <c r="O29" s="109">
        <f>I29</f>
        <v>120000</v>
      </c>
      <c r="P29" s="109">
        <f>16000+8000+8000</f>
        <v>32000</v>
      </c>
      <c r="Q29" s="217" t="s">
        <v>75</v>
      </c>
      <c r="R29" s="109"/>
      <c r="S29" s="71"/>
      <c r="T29" s="217"/>
      <c r="U29" s="109"/>
      <c r="V29" s="109"/>
      <c r="W29" s="217"/>
      <c r="X29" s="109"/>
      <c r="Y29" s="109"/>
      <c r="Z29" s="224"/>
      <c r="AA29" s="109"/>
      <c r="AB29" s="109"/>
      <c r="AC29" s="217"/>
      <c r="AD29" s="109"/>
      <c r="AE29" s="109"/>
      <c r="AF29" s="217"/>
      <c r="AG29" s="109"/>
      <c r="AH29" s="109"/>
      <c r="AI29" s="217"/>
      <c r="AJ29" s="109"/>
      <c r="AK29" s="117"/>
      <c r="AL29" s="108">
        <f t="shared" si="22"/>
        <v>32000</v>
      </c>
      <c r="AM29" s="109">
        <f t="shared" si="23"/>
        <v>88000</v>
      </c>
      <c r="AN29" s="110">
        <f t="shared" si="24"/>
        <v>0.266666666666667</v>
      </c>
      <c r="AO29" s="109">
        <f t="shared" si="25"/>
        <v>120000</v>
      </c>
      <c r="AP29" s="117" t="str">
        <f t="shared" si="26"/>
        <v>数据正确</v>
      </c>
      <c r="AQ29" s="42"/>
      <c r="AR29" s="42"/>
    </row>
    <row r="30" s="37" customFormat="1" ht="15" customHeight="1" outlineLevel="1" spans="1:44">
      <c r="A30" s="130" t="str">
        <f t="shared" si="6"/>
        <v/>
      </c>
      <c r="B30" s="130" t="s">
        <v>83</v>
      </c>
      <c r="C30" s="130" t="s">
        <v>84</v>
      </c>
      <c r="D30" s="131">
        <v>2.6</v>
      </c>
      <c r="E30" s="133" t="s">
        <v>113</v>
      </c>
      <c r="F30" s="132" t="s">
        <v>22</v>
      </c>
      <c r="G30" s="134" t="s">
        <v>114</v>
      </c>
      <c r="H30" s="201">
        <v>42805</v>
      </c>
      <c r="I30" s="109">
        <v>70000</v>
      </c>
      <c r="J30" s="62" t="s">
        <v>151</v>
      </c>
      <c r="K30" s="132" t="s">
        <v>116</v>
      </c>
      <c r="L30" s="132" t="s">
        <v>117</v>
      </c>
      <c r="M30" s="213" t="s">
        <v>118</v>
      </c>
      <c r="N30" s="214" t="s">
        <v>149</v>
      </c>
      <c r="O30" s="109">
        <f>I30</f>
        <v>70000</v>
      </c>
      <c r="P30" s="109">
        <f>9332+4666+4666</f>
        <v>18664</v>
      </c>
      <c r="Q30" s="217" t="s">
        <v>75</v>
      </c>
      <c r="R30" s="109"/>
      <c r="S30" s="71"/>
      <c r="T30" s="217"/>
      <c r="U30" s="109"/>
      <c r="V30" s="109"/>
      <c r="W30" s="217"/>
      <c r="X30" s="109"/>
      <c r="Y30" s="109"/>
      <c r="Z30" s="224"/>
      <c r="AA30" s="109"/>
      <c r="AB30" s="109"/>
      <c r="AC30" s="217"/>
      <c r="AD30" s="109"/>
      <c r="AE30" s="109"/>
      <c r="AF30" s="217"/>
      <c r="AG30" s="109"/>
      <c r="AH30" s="109"/>
      <c r="AI30" s="217"/>
      <c r="AJ30" s="109"/>
      <c r="AK30" s="117"/>
      <c r="AL30" s="108">
        <f t="shared" si="22"/>
        <v>18664</v>
      </c>
      <c r="AM30" s="109">
        <f t="shared" si="23"/>
        <v>51336</v>
      </c>
      <c r="AN30" s="110">
        <f t="shared" si="24"/>
        <v>0.266628571428571</v>
      </c>
      <c r="AO30" s="109">
        <f t="shared" si="25"/>
        <v>70000</v>
      </c>
      <c r="AP30" s="117" t="str">
        <f t="shared" si="26"/>
        <v>数据正确</v>
      </c>
      <c r="AQ30" s="42"/>
      <c r="AR30" s="42"/>
    </row>
    <row r="31" s="37" customFormat="1" ht="15" customHeight="1" outlineLevel="1" spans="1:44">
      <c r="A31" s="130" t="str">
        <f t="shared" si="6"/>
        <v/>
      </c>
      <c r="B31" s="130" t="s">
        <v>83</v>
      </c>
      <c r="C31" s="130" t="s">
        <v>84</v>
      </c>
      <c r="D31" s="131">
        <v>2.6</v>
      </c>
      <c r="E31" s="133" t="s">
        <v>113</v>
      </c>
      <c r="F31" s="132" t="s">
        <v>22</v>
      </c>
      <c r="G31" s="134" t="s">
        <v>114</v>
      </c>
      <c r="H31" s="201">
        <v>42805</v>
      </c>
      <c r="I31" s="109">
        <v>50000</v>
      </c>
      <c r="J31" s="62" t="s">
        <v>152</v>
      </c>
      <c r="K31" s="132" t="s">
        <v>116</v>
      </c>
      <c r="L31" s="132" t="s">
        <v>117</v>
      </c>
      <c r="M31" s="213" t="s">
        <v>118</v>
      </c>
      <c r="N31" s="214" t="s">
        <v>149</v>
      </c>
      <c r="O31" s="109">
        <f>I31</f>
        <v>50000</v>
      </c>
      <c r="P31" s="109">
        <f>6668+3333+3333</f>
        <v>13334</v>
      </c>
      <c r="Q31" s="217" t="s">
        <v>75</v>
      </c>
      <c r="R31" s="109"/>
      <c r="S31" s="71"/>
      <c r="T31" s="217"/>
      <c r="U31" s="109"/>
      <c r="V31" s="109"/>
      <c r="W31" s="217"/>
      <c r="X31" s="109"/>
      <c r="Y31" s="109"/>
      <c r="Z31" s="224"/>
      <c r="AA31" s="109"/>
      <c r="AB31" s="109"/>
      <c r="AC31" s="217"/>
      <c r="AD31" s="109"/>
      <c r="AE31" s="109"/>
      <c r="AF31" s="217"/>
      <c r="AG31" s="109"/>
      <c r="AH31" s="109"/>
      <c r="AI31" s="217"/>
      <c r="AJ31" s="109"/>
      <c r="AK31" s="117"/>
      <c r="AL31" s="108">
        <f t="shared" si="22"/>
        <v>13334</v>
      </c>
      <c r="AM31" s="109">
        <f t="shared" si="23"/>
        <v>36666</v>
      </c>
      <c r="AN31" s="110">
        <f t="shared" si="24"/>
        <v>0.26668</v>
      </c>
      <c r="AO31" s="109">
        <f t="shared" si="25"/>
        <v>50000</v>
      </c>
      <c r="AP31" s="117" t="str">
        <f t="shared" si="26"/>
        <v>数据正确</v>
      </c>
      <c r="AQ31" s="42"/>
      <c r="AR31" s="42"/>
    </row>
    <row r="32" s="37" customFormat="1" ht="15" customHeight="1" outlineLevel="1" spans="1:44">
      <c r="A32" s="130" t="str">
        <f t="shared" si="6"/>
        <v/>
      </c>
      <c r="B32" s="130" t="s">
        <v>83</v>
      </c>
      <c r="C32" s="130" t="s">
        <v>84</v>
      </c>
      <c r="D32" s="131">
        <v>2.6</v>
      </c>
      <c r="E32" s="133" t="s">
        <v>113</v>
      </c>
      <c r="F32" s="132" t="s">
        <v>22</v>
      </c>
      <c r="G32" s="134" t="s">
        <v>114</v>
      </c>
      <c r="H32" s="201">
        <v>42805</v>
      </c>
      <c r="I32" s="109">
        <v>800000</v>
      </c>
      <c r="J32" s="62" t="s">
        <v>153</v>
      </c>
      <c r="K32" s="132" t="s">
        <v>116</v>
      </c>
      <c r="L32" s="132" t="s">
        <v>117</v>
      </c>
      <c r="M32" s="213" t="s">
        <v>118</v>
      </c>
      <c r="N32" s="214" t="s">
        <v>138</v>
      </c>
      <c r="O32" s="109">
        <f>I32*0.8</f>
        <v>640000</v>
      </c>
      <c r="P32" s="109">
        <v>665000</v>
      </c>
      <c r="Q32" s="214" t="s">
        <v>139</v>
      </c>
      <c r="R32" s="109">
        <f>I32*0.2</f>
        <v>160000</v>
      </c>
      <c r="S32" s="71"/>
      <c r="T32" s="217"/>
      <c r="U32" s="109"/>
      <c r="V32" s="109"/>
      <c r="W32" s="217"/>
      <c r="X32" s="109"/>
      <c r="Y32" s="109"/>
      <c r="Z32" s="224"/>
      <c r="AA32" s="109"/>
      <c r="AB32" s="109"/>
      <c r="AC32" s="217"/>
      <c r="AD32" s="109"/>
      <c r="AE32" s="109"/>
      <c r="AF32" s="217"/>
      <c r="AG32" s="109"/>
      <c r="AH32" s="109"/>
      <c r="AI32" s="217"/>
      <c r="AJ32" s="109"/>
      <c r="AK32" s="117"/>
      <c r="AL32" s="108">
        <f t="shared" si="22"/>
        <v>665000</v>
      </c>
      <c r="AM32" s="109">
        <f t="shared" si="23"/>
        <v>135000</v>
      </c>
      <c r="AN32" s="110">
        <f t="shared" si="24"/>
        <v>0.83125</v>
      </c>
      <c r="AO32" s="109">
        <f t="shared" si="25"/>
        <v>800000</v>
      </c>
      <c r="AP32" s="117" t="str">
        <f t="shared" si="26"/>
        <v>数据正确</v>
      </c>
      <c r="AQ32" s="42"/>
      <c r="AR32" s="42"/>
    </row>
    <row r="33" s="37" customFormat="1" ht="15" customHeight="1" outlineLevel="1" spans="1:44">
      <c r="A33" s="130" t="str">
        <f t="shared" si="6"/>
        <v/>
      </c>
      <c r="B33" s="130" t="s">
        <v>83</v>
      </c>
      <c r="C33" s="130" t="s">
        <v>84</v>
      </c>
      <c r="D33" s="131">
        <v>2.6</v>
      </c>
      <c r="E33" s="133" t="s">
        <v>113</v>
      </c>
      <c r="F33" s="132" t="s">
        <v>22</v>
      </c>
      <c r="G33" s="134" t="s">
        <v>114</v>
      </c>
      <c r="H33" s="201">
        <v>42805</v>
      </c>
      <c r="I33" s="109">
        <v>200000</v>
      </c>
      <c r="J33" s="62" t="s">
        <v>154</v>
      </c>
      <c r="K33" s="132" t="s">
        <v>116</v>
      </c>
      <c r="L33" s="132" t="s">
        <v>117</v>
      </c>
      <c r="M33" s="213" t="s">
        <v>118</v>
      </c>
      <c r="N33" s="214" t="s">
        <v>149</v>
      </c>
      <c r="O33" s="109">
        <f>I33</f>
        <v>200000</v>
      </c>
      <c r="P33" s="109">
        <f>31668+15834+15834</f>
        <v>63336</v>
      </c>
      <c r="Q33" s="217" t="s">
        <v>75</v>
      </c>
      <c r="R33" s="109"/>
      <c r="S33" s="71"/>
      <c r="T33" s="217"/>
      <c r="U33" s="109"/>
      <c r="V33" s="109"/>
      <c r="W33" s="217"/>
      <c r="X33" s="109"/>
      <c r="Y33" s="109"/>
      <c r="Z33" s="224"/>
      <c r="AA33" s="109"/>
      <c r="AB33" s="109"/>
      <c r="AC33" s="217"/>
      <c r="AD33" s="109"/>
      <c r="AE33" s="109"/>
      <c r="AF33" s="217"/>
      <c r="AG33" s="109"/>
      <c r="AH33" s="109"/>
      <c r="AI33" s="217"/>
      <c r="AJ33" s="109"/>
      <c r="AK33" s="117"/>
      <c r="AL33" s="108">
        <f t="shared" si="22"/>
        <v>63336</v>
      </c>
      <c r="AM33" s="109">
        <f t="shared" si="23"/>
        <v>136664</v>
      </c>
      <c r="AN33" s="110">
        <f t="shared" si="24"/>
        <v>0.31668</v>
      </c>
      <c r="AO33" s="109">
        <f t="shared" si="25"/>
        <v>200000</v>
      </c>
      <c r="AP33" s="117" t="str">
        <f t="shared" si="26"/>
        <v>数据正确</v>
      </c>
      <c r="AQ33" s="42"/>
      <c r="AR33" s="42"/>
    </row>
    <row r="34" s="120" customFormat="1" customHeight="1" spans="1:44">
      <c r="A34" s="130" t="str">
        <f t="shared" si="6"/>
        <v/>
      </c>
      <c r="B34" s="130" t="s">
        <v>83</v>
      </c>
      <c r="C34" s="130" t="s">
        <v>84</v>
      </c>
      <c r="D34" s="202">
        <v>2</v>
      </c>
      <c r="E34" s="137" t="s">
        <v>113</v>
      </c>
      <c r="F34" s="136" t="s">
        <v>22</v>
      </c>
      <c r="G34" s="127" t="s">
        <v>114</v>
      </c>
      <c r="H34" s="138">
        <v>42805</v>
      </c>
      <c r="I34" s="155">
        <f>SUM(I13:I33)</f>
        <v>150000000</v>
      </c>
      <c r="J34" s="126" t="s">
        <v>155</v>
      </c>
      <c r="K34" s="136" t="s">
        <v>116</v>
      </c>
      <c r="L34" s="136" t="s">
        <v>117</v>
      </c>
      <c r="M34" s="218" t="s">
        <v>118</v>
      </c>
      <c r="N34" s="212" t="s">
        <v>75</v>
      </c>
      <c r="O34" s="219">
        <f>SUM(O13:O33)</f>
        <v>41912800</v>
      </c>
      <c r="P34" s="219">
        <f t="shared" ref="P34:AK34" si="27">SUM(P13:P33)</f>
        <v>18068318.6</v>
      </c>
      <c r="Q34" s="219" t="s">
        <v>75</v>
      </c>
      <c r="R34" s="219">
        <f t="shared" si="27"/>
        <v>33778600</v>
      </c>
      <c r="S34" s="219">
        <f t="shared" si="27"/>
        <v>8399050</v>
      </c>
      <c r="T34" s="219" t="s">
        <v>75</v>
      </c>
      <c r="U34" s="219">
        <f t="shared" si="27"/>
        <v>27310250</v>
      </c>
      <c r="V34" s="219">
        <f t="shared" si="27"/>
        <v>0</v>
      </c>
      <c r="W34" s="219" t="s">
        <v>75</v>
      </c>
      <c r="X34" s="219">
        <f t="shared" si="27"/>
        <v>6714050</v>
      </c>
      <c r="Y34" s="219">
        <f t="shared" si="27"/>
        <v>0</v>
      </c>
      <c r="Z34" s="219" t="s">
        <v>75</v>
      </c>
      <c r="AA34" s="219">
        <f t="shared" si="27"/>
        <v>13428100</v>
      </c>
      <c r="AB34" s="219">
        <f t="shared" si="27"/>
        <v>0</v>
      </c>
      <c r="AC34" s="219" t="s">
        <v>75</v>
      </c>
      <c r="AD34" s="219">
        <f t="shared" si="27"/>
        <v>13428100</v>
      </c>
      <c r="AE34" s="219">
        <f t="shared" si="27"/>
        <v>0</v>
      </c>
      <c r="AF34" s="219" t="s">
        <v>75</v>
      </c>
      <c r="AG34" s="219">
        <f t="shared" si="27"/>
        <v>6714050</v>
      </c>
      <c r="AH34" s="219">
        <f t="shared" si="27"/>
        <v>0</v>
      </c>
      <c r="AI34" s="219" t="s">
        <v>75</v>
      </c>
      <c r="AJ34" s="219">
        <f t="shared" si="27"/>
        <v>6714050</v>
      </c>
      <c r="AK34" s="226">
        <f t="shared" si="27"/>
        <v>0</v>
      </c>
      <c r="AL34" s="162">
        <f t="shared" si="22"/>
        <v>26467368.6</v>
      </c>
      <c r="AM34" s="155">
        <f t="shared" si="23"/>
        <v>123532631.4</v>
      </c>
      <c r="AN34" s="163">
        <f t="shared" si="24"/>
        <v>0.176449124</v>
      </c>
      <c r="AO34" s="155">
        <f t="shared" si="25"/>
        <v>150000000</v>
      </c>
      <c r="AP34" s="168" t="str">
        <f t="shared" ref="AP34:AP61" si="28">IF(AO34-I34=0,"数据正确","数据错误")</f>
        <v>数据正确</v>
      </c>
      <c r="AQ34" s="192" t="s">
        <v>156</v>
      </c>
      <c r="AR34" s="192" t="s">
        <v>112</v>
      </c>
    </row>
    <row r="35" s="37" customFormat="1" customHeight="1" outlineLevel="1" spans="1:44">
      <c r="A35" s="130" t="str">
        <f t="shared" si="6"/>
        <v/>
      </c>
      <c r="B35" s="130" t="s">
        <v>83</v>
      </c>
      <c r="C35" s="130" t="s">
        <v>84</v>
      </c>
      <c r="D35" s="131">
        <v>3.1</v>
      </c>
      <c r="E35" s="133" t="s">
        <v>157</v>
      </c>
      <c r="F35" s="132" t="s">
        <v>22</v>
      </c>
      <c r="G35" s="175" t="s">
        <v>158</v>
      </c>
      <c r="H35" s="201">
        <v>42806</v>
      </c>
      <c r="I35" s="109">
        <v>1800000</v>
      </c>
      <c r="J35" s="132" t="s">
        <v>159</v>
      </c>
      <c r="K35" s="154" t="s">
        <v>160</v>
      </c>
      <c r="L35" s="154" t="s">
        <v>161</v>
      </c>
      <c r="M35" s="220" t="s">
        <v>162</v>
      </c>
      <c r="N35" s="214" t="s">
        <v>163</v>
      </c>
      <c r="O35" s="109">
        <f>I35*0.1</f>
        <v>180000</v>
      </c>
      <c r="P35" s="109">
        <f>O35</f>
        <v>180000</v>
      </c>
      <c r="Q35" s="217" t="s">
        <v>164</v>
      </c>
      <c r="R35" s="109">
        <f>I35*0.3</f>
        <v>540000</v>
      </c>
      <c r="S35" s="109"/>
      <c r="T35" s="217" t="s">
        <v>103</v>
      </c>
      <c r="U35" s="109">
        <v>0</v>
      </c>
      <c r="V35" s="109"/>
      <c r="W35" s="217" t="s">
        <v>165</v>
      </c>
      <c r="X35" s="109">
        <f>I35*0.4</f>
        <v>720000</v>
      </c>
      <c r="Y35" s="109"/>
      <c r="Z35" s="224" t="s">
        <v>166</v>
      </c>
      <c r="AA35" s="109">
        <f>I35*0.05</f>
        <v>90000</v>
      </c>
      <c r="AB35" s="109"/>
      <c r="AC35" s="224" t="s">
        <v>167</v>
      </c>
      <c r="AD35" s="109">
        <f>I35*0.05</f>
        <v>90000</v>
      </c>
      <c r="AE35" s="109"/>
      <c r="AF35" s="224" t="s">
        <v>168</v>
      </c>
      <c r="AG35" s="109">
        <f>I35*0.05</f>
        <v>90000</v>
      </c>
      <c r="AH35" s="109"/>
      <c r="AI35" s="224" t="s">
        <v>169</v>
      </c>
      <c r="AJ35" s="109">
        <f>I35*0.05</f>
        <v>90000</v>
      </c>
      <c r="AK35" s="117"/>
      <c r="AL35" s="108">
        <f t="shared" ref="AL35:AL40" si="29">P35+S35+V35+Y35+AB35+AE35+AH35+AK35</f>
        <v>180000</v>
      </c>
      <c r="AM35" s="109">
        <f t="shared" ref="AM35:AM40" si="30">I35-AL35</f>
        <v>1620000</v>
      </c>
      <c r="AN35" s="110">
        <f t="shared" ref="AN35:AN40" si="31">AL35/I35</f>
        <v>0.1</v>
      </c>
      <c r="AO35" s="109">
        <f t="shared" ref="AO35:AO40" si="32">O35+R35+U35+X35+AA35+AD35+AG35+AJ35</f>
        <v>1800000</v>
      </c>
      <c r="AP35" s="117" t="str">
        <f t="shared" si="28"/>
        <v>数据正确</v>
      </c>
      <c r="AQ35" s="42"/>
      <c r="AR35" s="42"/>
    </row>
    <row r="36" s="37" customFormat="1" customHeight="1" outlineLevel="1" spans="1:44">
      <c r="A36" s="130" t="str">
        <f t="shared" si="6"/>
        <v/>
      </c>
      <c r="B36" s="130" t="s">
        <v>83</v>
      </c>
      <c r="C36" s="130" t="s">
        <v>84</v>
      </c>
      <c r="D36" s="131">
        <v>3.2</v>
      </c>
      <c r="E36" s="133" t="s">
        <v>157</v>
      </c>
      <c r="F36" s="132" t="s">
        <v>22</v>
      </c>
      <c r="G36" s="175" t="s">
        <v>158</v>
      </c>
      <c r="H36" s="201">
        <v>42806</v>
      </c>
      <c r="I36" s="109">
        <v>55471327</v>
      </c>
      <c r="J36" s="132" t="s">
        <v>170</v>
      </c>
      <c r="K36" s="154" t="s">
        <v>160</v>
      </c>
      <c r="L36" s="154" t="s">
        <v>161</v>
      </c>
      <c r="M36" s="220" t="s">
        <v>162</v>
      </c>
      <c r="N36" s="214" t="s">
        <v>163</v>
      </c>
      <c r="O36" s="109">
        <f>I36*0.1</f>
        <v>5547132.7</v>
      </c>
      <c r="P36" s="109">
        <f>O36</f>
        <v>5547132.7</v>
      </c>
      <c r="Q36" s="217" t="s">
        <v>171</v>
      </c>
      <c r="R36" s="109">
        <f>I36*0.4</f>
        <v>22188530.8</v>
      </c>
      <c r="S36" s="109"/>
      <c r="T36" s="217" t="s">
        <v>172</v>
      </c>
      <c r="U36" s="109">
        <f>I36*0.2</f>
        <v>11094265.4</v>
      </c>
      <c r="V36" s="109"/>
      <c r="W36" s="217" t="s">
        <v>173</v>
      </c>
      <c r="X36" s="109">
        <f>I36*0.1</f>
        <v>5547132.7</v>
      </c>
      <c r="Y36" s="109"/>
      <c r="Z36" s="224" t="s">
        <v>166</v>
      </c>
      <c r="AA36" s="109">
        <f>I36*0.05</f>
        <v>2773566.35</v>
      </c>
      <c r="AB36" s="109"/>
      <c r="AC36" s="224" t="s">
        <v>167</v>
      </c>
      <c r="AD36" s="109">
        <f>I36*0.05</f>
        <v>2773566.35</v>
      </c>
      <c r="AE36" s="109"/>
      <c r="AF36" s="224" t="s">
        <v>168</v>
      </c>
      <c r="AG36" s="109">
        <f>I36*0.05</f>
        <v>2773566.35</v>
      </c>
      <c r="AH36" s="109"/>
      <c r="AI36" s="224" t="s">
        <v>169</v>
      </c>
      <c r="AJ36" s="109">
        <f>I36*0.05</f>
        <v>2773566.35</v>
      </c>
      <c r="AK36" s="117"/>
      <c r="AL36" s="108">
        <f t="shared" si="29"/>
        <v>5547132.7</v>
      </c>
      <c r="AM36" s="109">
        <f t="shared" si="30"/>
        <v>49924194.3</v>
      </c>
      <c r="AN36" s="110">
        <f t="shared" si="31"/>
        <v>0.1</v>
      </c>
      <c r="AO36" s="109">
        <f t="shared" si="32"/>
        <v>55471327</v>
      </c>
      <c r="AP36" s="117" t="str">
        <f t="shared" si="28"/>
        <v>数据正确</v>
      </c>
      <c r="AQ36" s="42"/>
      <c r="AR36" s="42"/>
    </row>
    <row r="37" s="37" customFormat="1" customHeight="1" outlineLevel="1" spans="1:44">
      <c r="A37" s="130" t="str">
        <f t="shared" si="6"/>
        <v/>
      </c>
      <c r="B37" s="130" t="s">
        <v>83</v>
      </c>
      <c r="C37" s="130" t="s">
        <v>84</v>
      </c>
      <c r="D37" s="131">
        <v>3.3</v>
      </c>
      <c r="E37" s="133" t="s">
        <v>157</v>
      </c>
      <c r="F37" s="132" t="s">
        <v>22</v>
      </c>
      <c r="G37" s="175" t="s">
        <v>158</v>
      </c>
      <c r="H37" s="201">
        <v>42806</v>
      </c>
      <c r="I37" s="109">
        <v>2428673</v>
      </c>
      <c r="J37" s="132" t="s">
        <v>174</v>
      </c>
      <c r="K37" s="154" t="s">
        <v>160</v>
      </c>
      <c r="L37" s="154" t="s">
        <v>161</v>
      </c>
      <c r="M37" s="220" t="s">
        <v>162</v>
      </c>
      <c r="N37" s="214" t="s">
        <v>163</v>
      </c>
      <c r="O37" s="109">
        <f>I37*0.1</f>
        <v>242867.3</v>
      </c>
      <c r="P37" s="109">
        <f>O37</f>
        <v>242867.3</v>
      </c>
      <c r="Q37" s="217" t="s">
        <v>171</v>
      </c>
      <c r="R37" s="109">
        <f>I37*0.4</f>
        <v>971469.2</v>
      </c>
      <c r="S37" s="109"/>
      <c r="T37" s="217" t="s">
        <v>172</v>
      </c>
      <c r="U37" s="109">
        <f>I37*0.2</f>
        <v>485734.6</v>
      </c>
      <c r="V37" s="109"/>
      <c r="W37" s="217" t="s">
        <v>173</v>
      </c>
      <c r="X37" s="109">
        <f>I37*0.1</f>
        <v>242867.3</v>
      </c>
      <c r="Y37" s="109"/>
      <c r="Z37" s="224" t="s">
        <v>166</v>
      </c>
      <c r="AA37" s="109">
        <f>I37*0.05</f>
        <v>121433.65</v>
      </c>
      <c r="AB37" s="109"/>
      <c r="AC37" s="224" t="s">
        <v>167</v>
      </c>
      <c r="AD37" s="109">
        <f>I37*0.05</f>
        <v>121433.65</v>
      </c>
      <c r="AE37" s="109"/>
      <c r="AF37" s="224" t="s">
        <v>168</v>
      </c>
      <c r="AG37" s="109">
        <f>I37*0.05</f>
        <v>121433.65</v>
      </c>
      <c r="AH37" s="109"/>
      <c r="AI37" s="224" t="s">
        <v>169</v>
      </c>
      <c r="AJ37" s="109">
        <f>I37*0.05</f>
        <v>121433.65</v>
      </c>
      <c r="AK37" s="117"/>
      <c r="AL37" s="108">
        <f t="shared" si="29"/>
        <v>242867.3</v>
      </c>
      <c r="AM37" s="109">
        <f t="shared" si="30"/>
        <v>2185805.7</v>
      </c>
      <c r="AN37" s="110">
        <f t="shared" si="31"/>
        <v>0.1</v>
      </c>
      <c r="AO37" s="109">
        <f t="shared" si="32"/>
        <v>2428673</v>
      </c>
      <c r="AP37" s="117" t="str">
        <f t="shared" si="28"/>
        <v>数据正确</v>
      </c>
      <c r="AQ37" s="42"/>
      <c r="AR37" s="42"/>
    </row>
    <row r="38" s="37" customFormat="1" customHeight="1" outlineLevel="1" spans="1:44">
      <c r="A38" s="130" t="str">
        <f t="shared" si="6"/>
        <v/>
      </c>
      <c r="B38" s="130" t="s">
        <v>83</v>
      </c>
      <c r="C38" s="130" t="s">
        <v>84</v>
      </c>
      <c r="D38" s="131">
        <v>3.4</v>
      </c>
      <c r="E38" s="133" t="s">
        <v>157</v>
      </c>
      <c r="F38" s="132" t="s">
        <v>22</v>
      </c>
      <c r="G38" s="175" t="s">
        <v>158</v>
      </c>
      <c r="H38" s="201">
        <v>42806</v>
      </c>
      <c r="I38" s="109">
        <v>11000000</v>
      </c>
      <c r="J38" s="132" t="s">
        <v>175</v>
      </c>
      <c r="K38" s="154" t="s">
        <v>160</v>
      </c>
      <c r="L38" s="154" t="s">
        <v>161</v>
      </c>
      <c r="M38" s="220" t="s">
        <v>162</v>
      </c>
      <c r="N38" s="214" t="s">
        <v>103</v>
      </c>
      <c r="O38" s="109">
        <v>0</v>
      </c>
      <c r="P38" s="109">
        <f>O38</f>
        <v>0</v>
      </c>
      <c r="Q38" s="214" t="s">
        <v>103</v>
      </c>
      <c r="R38" s="109">
        <v>0</v>
      </c>
      <c r="S38" s="109"/>
      <c r="T38" s="217" t="s">
        <v>176</v>
      </c>
      <c r="U38" s="109">
        <f>I38*0.7</f>
        <v>7700000</v>
      </c>
      <c r="V38" s="109"/>
      <c r="W38" s="217" t="s">
        <v>173</v>
      </c>
      <c r="X38" s="109">
        <f>I38*0.1</f>
        <v>1100000</v>
      </c>
      <c r="Y38" s="109"/>
      <c r="Z38" s="224" t="s">
        <v>166</v>
      </c>
      <c r="AA38" s="109">
        <f>I38*0.05</f>
        <v>550000</v>
      </c>
      <c r="AB38" s="109"/>
      <c r="AC38" s="224" t="s">
        <v>167</v>
      </c>
      <c r="AD38" s="109">
        <f>I38*0.05</f>
        <v>550000</v>
      </c>
      <c r="AE38" s="109"/>
      <c r="AF38" s="224" t="s">
        <v>168</v>
      </c>
      <c r="AG38" s="109">
        <f>I38*0.05</f>
        <v>550000</v>
      </c>
      <c r="AH38" s="109"/>
      <c r="AI38" s="224" t="s">
        <v>169</v>
      </c>
      <c r="AJ38" s="109">
        <f>I38*0.05</f>
        <v>550000</v>
      </c>
      <c r="AK38" s="117"/>
      <c r="AL38" s="108">
        <f t="shared" si="29"/>
        <v>0</v>
      </c>
      <c r="AM38" s="109">
        <f t="shared" si="30"/>
        <v>11000000</v>
      </c>
      <c r="AN38" s="110">
        <f t="shared" si="31"/>
        <v>0</v>
      </c>
      <c r="AO38" s="109">
        <f t="shared" si="32"/>
        <v>11000000</v>
      </c>
      <c r="AP38" s="117" t="str">
        <f t="shared" si="28"/>
        <v>数据正确</v>
      </c>
      <c r="AQ38" s="42"/>
      <c r="AR38" s="42"/>
    </row>
    <row r="39" s="37" customFormat="1" customHeight="1" outlineLevel="1" spans="1:44">
      <c r="A39" s="130" t="str">
        <f t="shared" ref="A39:A59" si="33">IF(AN39=100%,"已完毕","")</f>
        <v/>
      </c>
      <c r="B39" s="130" t="s">
        <v>83</v>
      </c>
      <c r="C39" s="130" t="s">
        <v>84</v>
      </c>
      <c r="D39" s="131">
        <v>3.5</v>
      </c>
      <c r="E39" s="133" t="s">
        <v>157</v>
      </c>
      <c r="F39" s="132" t="s">
        <v>22</v>
      </c>
      <c r="G39" s="175" t="s">
        <v>158</v>
      </c>
      <c r="H39" s="201">
        <v>42806</v>
      </c>
      <c r="I39" s="109">
        <v>13900000</v>
      </c>
      <c r="J39" s="132" t="s">
        <v>177</v>
      </c>
      <c r="K39" s="154" t="s">
        <v>160</v>
      </c>
      <c r="L39" s="154" t="s">
        <v>161</v>
      </c>
      <c r="M39" s="220" t="s">
        <v>162</v>
      </c>
      <c r="N39" s="214" t="s">
        <v>103</v>
      </c>
      <c r="O39" s="109">
        <v>0</v>
      </c>
      <c r="P39" s="109">
        <f>O39</f>
        <v>0</v>
      </c>
      <c r="Q39" s="217" t="s">
        <v>171</v>
      </c>
      <c r="R39" s="109">
        <v>0</v>
      </c>
      <c r="S39" s="109"/>
      <c r="T39" s="217" t="s">
        <v>176</v>
      </c>
      <c r="U39" s="109">
        <f>I39*0.7</f>
        <v>9730000</v>
      </c>
      <c r="V39" s="109"/>
      <c r="W39" s="217" t="s">
        <v>173</v>
      </c>
      <c r="X39" s="109">
        <f>I39*0.1</f>
        <v>1390000</v>
      </c>
      <c r="Y39" s="109"/>
      <c r="Z39" s="224" t="s">
        <v>166</v>
      </c>
      <c r="AA39" s="109">
        <f>I39*0.05</f>
        <v>695000</v>
      </c>
      <c r="AB39" s="109"/>
      <c r="AC39" s="224" t="s">
        <v>167</v>
      </c>
      <c r="AD39" s="109">
        <f>I39*0.05</f>
        <v>695000</v>
      </c>
      <c r="AE39" s="109"/>
      <c r="AF39" s="224" t="s">
        <v>168</v>
      </c>
      <c r="AG39" s="109">
        <f>I39*0.05</f>
        <v>695000</v>
      </c>
      <c r="AH39" s="109"/>
      <c r="AI39" s="224" t="s">
        <v>169</v>
      </c>
      <c r="AJ39" s="109">
        <f>I39*0.05</f>
        <v>695000</v>
      </c>
      <c r="AK39" s="117"/>
      <c r="AL39" s="108">
        <f t="shared" si="29"/>
        <v>0</v>
      </c>
      <c r="AM39" s="109">
        <f t="shared" si="30"/>
        <v>13900000</v>
      </c>
      <c r="AN39" s="110">
        <f t="shared" si="31"/>
        <v>0</v>
      </c>
      <c r="AO39" s="109">
        <f t="shared" si="32"/>
        <v>13900000</v>
      </c>
      <c r="AP39" s="117" t="str">
        <f t="shared" si="28"/>
        <v>数据正确</v>
      </c>
      <c r="AQ39" s="42"/>
      <c r="AR39" s="42"/>
    </row>
    <row r="40" s="120" customFormat="1" customHeight="1" spans="1:44">
      <c r="A40" s="130" t="str">
        <f t="shared" si="33"/>
        <v/>
      </c>
      <c r="B40" s="130" t="s">
        <v>83</v>
      </c>
      <c r="C40" s="130" t="s">
        <v>84</v>
      </c>
      <c r="D40" s="202">
        <v>3</v>
      </c>
      <c r="E40" s="137" t="s">
        <v>157</v>
      </c>
      <c r="F40" s="136" t="s">
        <v>22</v>
      </c>
      <c r="G40" s="176" t="s">
        <v>158</v>
      </c>
      <c r="H40" s="138">
        <v>42806</v>
      </c>
      <c r="I40" s="155">
        <f>SUM(I35:I39)</f>
        <v>84600000</v>
      </c>
      <c r="J40" s="136" t="s">
        <v>178</v>
      </c>
      <c r="K40" s="221" t="s">
        <v>160</v>
      </c>
      <c r="L40" s="221" t="s">
        <v>161</v>
      </c>
      <c r="M40" s="218" t="s">
        <v>162</v>
      </c>
      <c r="N40" s="212" t="s">
        <v>75</v>
      </c>
      <c r="O40" s="155">
        <f>SUM(O35:O39)</f>
        <v>5970000</v>
      </c>
      <c r="P40" s="155">
        <f t="shared" ref="P40:AK40" si="34">SUM(P35:P39)</f>
        <v>5970000</v>
      </c>
      <c r="Q40" s="155" t="s">
        <v>75</v>
      </c>
      <c r="R40" s="155">
        <f t="shared" si="34"/>
        <v>23700000</v>
      </c>
      <c r="S40" s="155">
        <f t="shared" si="34"/>
        <v>0</v>
      </c>
      <c r="T40" s="155" t="s">
        <v>75</v>
      </c>
      <c r="U40" s="155">
        <f t="shared" si="34"/>
        <v>29010000</v>
      </c>
      <c r="V40" s="155">
        <f t="shared" si="34"/>
        <v>0</v>
      </c>
      <c r="W40" s="155" t="s">
        <v>75</v>
      </c>
      <c r="X40" s="155">
        <f t="shared" si="34"/>
        <v>9000000</v>
      </c>
      <c r="Y40" s="155">
        <f t="shared" si="34"/>
        <v>0</v>
      </c>
      <c r="Z40" s="155" t="s">
        <v>75</v>
      </c>
      <c r="AA40" s="155">
        <f t="shared" si="34"/>
        <v>4230000</v>
      </c>
      <c r="AB40" s="155">
        <f t="shared" si="34"/>
        <v>0</v>
      </c>
      <c r="AC40" s="155" t="s">
        <v>75</v>
      </c>
      <c r="AD40" s="155">
        <f t="shared" si="34"/>
        <v>4230000</v>
      </c>
      <c r="AE40" s="155">
        <f t="shared" si="34"/>
        <v>0</v>
      </c>
      <c r="AF40" s="155" t="s">
        <v>75</v>
      </c>
      <c r="AG40" s="155">
        <f t="shared" si="34"/>
        <v>4230000</v>
      </c>
      <c r="AH40" s="155">
        <f t="shared" si="34"/>
        <v>0</v>
      </c>
      <c r="AI40" s="155" t="s">
        <v>75</v>
      </c>
      <c r="AJ40" s="155">
        <f t="shared" si="34"/>
        <v>4230000</v>
      </c>
      <c r="AK40" s="168">
        <f t="shared" si="34"/>
        <v>0</v>
      </c>
      <c r="AL40" s="162">
        <f t="shared" si="29"/>
        <v>5970000</v>
      </c>
      <c r="AM40" s="155">
        <f t="shared" si="30"/>
        <v>78630000</v>
      </c>
      <c r="AN40" s="163">
        <f t="shared" si="31"/>
        <v>0.0705673758865248</v>
      </c>
      <c r="AO40" s="155">
        <f t="shared" si="32"/>
        <v>84600000</v>
      </c>
      <c r="AP40" s="168" t="str">
        <f t="shared" si="28"/>
        <v>数据正确</v>
      </c>
      <c r="AQ40" s="192"/>
      <c r="AR40" s="192"/>
    </row>
    <row r="41" s="37" customFormat="1" customHeight="1" outlineLevel="1" spans="1:44">
      <c r="A41" s="130" t="str">
        <f t="shared" si="33"/>
        <v/>
      </c>
      <c r="B41" s="130" t="s">
        <v>83</v>
      </c>
      <c r="C41" s="130" t="s">
        <v>84</v>
      </c>
      <c r="D41" s="131">
        <v>4.1</v>
      </c>
      <c r="E41" s="133" t="s">
        <v>179</v>
      </c>
      <c r="F41" s="132" t="s">
        <v>22</v>
      </c>
      <c r="G41" s="174" t="s">
        <v>180</v>
      </c>
      <c r="H41" s="135">
        <v>42816</v>
      </c>
      <c r="I41" s="109">
        <v>80000</v>
      </c>
      <c r="J41" s="132" t="s">
        <v>181</v>
      </c>
      <c r="K41" s="132" t="s">
        <v>182</v>
      </c>
      <c r="L41" s="132" t="s">
        <v>183</v>
      </c>
      <c r="M41" s="213" t="s">
        <v>184</v>
      </c>
      <c r="N41" s="214" t="s">
        <v>185</v>
      </c>
      <c r="O41" s="109">
        <f>I41*0.15</f>
        <v>12000</v>
      </c>
      <c r="P41" s="109">
        <f>O41</f>
        <v>12000</v>
      </c>
      <c r="Q41" s="217" t="s">
        <v>186</v>
      </c>
      <c r="R41" s="109">
        <f>I41*0.35</f>
        <v>28000</v>
      </c>
      <c r="S41" s="109"/>
      <c r="T41" s="217" t="s">
        <v>187</v>
      </c>
      <c r="U41" s="109">
        <f>I41*0.2</f>
        <v>16000</v>
      </c>
      <c r="V41" s="109"/>
      <c r="W41" s="217" t="s">
        <v>188</v>
      </c>
      <c r="X41" s="109">
        <f>I41*0.1</f>
        <v>8000</v>
      </c>
      <c r="Y41" s="109"/>
      <c r="Z41" s="217" t="s">
        <v>189</v>
      </c>
      <c r="AA41" s="109">
        <f>I41*0.1</f>
        <v>8000</v>
      </c>
      <c r="AB41" s="109"/>
      <c r="AC41" s="217" t="s">
        <v>190</v>
      </c>
      <c r="AD41" s="109">
        <f>I41*0.05</f>
        <v>4000</v>
      </c>
      <c r="AE41" s="109"/>
      <c r="AF41" s="217" t="s">
        <v>191</v>
      </c>
      <c r="AG41" s="109">
        <f>I41*0.05</f>
        <v>4000</v>
      </c>
      <c r="AH41" s="109"/>
      <c r="AI41" s="109"/>
      <c r="AJ41" s="109"/>
      <c r="AK41" s="117"/>
      <c r="AL41" s="108">
        <f t="shared" ref="AL41:AL48" si="35">P41+S41+V41+Y41+AB41+AE41+AH41+AK41</f>
        <v>12000</v>
      </c>
      <c r="AM41" s="109">
        <f t="shared" ref="AM41:AM48" si="36">I41-AL41</f>
        <v>68000</v>
      </c>
      <c r="AN41" s="110">
        <f t="shared" ref="AN41:AN48" si="37">AL41/I41</f>
        <v>0.15</v>
      </c>
      <c r="AO41" s="109">
        <f t="shared" ref="AO41:AO48" si="38">O41+R41+U41+X41+AA41+AD41+AG41+AJ41</f>
        <v>80000</v>
      </c>
      <c r="AP41" s="117" t="str">
        <f t="shared" si="28"/>
        <v>数据正确</v>
      </c>
      <c r="AQ41" s="42"/>
      <c r="AR41" s="42"/>
    </row>
    <row r="42" s="37" customFormat="1" customHeight="1" outlineLevel="1" spans="1:44">
      <c r="A42" s="130" t="str">
        <f t="shared" si="33"/>
        <v/>
      </c>
      <c r="B42" s="130" t="s">
        <v>83</v>
      </c>
      <c r="C42" s="130" t="s">
        <v>84</v>
      </c>
      <c r="D42" s="131">
        <v>4.2</v>
      </c>
      <c r="E42" s="133" t="s">
        <v>179</v>
      </c>
      <c r="F42" s="132" t="s">
        <v>22</v>
      </c>
      <c r="G42" s="174" t="s">
        <v>180</v>
      </c>
      <c r="H42" s="135">
        <v>42816</v>
      </c>
      <c r="I42" s="109">
        <v>9490000</v>
      </c>
      <c r="J42" s="132" t="s">
        <v>192</v>
      </c>
      <c r="K42" s="132" t="s">
        <v>182</v>
      </c>
      <c r="L42" s="132" t="s">
        <v>183</v>
      </c>
      <c r="M42" s="213" t="s">
        <v>184</v>
      </c>
      <c r="N42" s="214" t="s">
        <v>185</v>
      </c>
      <c r="O42" s="109">
        <f t="shared" ref="O42:O47" si="39">I42*0.15</f>
        <v>1423500</v>
      </c>
      <c r="P42" s="109">
        <f t="shared" ref="P42:P47" si="40">O42</f>
        <v>1423500</v>
      </c>
      <c r="Q42" s="217" t="s">
        <v>186</v>
      </c>
      <c r="R42" s="109">
        <f t="shared" ref="R42:R47" si="41">I42*0.35</f>
        <v>3321500</v>
      </c>
      <c r="S42" s="109"/>
      <c r="T42" s="217" t="s">
        <v>187</v>
      </c>
      <c r="U42" s="109">
        <f t="shared" ref="U42:U47" si="42">I42*0.2</f>
        <v>1898000</v>
      </c>
      <c r="V42" s="109"/>
      <c r="W42" s="217" t="s">
        <v>188</v>
      </c>
      <c r="X42" s="109">
        <f t="shared" ref="X42:X47" si="43">I42*0.1</f>
        <v>949000</v>
      </c>
      <c r="Y42" s="109"/>
      <c r="Z42" s="217" t="s">
        <v>193</v>
      </c>
      <c r="AA42" s="109">
        <f t="shared" ref="AA42:AA47" si="44">I42*0.1</f>
        <v>949000</v>
      </c>
      <c r="AB42" s="109"/>
      <c r="AC42" s="217" t="s">
        <v>194</v>
      </c>
      <c r="AD42" s="109">
        <f t="shared" ref="AD42:AD47" si="45">I42*0.05</f>
        <v>474500</v>
      </c>
      <c r="AE42" s="109"/>
      <c r="AF42" s="217" t="s">
        <v>191</v>
      </c>
      <c r="AG42" s="109">
        <f t="shared" ref="AG42:AG47" si="46">I42*0.05</f>
        <v>474500</v>
      </c>
      <c r="AH42" s="109"/>
      <c r="AI42" s="109"/>
      <c r="AJ42" s="109"/>
      <c r="AK42" s="117"/>
      <c r="AL42" s="108">
        <f t="shared" si="35"/>
        <v>1423500</v>
      </c>
      <c r="AM42" s="109">
        <f t="shared" si="36"/>
        <v>8066500</v>
      </c>
      <c r="AN42" s="110">
        <f t="shared" si="37"/>
        <v>0.15</v>
      </c>
      <c r="AO42" s="109">
        <f t="shared" si="38"/>
        <v>9490000</v>
      </c>
      <c r="AP42" s="117" t="str">
        <f t="shared" si="28"/>
        <v>数据正确</v>
      </c>
      <c r="AQ42" s="42"/>
      <c r="AR42" s="42"/>
    </row>
    <row r="43" s="37" customFormat="1" customHeight="1" outlineLevel="1" spans="1:44">
      <c r="A43" s="130" t="str">
        <f t="shared" si="33"/>
        <v/>
      </c>
      <c r="B43" s="130" t="s">
        <v>83</v>
      </c>
      <c r="C43" s="130" t="s">
        <v>84</v>
      </c>
      <c r="D43" s="131">
        <v>4.3</v>
      </c>
      <c r="E43" s="133" t="s">
        <v>179</v>
      </c>
      <c r="F43" s="132" t="s">
        <v>22</v>
      </c>
      <c r="G43" s="174" t="s">
        <v>180</v>
      </c>
      <c r="H43" s="135">
        <v>42816</v>
      </c>
      <c r="I43" s="109">
        <v>70000</v>
      </c>
      <c r="J43" s="132" t="s">
        <v>195</v>
      </c>
      <c r="K43" s="132" t="s">
        <v>182</v>
      </c>
      <c r="L43" s="132" t="s">
        <v>183</v>
      </c>
      <c r="M43" s="213" t="s">
        <v>184</v>
      </c>
      <c r="N43" s="214" t="s">
        <v>185</v>
      </c>
      <c r="O43" s="109">
        <f t="shared" si="39"/>
        <v>10500</v>
      </c>
      <c r="P43" s="109">
        <f t="shared" si="40"/>
        <v>10500</v>
      </c>
      <c r="Q43" s="217" t="s">
        <v>186</v>
      </c>
      <c r="R43" s="109">
        <f t="shared" si="41"/>
        <v>24500</v>
      </c>
      <c r="S43" s="109"/>
      <c r="T43" s="217" t="s">
        <v>187</v>
      </c>
      <c r="U43" s="109">
        <f t="shared" si="42"/>
        <v>14000</v>
      </c>
      <c r="V43" s="109"/>
      <c r="W43" s="217" t="s">
        <v>188</v>
      </c>
      <c r="X43" s="109">
        <f t="shared" si="43"/>
        <v>7000</v>
      </c>
      <c r="Y43" s="109"/>
      <c r="Z43" s="217" t="s">
        <v>196</v>
      </c>
      <c r="AA43" s="109">
        <f t="shared" si="44"/>
        <v>7000</v>
      </c>
      <c r="AB43" s="109"/>
      <c r="AC43" s="217" t="s">
        <v>197</v>
      </c>
      <c r="AD43" s="109">
        <f t="shared" si="45"/>
        <v>3500</v>
      </c>
      <c r="AE43" s="109"/>
      <c r="AF43" s="217" t="s">
        <v>191</v>
      </c>
      <c r="AG43" s="109">
        <f t="shared" si="46"/>
        <v>3500</v>
      </c>
      <c r="AH43" s="109"/>
      <c r="AI43" s="109"/>
      <c r="AJ43" s="109"/>
      <c r="AK43" s="117"/>
      <c r="AL43" s="108">
        <f t="shared" si="35"/>
        <v>10500</v>
      </c>
      <c r="AM43" s="109">
        <f t="shared" si="36"/>
        <v>59500</v>
      </c>
      <c r="AN43" s="110">
        <f t="shared" si="37"/>
        <v>0.15</v>
      </c>
      <c r="AO43" s="109">
        <f t="shared" si="38"/>
        <v>70000</v>
      </c>
      <c r="AP43" s="117" t="str">
        <f t="shared" si="28"/>
        <v>数据正确</v>
      </c>
      <c r="AQ43" s="42"/>
      <c r="AR43" s="42"/>
    </row>
    <row r="44" s="37" customFormat="1" customHeight="1" outlineLevel="1" spans="1:44">
      <c r="A44" s="130" t="str">
        <f t="shared" si="33"/>
        <v/>
      </c>
      <c r="B44" s="130" t="s">
        <v>83</v>
      </c>
      <c r="C44" s="130" t="s">
        <v>84</v>
      </c>
      <c r="D44" s="131">
        <v>4.4</v>
      </c>
      <c r="E44" s="133" t="s">
        <v>179</v>
      </c>
      <c r="F44" s="132" t="s">
        <v>22</v>
      </c>
      <c r="G44" s="174" t="s">
        <v>180</v>
      </c>
      <c r="H44" s="135">
        <v>42816</v>
      </c>
      <c r="I44" s="109">
        <v>200000</v>
      </c>
      <c r="J44" s="132" t="s">
        <v>198</v>
      </c>
      <c r="K44" s="132" t="s">
        <v>182</v>
      </c>
      <c r="L44" s="132" t="s">
        <v>183</v>
      </c>
      <c r="M44" s="213" t="s">
        <v>184</v>
      </c>
      <c r="N44" s="214" t="s">
        <v>185</v>
      </c>
      <c r="O44" s="109">
        <f t="shared" si="39"/>
        <v>30000</v>
      </c>
      <c r="P44" s="109">
        <f t="shared" si="40"/>
        <v>30000</v>
      </c>
      <c r="Q44" s="217" t="s">
        <v>186</v>
      </c>
      <c r="R44" s="109">
        <f t="shared" si="41"/>
        <v>70000</v>
      </c>
      <c r="S44" s="109"/>
      <c r="T44" s="217" t="s">
        <v>187</v>
      </c>
      <c r="U44" s="109">
        <f t="shared" si="42"/>
        <v>40000</v>
      </c>
      <c r="V44" s="109"/>
      <c r="W44" s="217" t="s">
        <v>188</v>
      </c>
      <c r="X44" s="109">
        <f t="shared" si="43"/>
        <v>20000</v>
      </c>
      <c r="Y44" s="109"/>
      <c r="Z44" s="217" t="s">
        <v>199</v>
      </c>
      <c r="AA44" s="109">
        <f t="shared" si="44"/>
        <v>20000</v>
      </c>
      <c r="AB44" s="109"/>
      <c r="AC44" s="217" t="s">
        <v>200</v>
      </c>
      <c r="AD44" s="109">
        <f t="shared" si="45"/>
        <v>10000</v>
      </c>
      <c r="AE44" s="109"/>
      <c r="AF44" s="217" t="s">
        <v>191</v>
      </c>
      <c r="AG44" s="109">
        <f t="shared" si="46"/>
        <v>10000</v>
      </c>
      <c r="AH44" s="109"/>
      <c r="AI44" s="109"/>
      <c r="AJ44" s="109"/>
      <c r="AK44" s="117"/>
      <c r="AL44" s="108">
        <f t="shared" si="35"/>
        <v>30000</v>
      </c>
      <c r="AM44" s="109">
        <f t="shared" si="36"/>
        <v>170000</v>
      </c>
      <c r="AN44" s="110">
        <f t="shared" si="37"/>
        <v>0.15</v>
      </c>
      <c r="AO44" s="109">
        <f t="shared" si="38"/>
        <v>200000</v>
      </c>
      <c r="AP44" s="117" t="str">
        <f t="shared" si="28"/>
        <v>数据正确</v>
      </c>
      <c r="AQ44" s="42"/>
      <c r="AR44" s="42"/>
    </row>
    <row r="45" s="37" customFormat="1" customHeight="1" outlineLevel="1" spans="1:44">
      <c r="A45" s="130" t="str">
        <f t="shared" si="33"/>
        <v/>
      </c>
      <c r="B45" s="130" t="s">
        <v>83</v>
      </c>
      <c r="C45" s="130" t="s">
        <v>84</v>
      </c>
      <c r="D45" s="131">
        <v>4.5</v>
      </c>
      <c r="E45" s="133" t="s">
        <v>179</v>
      </c>
      <c r="F45" s="132" t="s">
        <v>22</v>
      </c>
      <c r="G45" s="174" t="s">
        <v>180</v>
      </c>
      <c r="H45" s="135">
        <v>42816</v>
      </c>
      <c r="I45" s="109">
        <v>250000</v>
      </c>
      <c r="J45" s="132" t="s">
        <v>201</v>
      </c>
      <c r="K45" s="132" t="s">
        <v>182</v>
      </c>
      <c r="L45" s="132" t="s">
        <v>183</v>
      </c>
      <c r="M45" s="213" t="s">
        <v>184</v>
      </c>
      <c r="N45" s="214" t="s">
        <v>185</v>
      </c>
      <c r="O45" s="109">
        <f t="shared" si="39"/>
        <v>37500</v>
      </c>
      <c r="P45" s="109">
        <f t="shared" si="40"/>
        <v>37500</v>
      </c>
      <c r="Q45" s="217" t="s">
        <v>186</v>
      </c>
      <c r="R45" s="109">
        <f t="shared" si="41"/>
        <v>87500</v>
      </c>
      <c r="S45" s="109"/>
      <c r="T45" s="217" t="s">
        <v>187</v>
      </c>
      <c r="U45" s="109">
        <f t="shared" si="42"/>
        <v>50000</v>
      </c>
      <c r="V45" s="109"/>
      <c r="W45" s="217" t="s">
        <v>188</v>
      </c>
      <c r="X45" s="109">
        <f t="shared" si="43"/>
        <v>25000</v>
      </c>
      <c r="Y45" s="109"/>
      <c r="Z45" s="217" t="s">
        <v>202</v>
      </c>
      <c r="AA45" s="109">
        <f t="shared" si="44"/>
        <v>25000</v>
      </c>
      <c r="AB45" s="109"/>
      <c r="AC45" s="217" t="s">
        <v>203</v>
      </c>
      <c r="AD45" s="109">
        <f t="shared" si="45"/>
        <v>12500</v>
      </c>
      <c r="AE45" s="109"/>
      <c r="AF45" s="217" t="s">
        <v>191</v>
      </c>
      <c r="AG45" s="109">
        <f t="shared" si="46"/>
        <v>12500</v>
      </c>
      <c r="AH45" s="109"/>
      <c r="AI45" s="109"/>
      <c r="AJ45" s="109"/>
      <c r="AK45" s="117"/>
      <c r="AL45" s="108">
        <f t="shared" si="35"/>
        <v>37500</v>
      </c>
      <c r="AM45" s="109">
        <f t="shared" si="36"/>
        <v>212500</v>
      </c>
      <c r="AN45" s="110">
        <f t="shared" si="37"/>
        <v>0.15</v>
      </c>
      <c r="AO45" s="109">
        <f t="shared" si="38"/>
        <v>250000</v>
      </c>
      <c r="AP45" s="117" t="str">
        <f t="shared" si="28"/>
        <v>数据正确</v>
      </c>
      <c r="AQ45" s="42"/>
      <c r="AR45" s="42"/>
    </row>
    <row r="46" s="37" customFormat="1" customHeight="1" outlineLevel="1" spans="1:44">
      <c r="A46" s="130" t="str">
        <f t="shared" si="33"/>
        <v/>
      </c>
      <c r="B46" s="130" t="s">
        <v>83</v>
      </c>
      <c r="C46" s="130" t="s">
        <v>84</v>
      </c>
      <c r="D46" s="131">
        <v>4.6</v>
      </c>
      <c r="E46" s="133" t="s">
        <v>179</v>
      </c>
      <c r="F46" s="132" t="s">
        <v>22</v>
      </c>
      <c r="G46" s="174" t="s">
        <v>180</v>
      </c>
      <c r="H46" s="135">
        <v>42816</v>
      </c>
      <c r="I46" s="109">
        <v>710000</v>
      </c>
      <c r="J46" s="132" t="s">
        <v>204</v>
      </c>
      <c r="K46" s="132" t="s">
        <v>182</v>
      </c>
      <c r="L46" s="132" t="s">
        <v>183</v>
      </c>
      <c r="M46" s="213" t="s">
        <v>184</v>
      </c>
      <c r="N46" s="214" t="s">
        <v>185</v>
      </c>
      <c r="O46" s="109">
        <f t="shared" si="39"/>
        <v>106500</v>
      </c>
      <c r="P46" s="109">
        <f t="shared" si="40"/>
        <v>106500</v>
      </c>
      <c r="Q46" s="217" t="s">
        <v>186</v>
      </c>
      <c r="R46" s="109">
        <f t="shared" si="41"/>
        <v>248500</v>
      </c>
      <c r="S46" s="109"/>
      <c r="T46" s="217" t="s">
        <v>187</v>
      </c>
      <c r="U46" s="109">
        <f t="shared" si="42"/>
        <v>142000</v>
      </c>
      <c r="V46" s="109"/>
      <c r="W46" s="217" t="s">
        <v>188</v>
      </c>
      <c r="X46" s="109">
        <f t="shared" si="43"/>
        <v>71000</v>
      </c>
      <c r="Y46" s="109"/>
      <c r="Z46" s="217" t="s">
        <v>205</v>
      </c>
      <c r="AA46" s="109">
        <f t="shared" si="44"/>
        <v>71000</v>
      </c>
      <c r="AB46" s="109"/>
      <c r="AC46" s="217" t="s">
        <v>206</v>
      </c>
      <c r="AD46" s="109">
        <f t="shared" si="45"/>
        <v>35500</v>
      </c>
      <c r="AE46" s="109"/>
      <c r="AF46" s="217" t="s">
        <v>191</v>
      </c>
      <c r="AG46" s="109">
        <f t="shared" si="46"/>
        <v>35500</v>
      </c>
      <c r="AH46" s="109"/>
      <c r="AI46" s="109"/>
      <c r="AJ46" s="109"/>
      <c r="AK46" s="117"/>
      <c r="AL46" s="108">
        <f t="shared" si="35"/>
        <v>106500</v>
      </c>
      <c r="AM46" s="109">
        <f t="shared" si="36"/>
        <v>603500</v>
      </c>
      <c r="AN46" s="110">
        <f t="shared" si="37"/>
        <v>0.15</v>
      </c>
      <c r="AO46" s="109">
        <f t="shared" si="38"/>
        <v>710000</v>
      </c>
      <c r="AP46" s="117" t="str">
        <f t="shared" si="28"/>
        <v>数据正确</v>
      </c>
      <c r="AQ46" s="42"/>
      <c r="AR46" s="42"/>
    </row>
    <row r="47" s="37" customFormat="1" customHeight="1" outlineLevel="1" spans="1:44">
      <c r="A47" s="130" t="str">
        <f t="shared" si="33"/>
        <v/>
      </c>
      <c r="B47" s="130" t="s">
        <v>83</v>
      </c>
      <c r="C47" s="130" t="s">
        <v>84</v>
      </c>
      <c r="D47" s="131">
        <v>4.7</v>
      </c>
      <c r="E47" s="133" t="s">
        <v>179</v>
      </c>
      <c r="F47" s="132" t="s">
        <v>22</v>
      </c>
      <c r="G47" s="174" t="s">
        <v>180</v>
      </c>
      <c r="H47" s="135">
        <v>42816</v>
      </c>
      <c r="I47" s="109">
        <v>100000</v>
      </c>
      <c r="J47" s="132" t="s">
        <v>207</v>
      </c>
      <c r="K47" s="132" t="s">
        <v>182</v>
      </c>
      <c r="L47" s="132" t="s">
        <v>183</v>
      </c>
      <c r="M47" s="213" t="s">
        <v>184</v>
      </c>
      <c r="N47" s="214" t="s">
        <v>185</v>
      </c>
      <c r="O47" s="109">
        <f t="shared" si="39"/>
        <v>15000</v>
      </c>
      <c r="P47" s="109">
        <f t="shared" si="40"/>
        <v>15000</v>
      </c>
      <c r="Q47" s="217" t="s">
        <v>186</v>
      </c>
      <c r="R47" s="109">
        <f t="shared" si="41"/>
        <v>35000</v>
      </c>
      <c r="S47" s="109"/>
      <c r="T47" s="217" t="s">
        <v>187</v>
      </c>
      <c r="U47" s="109">
        <f t="shared" si="42"/>
        <v>20000</v>
      </c>
      <c r="V47" s="109"/>
      <c r="W47" s="217" t="s">
        <v>188</v>
      </c>
      <c r="X47" s="109">
        <f t="shared" si="43"/>
        <v>10000</v>
      </c>
      <c r="Y47" s="109"/>
      <c r="Z47" s="217" t="s">
        <v>208</v>
      </c>
      <c r="AA47" s="109">
        <f t="shared" si="44"/>
        <v>10000</v>
      </c>
      <c r="AB47" s="109"/>
      <c r="AC47" s="217" t="s">
        <v>209</v>
      </c>
      <c r="AD47" s="109">
        <f t="shared" si="45"/>
        <v>5000</v>
      </c>
      <c r="AE47" s="109"/>
      <c r="AF47" s="217" t="s">
        <v>191</v>
      </c>
      <c r="AG47" s="109">
        <f t="shared" si="46"/>
        <v>5000</v>
      </c>
      <c r="AH47" s="109"/>
      <c r="AI47" s="109"/>
      <c r="AJ47" s="109"/>
      <c r="AK47" s="117"/>
      <c r="AL47" s="108">
        <f t="shared" si="35"/>
        <v>15000</v>
      </c>
      <c r="AM47" s="109">
        <f t="shared" si="36"/>
        <v>85000</v>
      </c>
      <c r="AN47" s="110">
        <f t="shared" si="37"/>
        <v>0.15</v>
      </c>
      <c r="AO47" s="109">
        <f t="shared" si="38"/>
        <v>100000</v>
      </c>
      <c r="AP47" s="117" t="str">
        <f t="shared" si="28"/>
        <v>数据正确</v>
      </c>
      <c r="AQ47" s="42"/>
      <c r="AR47" s="42"/>
    </row>
    <row r="48" s="120" customFormat="1" customHeight="1" spans="1:44">
      <c r="A48" s="130" t="str">
        <f t="shared" si="33"/>
        <v/>
      </c>
      <c r="B48" s="130" t="s">
        <v>83</v>
      </c>
      <c r="C48" s="130" t="s">
        <v>84</v>
      </c>
      <c r="D48" s="202">
        <v>4</v>
      </c>
      <c r="E48" s="137" t="s">
        <v>179</v>
      </c>
      <c r="F48" s="136" t="s">
        <v>22</v>
      </c>
      <c r="G48" s="127" t="s">
        <v>180</v>
      </c>
      <c r="H48" s="138">
        <v>42816</v>
      </c>
      <c r="I48" s="155">
        <f>SUM(I41:I47)</f>
        <v>10900000</v>
      </c>
      <c r="J48" s="126" t="s">
        <v>210</v>
      </c>
      <c r="K48" s="136" t="s">
        <v>182</v>
      </c>
      <c r="L48" s="136" t="s">
        <v>183</v>
      </c>
      <c r="M48" s="218" t="s">
        <v>184</v>
      </c>
      <c r="N48" s="147" t="s">
        <v>75</v>
      </c>
      <c r="O48" s="148">
        <f>SUM(O41:O47)</f>
        <v>1635000</v>
      </c>
      <c r="P48" s="148">
        <f t="shared" ref="P48:AK48" si="47">SUM(P41:P47)</f>
        <v>1635000</v>
      </c>
      <c r="Q48" s="148" t="s">
        <v>75</v>
      </c>
      <c r="R48" s="148">
        <f t="shared" si="47"/>
        <v>3815000</v>
      </c>
      <c r="S48" s="148">
        <f t="shared" si="47"/>
        <v>0</v>
      </c>
      <c r="T48" s="148" t="s">
        <v>75</v>
      </c>
      <c r="U48" s="148">
        <f t="shared" si="47"/>
        <v>2180000</v>
      </c>
      <c r="V48" s="148">
        <f t="shared" si="47"/>
        <v>0</v>
      </c>
      <c r="W48" s="148" t="s">
        <v>75</v>
      </c>
      <c r="X48" s="148">
        <f t="shared" si="47"/>
        <v>1090000</v>
      </c>
      <c r="Y48" s="148">
        <f t="shared" si="47"/>
        <v>0</v>
      </c>
      <c r="Z48" s="148" t="s">
        <v>75</v>
      </c>
      <c r="AA48" s="148">
        <f t="shared" si="47"/>
        <v>1090000</v>
      </c>
      <c r="AB48" s="148">
        <f t="shared" si="47"/>
        <v>0</v>
      </c>
      <c r="AC48" s="148" t="s">
        <v>75</v>
      </c>
      <c r="AD48" s="148">
        <f t="shared" si="47"/>
        <v>545000</v>
      </c>
      <c r="AE48" s="148">
        <f t="shared" si="47"/>
        <v>0</v>
      </c>
      <c r="AF48" s="148" t="s">
        <v>75</v>
      </c>
      <c r="AG48" s="148">
        <f t="shared" si="47"/>
        <v>545000</v>
      </c>
      <c r="AH48" s="148">
        <f t="shared" si="47"/>
        <v>0</v>
      </c>
      <c r="AI48" s="148">
        <f t="shared" si="47"/>
        <v>0</v>
      </c>
      <c r="AJ48" s="148">
        <f t="shared" si="47"/>
        <v>0</v>
      </c>
      <c r="AK48" s="161">
        <f t="shared" si="47"/>
        <v>0</v>
      </c>
      <c r="AL48" s="162">
        <f t="shared" si="35"/>
        <v>1635000</v>
      </c>
      <c r="AM48" s="155">
        <f t="shared" si="36"/>
        <v>9265000</v>
      </c>
      <c r="AN48" s="163">
        <f t="shared" si="37"/>
        <v>0.15</v>
      </c>
      <c r="AO48" s="155">
        <f t="shared" si="38"/>
        <v>10900000</v>
      </c>
      <c r="AP48" s="117" t="str">
        <f t="shared" si="28"/>
        <v>数据正确</v>
      </c>
      <c r="AQ48" s="192"/>
      <c r="AR48" s="192"/>
    </row>
    <row r="49" s="37" customFormat="1" customHeight="1" outlineLevel="1" spans="1:44">
      <c r="A49" s="130" t="str">
        <f t="shared" si="33"/>
        <v/>
      </c>
      <c r="B49" s="130" t="s">
        <v>83</v>
      </c>
      <c r="C49" s="130" t="s">
        <v>84</v>
      </c>
      <c r="D49" s="131">
        <v>163.1</v>
      </c>
      <c r="E49" s="133" t="s">
        <v>211</v>
      </c>
      <c r="F49" s="132" t="s">
        <v>22</v>
      </c>
      <c r="G49" s="63">
        <v>2017010039</v>
      </c>
      <c r="H49" s="64">
        <v>42849</v>
      </c>
      <c r="I49" s="86">
        <v>1300000</v>
      </c>
      <c r="J49" s="62" t="s">
        <v>212</v>
      </c>
      <c r="K49" s="62" t="s">
        <v>213</v>
      </c>
      <c r="L49" s="62" t="s">
        <v>214</v>
      </c>
      <c r="M49" s="213" t="s">
        <v>215</v>
      </c>
      <c r="N49" s="88" t="s">
        <v>216</v>
      </c>
      <c r="O49" s="86">
        <f>I49*0.1</f>
        <v>130000</v>
      </c>
      <c r="P49" s="86"/>
      <c r="Q49" s="93" t="s">
        <v>217</v>
      </c>
      <c r="R49" s="86">
        <f>I49*0.3</f>
        <v>390000</v>
      </c>
      <c r="S49" s="86"/>
      <c r="T49" s="93" t="s">
        <v>120</v>
      </c>
      <c r="U49" s="86">
        <f>I49*0.25</f>
        <v>325000</v>
      </c>
      <c r="V49" s="86"/>
      <c r="W49" s="93" t="s">
        <v>218</v>
      </c>
      <c r="X49" s="86">
        <f>I49*0.05</f>
        <v>65000</v>
      </c>
      <c r="Y49" s="86"/>
      <c r="Z49" s="93" t="s">
        <v>219</v>
      </c>
      <c r="AA49" s="86">
        <f t="shared" ref="AA49:AA54" si="48">I49*0.1</f>
        <v>130000</v>
      </c>
      <c r="AB49" s="86"/>
      <c r="AC49" s="93" t="s">
        <v>123</v>
      </c>
      <c r="AD49" s="86">
        <f t="shared" ref="AD49:AD54" si="49">I49*0.1</f>
        <v>130000</v>
      </c>
      <c r="AE49" s="86"/>
      <c r="AF49" s="93" t="s">
        <v>220</v>
      </c>
      <c r="AG49" s="86">
        <f t="shared" ref="AG49:AG54" si="50">I49*0.05</f>
        <v>65000</v>
      </c>
      <c r="AH49" s="86"/>
      <c r="AI49" s="93" t="s">
        <v>221</v>
      </c>
      <c r="AJ49" s="86">
        <f t="shared" ref="AJ49:AJ54" si="51">I49*0.05</f>
        <v>65000</v>
      </c>
      <c r="AK49" s="107"/>
      <c r="AL49" s="108">
        <f t="shared" ref="AL49:AL61" si="52">P49+S49+V49+Y49+AB49+AE49+AH49+AK49</f>
        <v>0</v>
      </c>
      <c r="AM49" s="109">
        <f t="shared" ref="AM49:AM61" si="53">I49-AL49</f>
        <v>1300000</v>
      </c>
      <c r="AN49" s="110">
        <f t="shared" ref="AN49:AN61" si="54">AL49/I49</f>
        <v>0</v>
      </c>
      <c r="AO49" s="109">
        <f t="shared" ref="AO49:AO61" si="55">O49+R49+U49+X49+AA49+AD49+AG49+AJ49</f>
        <v>1300000</v>
      </c>
      <c r="AP49" s="117" t="str">
        <f t="shared" si="28"/>
        <v>数据正确</v>
      </c>
      <c r="AQ49" s="42"/>
      <c r="AR49" s="42"/>
    </row>
    <row r="50" s="37" customFormat="1" customHeight="1" outlineLevel="1" spans="1:44">
      <c r="A50" s="130" t="str">
        <f t="shared" si="33"/>
        <v/>
      </c>
      <c r="B50" s="130" t="s">
        <v>83</v>
      </c>
      <c r="C50" s="130" t="s">
        <v>84</v>
      </c>
      <c r="D50" s="131">
        <v>163.2</v>
      </c>
      <c r="E50" s="133" t="s">
        <v>211</v>
      </c>
      <c r="F50" s="132" t="s">
        <v>22</v>
      </c>
      <c r="G50" s="63">
        <v>2017010039</v>
      </c>
      <c r="H50" s="64">
        <v>42849</v>
      </c>
      <c r="I50" s="86">
        <v>22613423</v>
      </c>
      <c r="J50" s="62" t="s">
        <v>222</v>
      </c>
      <c r="K50" s="62" t="s">
        <v>213</v>
      </c>
      <c r="L50" s="62" t="s">
        <v>214</v>
      </c>
      <c r="M50" s="213" t="s">
        <v>215</v>
      </c>
      <c r="N50" s="88" t="s">
        <v>223</v>
      </c>
      <c r="O50" s="86">
        <f>I50*0.1</f>
        <v>2261342.3</v>
      </c>
      <c r="P50" s="86"/>
      <c r="Q50" s="93" t="s">
        <v>224</v>
      </c>
      <c r="R50" s="86">
        <f>I50*0.3</f>
        <v>6784026.9</v>
      </c>
      <c r="S50" s="86"/>
      <c r="T50" s="93" t="s">
        <v>225</v>
      </c>
      <c r="U50" s="86">
        <f>I50*0.25</f>
        <v>5653355.75</v>
      </c>
      <c r="V50" s="86"/>
      <c r="W50" s="93" t="s">
        <v>218</v>
      </c>
      <c r="X50" s="86">
        <f>I50*0.05</f>
        <v>1130671.15</v>
      </c>
      <c r="Y50" s="86"/>
      <c r="Z50" s="93" t="s">
        <v>219</v>
      </c>
      <c r="AA50" s="86">
        <f t="shared" si="48"/>
        <v>2261342.3</v>
      </c>
      <c r="AB50" s="86"/>
      <c r="AC50" s="93" t="s">
        <v>123</v>
      </c>
      <c r="AD50" s="86">
        <f t="shared" si="49"/>
        <v>2261342.3</v>
      </c>
      <c r="AE50" s="86"/>
      <c r="AF50" s="93" t="s">
        <v>220</v>
      </c>
      <c r="AG50" s="86">
        <f t="shared" si="50"/>
        <v>1130671.15</v>
      </c>
      <c r="AH50" s="86"/>
      <c r="AI50" s="93" t="s">
        <v>221</v>
      </c>
      <c r="AJ50" s="86">
        <f t="shared" si="51"/>
        <v>1130671.15</v>
      </c>
      <c r="AK50" s="107"/>
      <c r="AL50" s="108">
        <f t="shared" si="52"/>
        <v>0</v>
      </c>
      <c r="AM50" s="109">
        <f t="shared" si="53"/>
        <v>22613423</v>
      </c>
      <c r="AN50" s="110">
        <f t="shared" si="54"/>
        <v>0</v>
      </c>
      <c r="AO50" s="109">
        <f t="shared" si="55"/>
        <v>22613423</v>
      </c>
      <c r="AP50" s="117" t="str">
        <f t="shared" si="28"/>
        <v>数据正确</v>
      </c>
      <c r="AQ50" s="42"/>
      <c r="AR50" s="42"/>
    </row>
    <row r="51" s="37" customFormat="1" customHeight="1" outlineLevel="1" spans="1:44">
      <c r="A51" s="130" t="str">
        <f t="shared" si="33"/>
        <v/>
      </c>
      <c r="B51" s="130" t="s">
        <v>83</v>
      </c>
      <c r="C51" s="130" t="s">
        <v>84</v>
      </c>
      <c r="D51" s="131">
        <v>163.3</v>
      </c>
      <c r="E51" s="133" t="s">
        <v>211</v>
      </c>
      <c r="F51" s="132" t="s">
        <v>22</v>
      </c>
      <c r="G51" s="63">
        <v>2017010039</v>
      </c>
      <c r="H51" s="64">
        <v>42849</v>
      </c>
      <c r="I51" s="86">
        <v>5897337</v>
      </c>
      <c r="J51" s="62" t="s">
        <v>226</v>
      </c>
      <c r="K51" s="62" t="s">
        <v>213</v>
      </c>
      <c r="L51" s="62" t="s">
        <v>214</v>
      </c>
      <c r="M51" s="213" t="s">
        <v>215</v>
      </c>
      <c r="N51" s="88" t="s">
        <v>103</v>
      </c>
      <c r="O51" s="86">
        <v>0</v>
      </c>
      <c r="P51" s="86"/>
      <c r="Q51" s="88" t="s">
        <v>103</v>
      </c>
      <c r="R51" s="86">
        <v>0</v>
      </c>
      <c r="S51" s="86"/>
      <c r="T51" s="93" t="s">
        <v>227</v>
      </c>
      <c r="U51" s="86">
        <f>I51*0.6</f>
        <v>3538402.2</v>
      </c>
      <c r="V51" s="86"/>
      <c r="W51" s="93" t="s">
        <v>218</v>
      </c>
      <c r="X51" s="86">
        <f>I51*0.1</f>
        <v>589733.7</v>
      </c>
      <c r="Y51" s="86"/>
      <c r="Z51" s="93" t="s">
        <v>219</v>
      </c>
      <c r="AA51" s="86">
        <f t="shared" si="48"/>
        <v>589733.7</v>
      </c>
      <c r="AB51" s="86"/>
      <c r="AC51" s="93" t="s">
        <v>123</v>
      </c>
      <c r="AD51" s="86">
        <f t="shared" si="49"/>
        <v>589733.7</v>
      </c>
      <c r="AE51" s="86"/>
      <c r="AF51" s="93" t="s">
        <v>220</v>
      </c>
      <c r="AG51" s="86">
        <f t="shared" si="50"/>
        <v>294866.85</v>
      </c>
      <c r="AH51" s="86"/>
      <c r="AI51" s="93" t="s">
        <v>221</v>
      </c>
      <c r="AJ51" s="86">
        <f t="shared" si="51"/>
        <v>294866.85</v>
      </c>
      <c r="AK51" s="107"/>
      <c r="AL51" s="108">
        <f t="shared" si="52"/>
        <v>0</v>
      </c>
      <c r="AM51" s="109">
        <f t="shared" si="53"/>
        <v>5897337</v>
      </c>
      <c r="AN51" s="110">
        <f t="shared" si="54"/>
        <v>0</v>
      </c>
      <c r="AO51" s="109">
        <f t="shared" si="55"/>
        <v>5897337</v>
      </c>
      <c r="AP51" s="117" t="str">
        <f t="shared" si="28"/>
        <v>数据正确</v>
      </c>
      <c r="AQ51" s="42"/>
      <c r="AR51" s="42"/>
    </row>
    <row r="52" s="37" customFormat="1" customHeight="1" outlineLevel="1" spans="1:44">
      <c r="A52" s="130" t="str">
        <f t="shared" si="33"/>
        <v/>
      </c>
      <c r="B52" s="130" t="s">
        <v>83</v>
      </c>
      <c r="C52" s="130" t="s">
        <v>84</v>
      </c>
      <c r="D52" s="131">
        <v>163.4</v>
      </c>
      <c r="E52" s="133" t="s">
        <v>211</v>
      </c>
      <c r="F52" s="132" t="s">
        <v>22</v>
      </c>
      <c r="G52" s="63">
        <v>2017010039</v>
      </c>
      <c r="H52" s="64">
        <v>42849</v>
      </c>
      <c r="I52" s="86">
        <v>5634040</v>
      </c>
      <c r="J52" s="62" t="s">
        <v>228</v>
      </c>
      <c r="K52" s="62" t="s">
        <v>213</v>
      </c>
      <c r="L52" s="62" t="s">
        <v>214</v>
      </c>
      <c r="M52" s="213" t="s">
        <v>215</v>
      </c>
      <c r="N52" s="88" t="s">
        <v>223</v>
      </c>
      <c r="O52" s="86">
        <f>I52*0.1</f>
        <v>563404</v>
      </c>
      <c r="P52" s="86"/>
      <c r="Q52" s="93" t="s">
        <v>224</v>
      </c>
      <c r="R52" s="86">
        <f>I52*0.3</f>
        <v>1690212</v>
      </c>
      <c r="S52" s="86"/>
      <c r="T52" s="93" t="s">
        <v>225</v>
      </c>
      <c r="U52" s="86">
        <f>I52*0.25</f>
        <v>1408510</v>
      </c>
      <c r="V52" s="86"/>
      <c r="W52" s="93" t="s">
        <v>218</v>
      </c>
      <c r="X52" s="86">
        <f>I52*0.05</f>
        <v>281702</v>
      </c>
      <c r="Y52" s="86"/>
      <c r="Z52" s="93" t="s">
        <v>219</v>
      </c>
      <c r="AA52" s="86">
        <f t="shared" si="48"/>
        <v>563404</v>
      </c>
      <c r="AB52" s="86"/>
      <c r="AC52" s="93" t="s">
        <v>123</v>
      </c>
      <c r="AD52" s="86">
        <f t="shared" si="49"/>
        <v>563404</v>
      </c>
      <c r="AE52" s="86"/>
      <c r="AF52" s="93" t="s">
        <v>220</v>
      </c>
      <c r="AG52" s="86">
        <f t="shared" si="50"/>
        <v>281702</v>
      </c>
      <c r="AH52" s="86"/>
      <c r="AI52" s="93" t="s">
        <v>221</v>
      </c>
      <c r="AJ52" s="86">
        <f t="shared" si="51"/>
        <v>281702</v>
      </c>
      <c r="AK52" s="107"/>
      <c r="AL52" s="108">
        <f t="shared" si="52"/>
        <v>0</v>
      </c>
      <c r="AM52" s="109">
        <f t="shared" si="53"/>
        <v>5634040</v>
      </c>
      <c r="AN52" s="110">
        <f t="shared" si="54"/>
        <v>0</v>
      </c>
      <c r="AO52" s="109">
        <f t="shared" si="55"/>
        <v>5634040</v>
      </c>
      <c r="AP52" s="117" t="str">
        <f t="shared" si="28"/>
        <v>数据正确</v>
      </c>
      <c r="AQ52" s="42"/>
      <c r="AR52" s="42"/>
    </row>
    <row r="53" s="37" customFormat="1" customHeight="1" outlineLevel="1" spans="1:44">
      <c r="A53" s="130" t="str">
        <f t="shared" si="33"/>
        <v/>
      </c>
      <c r="B53" s="130" t="s">
        <v>83</v>
      </c>
      <c r="C53" s="130" t="s">
        <v>84</v>
      </c>
      <c r="D53" s="131">
        <v>163.5</v>
      </c>
      <c r="E53" s="133" t="s">
        <v>211</v>
      </c>
      <c r="F53" s="132" t="s">
        <v>22</v>
      </c>
      <c r="G53" s="63">
        <v>2017010039</v>
      </c>
      <c r="H53" s="64">
        <v>42849</v>
      </c>
      <c r="I53" s="86">
        <v>400000</v>
      </c>
      <c r="J53" s="62" t="s">
        <v>229</v>
      </c>
      <c r="K53" s="62" t="s">
        <v>213</v>
      </c>
      <c r="L53" s="62" t="s">
        <v>214</v>
      </c>
      <c r="M53" s="213" t="s">
        <v>215</v>
      </c>
      <c r="N53" s="88" t="s">
        <v>103</v>
      </c>
      <c r="O53" s="86">
        <v>0</v>
      </c>
      <c r="P53" s="86"/>
      <c r="Q53" s="88" t="s">
        <v>103</v>
      </c>
      <c r="R53" s="86">
        <v>0</v>
      </c>
      <c r="S53" s="86"/>
      <c r="T53" s="93" t="s">
        <v>227</v>
      </c>
      <c r="U53" s="86">
        <f>I53*0.6</f>
        <v>240000</v>
      </c>
      <c r="V53" s="86"/>
      <c r="W53" s="93" t="s">
        <v>218</v>
      </c>
      <c r="X53" s="86">
        <f>I53*0.1</f>
        <v>40000</v>
      </c>
      <c r="Y53" s="86"/>
      <c r="Z53" s="93" t="s">
        <v>219</v>
      </c>
      <c r="AA53" s="86">
        <f t="shared" si="48"/>
        <v>40000</v>
      </c>
      <c r="AB53" s="86"/>
      <c r="AC53" s="93" t="s">
        <v>123</v>
      </c>
      <c r="AD53" s="86">
        <f t="shared" si="49"/>
        <v>40000</v>
      </c>
      <c r="AE53" s="86"/>
      <c r="AF53" s="93" t="s">
        <v>220</v>
      </c>
      <c r="AG53" s="86">
        <f t="shared" si="50"/>
        <v>20000</v>
      </c>
      <c r="AH53" s="86"/>
      <c r="AI53" s="93" t="s">
        <v>221</v>
      </c>
      <c r="AJ53" s="86">
        <f t="shared" si="51"/>
        <v>20000</v>
      </c>
      <c r="AK53" s="107"/>
      <c r="AL53" s="108">
        <f t="shared" si="52"/>
        <v>0</v>
      </c>
      <c r="AM53" s="109">
        <f t="shared" si="53"/>
        <v>400000</v>
      </c>
      <c r="AN53" s="110">
        <f t="shared" si="54"/>
        <v>0</v>
      </c>
      <c r="AO53" s="109">
        <f t="shared" si="55"/>
        <v>400000</v>
      </c>
      <c r="AP53" s="117" t="str">
        <f t="shared" si="28"/>
        <v>数据正确</v>
      </c>
      <c r="AQ53" s="42"/>
      <c r="AR53" s="42"/>
    </row>
    <row r="54" s="37" customFormat="1" customHeight="1" outlineLevel="1" spans="1:44">
      <c r="A54" s="130" t="str">
        <f t="shared" si="33"/>
        <v/>
      </c>
      <c r="B54" s="130" t="s">
        <v>83</v>
      </c>
      <c r="C54" s="130" t="s">
        <v>84</v>
      </c>
      <c r="D54" s="131">
        <v>163.6</v>
      </c>
      <c r="E54" s="133" t="s">
        <v>211</v>
      </c>
      <c r="F54" s="132" t="s">
        <v>22</v>
      </c>
      <c r="G54" s="63">
        <v>2017010039</v>
      </c>
      <c r="H54" s="64">
        <v>42849</v>
      </c>
      <c r="I54" s="86">
        <v>55200</v>
      </c>
      <c r="J54" s="62" t="s">
        <v>230</v>
      </c>
      <c r="K54" s="62" t="s">
        <v>213</v>
      </c>
      <c r="L54" s="62" t="s">
        <v>214</v>
      </c>
      <c r="M54" s="213" t="s">
        <v>215</v>
      </c>
      <c r="N54" s="88" t="s">
        <v>103</v>
      </c>
      <c r="O54" s="86">
        <v>0</v>
      </c>
      <c r="P54" s="86"/>
      <c r="Q54" s="88" t="s">
        <v>103</v>
      </c>
      <c r="R54" s="86">
        <v>0</v>
      </c>
      <c r="S54" s="86"/>
      <c r="T54" s="88" t="s">
        <v>103</v>
      </c>
      <c r="U54" s="86">
        <v>0</v>
      </c>
      <c r="V54" s="86"/>
      <c r="W54" s="93" t="s">
        <v>218</v>
      </c>
      <c r="X54" s="86">
        <f>I54*0.7</f>
        <v>38640</v>
      </c>
      <c r="Y54" s="86"/>
      <c r="Z54" s="93" t="s">
        <v>219</v>
      </c>
      <c r="AA54" s="86">
        <f t="shared" si="48"/>
        <v>5520</v>
      </c>
      <c r="AB54" s="86"/>
      <c r="AC54" s="93" t="s">
        <v>123</v>
      </c>
      <c r="AD54" s="86">
        <f t="shared" si="49"/>
        <v>5520</v>
      </c>
      <c r="AE54" s="86"/>
      <c r="AF54" s="93" t="s">
        <v>220</v>
      </c>
      <c r="AG54" s="86">
        <f t="shared" si="50"/>
        <v>2760</v>
      </c>
      <c r="AH54" s="86"/>
      <c r="AI54" s="93" t="s">
        <v>221</v>
      </c>
      <c r="AJ54" s="86">
        <f t="shared" si="51"/>
        <v>2760</v>
      </c>
      <c r="AK54" s="107"/>
      <c r="AL54" s="108">
        <f t="shared" si="52"/>
        <v>0</v>
      </c>
      <c r="AM54" s="109">
        <f t="shared" si="53"/>
        <v>55200</v>
      </c>
      <c r="AN54" s="110">
        <f t="shared" si="54"/>
        <v>0</v>
      </c>
      <c r="AO54" s="109">
        <f t="shared" si="55"/>
        <v>55200</v>
      </c>
      <c r="AP54" s="117" t="str">
        <f t="shared" si="28"/>
        <v>数据正确</v>
      </c>
      <c r="AQ54" s="42"/>
      <c r="AR54" s="42"/>
    </row>
    <row r="55" s="192" customFormat="1" customHeight="1" spans="1:42">
      <c r="A55" s="130" t="str">
        <f t="shared" si="33"/>
        <v/>
      </c>
      <c r="B55" s="130" t="s">
        <v>83</v>
      </c>
      <c r="C55" s="130" t="s">
        <v>84</v>
      </c>
      <c r="D55" s="202">
        <v>163</v>
      </c>
      <c r="E55" s="137" t="s">
        <v>211</v>
      </c>
      <c r="F55" s="136" t="s">
        <v>22</v>
      </c>
      <c r="G55" s="127">
        <v>2017010039</v>
      </c>
      <c r="H55" s="128">
        <v>42849</v>
      </c>
      <c r="I55" s="148">
        <f>SUM(I49:I54)</f>
        <v>35900000</v>
      </c>
      <c r="J55" s="126" t="s">
        <v>231</v>
      </c>
      <c r="K55" s="126" t="s">
        <v>213</v>
      </c>
      <c r="L55" s="126" t="s">
        <v>214</v>
      </c>
      <c r="M55" s="218" t="s">
        <v>215</v>
      </c>
      <c r="N55" s="147" t="s">
        <v>75</v>
      </c>
      <c r="O55" s="222">
        <f t="shared" ref="O55:AK55" si="56">SUM(O49:O54)</f>
        <v>2954746.3</v>
      </c>
      <c r="P55" s="222">
        <f t="shared" si="56"/>
        <v>0</v>
      </c>
      <c r="Q55" s="222" t="s">
        <v>75</v>
      </c>
      <c r="R55" s="222">
        <f t="shared" si="56"/>
        <v>8864238.9</v>
      </c>
      <c r="S55" s="222">
        <f t="shared" si="56"/>
        <v>0</v>
      </c>
      <c r="T55" s="222" t="s">
        <v>75</v>
      </c>
      <c r="U55" s="222">
        <f t="shared" si="56"/>
        <v>11165267.95</v>
      </c>
      <c r="V55" s="222">
        <f t="shared" si="56"/>
        <v>0</v>
      </c>
      <c r="W55" s="222" t="s">
        <v>75</v>
      </c>
      <c r="X55" s="222">
        <f t="shared" si="56"/>
        <v>2145746.85</v>
      </c>
      <c r="Y55" s="222">
        <f t="shared" si="56"/>
        <v>0</v>
      </c>
      <c r="Z55" s="222" t="s">
        <v>75</v>
      </c>
      <c r="AA55" s="222">
        <f t="shared" si="56"/>
        <v>3590000</v>
      </c>
      <c r="AB55" s="222">
        <f t="shared" si="56"/>
        <v>0</v>
      </c>
      <c r="AC55" s="222" t="s">
        <v>75</v>
      </c>
      <c r="AD55" s="222">
        <f t="shared" si="56"/>
        <v>3590000</v>
      </c>
      <c r="AE55" s="222">
        <f t="shared" si="56"/>
        <v>0</v>
      </c>
      <c r="AF55" s="222" t="s">
        <v>75</v>
      </c>
      <c r="AG55" s="222">
        <f t="shared" si="56"/>
        <v>1795000</v>
      </c>
      <c r="AH55" s="222">
        <f t="shared" si="56"/>
        <v>0</v>
      </c>
      <c r="AI55" s="222" t="s">
        <v>75</v>
      </c>
      <c r="AJ55" s="222">
        <f t="shared" si="56"/>
        <v>1795000</v>
      </c>
      <c r="AK55" s="161">
        <f t="shared" si="56"/>
        <v>0</v>
      </c>
      <c r="AL55" s="108">
        <f t="shared" ref="AL55:AL61" si="57">P55+S55+V55+Y55+AB55+AE55+AH55+AK55</f>
        <v>0</v>
      </c>
      <c r="AM55" s="109">
        <f t="shared" ref="AM55:AM61" si="58">I55-AL55</f>
        <v>35900000</v>
      </c>
      <c r="AN55" s="110">
        <f t="shared" ref="AN55:AN61" si="59">AL55/I55</f>
        <v>0</v>
      </c>
      <c r="AO55" s="109">
        <f t="shared" ref="AO55:AO61" si="60">O55+R55+U55+X55+AA55+AD55+AG55+AJ55</f>
        <v>35900000</v>
      </c>
      <c r="AP55" s="117" t="str">
        <f t="shared" ref="AP55:AP64" si="61">IF(AO55-I55=0,"数据正确","数据错误")</f>
        <v>数据正确</v>
      </c>
    </row>
    <row r="56" s="37" customFormat="1" customHeight="1" outlineLevel="1" spans="1:44">
      <c r="A56" s="130" t="str">
        <f t="shared" si="33"/>
        <v/>
      </c>
      <c r="B56" s="130" t="s">
        <v>83</v>
      </c>
      <c r="C56" s="130" t="s">
        <v>84</v>
      </c>
      <c r="D56" s="131">
        <v>205.1</v>
      </c>
      <c r="E56" s="63" t="s">
        <v>232</v>
      </c>
      <c r="F56" s="62" t="s">
        <v>22</v>
      </c>
      <c r="G56" s="63" t="s">
        <v>75</v>
      </c>
      <c r="H56" s="64">
        <v>42987</v>
      </c>
      <c r="I56" s="86">
        <v>65730000</v>
      </c>
      <c r="J56" s="62" t="s">
        <v>233</v>
      </c>
      <c r="K56" s="62" t="s">
        <v>234</v>
      </c>
      <c r="L56" s="62" t="s">
        <v>235</v>
      </c>
      <c r="M56" s="213" t="s">
        <v>236</v>
      </c>
      <c r="N56" s="88" t="s">
        <v>31</v>
      </c>
      <c r="O56" s="86">
        <f t="shared" ref="O56:O61" si="62">I56</f>
        <v>65730000</v>
      </c>
      <c r="P56" s="86"/>
      <c r="Q56" s="93"/>
      <c r="R56" s="86"/>
      <c r="S56" s="86"/>
      <c r="T56" s="93"/>
      <c r="U56" s="86"/>
      <c r="V56" s="86"/>
      <c r="W56" s="93"/>
      <c r="X56" s="86"/>
      <c r="Y56" s="86"/>
      <c r="Z56" s="93"/>
      <c r="AA56" s="86"/>
      <c r="AB56" s="86"/>
      <c r="AC56" s="93"/>
      <c r="AD56" s="86"/>
      <c r="AE56" s="86"/>
      <c r="AF56" s="93"/>
      <c r="AG56" s="86"/>
      <c r="AH56" s="86"/>
      <c r="AI56" s="93"/>
      <c r="AJ56" s="86"/>
      <c r="AK56" s="107"/>
      <c r="AL56" s="108">
        <f t="shared" si="57"/>
        <v>0</v>
      </c>
      <c r="AM56" s="109">
        <f t="shared" si="58"/>
        <v>65730000</v>
      </c>
      <c r="AN56" s="110">
        <f t="shared" si="59"/>
        <v>0</v>
      </c>
      <c r="AO56" s="109">
        <f t="shared" si="60"/>
        <v>65730000</v>
      </c>
      <c r="AP56" s="117" t="str">
        <f t="shared" si="61"/>
        <v>数据正确</v>
      </c>
      <c r="AQ56" s="42"/>
      <c r="AR56" s="42"/>
    </row>
    <row r="57" s="37" customFormat="1" customHeight="1" outlineLevel="1" spans="1:44">
      <c r="A57" s="130"/>
      <c r="B57" s="130" t="s">
        <v>83</v>
      </c>
      <c r="C57" s="130" t="s">
        <v>84</v>
      </c>
      <c r="D57" s="131">
        <v>205.2</v>
      </c>
      <c r="E57" s="63" t="s">
        <v>232</v>
      </c>
      <c r="F57" s="62" t="s">
        <v>22</v>
      </c>
      <c r="G57" s="63" t="s">
        <v>75</v>
      </c>
      <c r="H57" s="64">
        <v>42987</v>
      </c>
      <c r="I57" s="86">
        <v>6470000</v>
      </c>
      <c r="J57" s="62" t="s">
        <v>237</v>
      </c>
      <c r="K57" s="62" t="s">
        <v>234</v>
      </c>
      <c r="L57" s="62" t="s">
        <v>235</v>
      </c>
      <c r="M57" s="213" t="s">
        <v>238</v>
      </c>
      <c r="N57" s="88" t="s">
        <v>31</v>
      </c>
      <c r="O57" s="86">
        <f t="shared" si="62"/>
        <v>6470000</v>
      </c>
      <c r="P57" s="86"/>
      <c r="Q57" s="93"/>
      <c r="R57" s="86"/>
      <c r="S57" s="86"/>
      <c r="T57" s="93"/>
      <c r="U57" s="86"/>
      <c r="V57" s="86"/>
      <c r="W57" s="93"/>
      <c r="X57" s="86"/>
      <c r="Y57" s="86"/>
      <c r="Z57" s="93"/>
      <c r="AA57" s="86"/>
      <c r="AB57" s="86"/>
      <c r="AC57" s="93"/>
      <c r="AD57" s="86"/>
      <c r="AE57" s="86"/>
      <c r="AF57" s="93"/>
      <c r="AG57" s="86"/>
      <c r="AH57" s="86"/>
      <c r="AI57" s="93"/>
      <c r="AJ57" s="86"/>
      <c r="AK57" s="107"/>
      <c r="AL57" s="108">
        <f t="shared" si="57"/>
        <v>0</v>
      </c>
      <c r="AM57" s="109">
        <f t="shared" si="58"/>
        <v>6470000</v>
      </c>
      <c r="AN57" s="110">
        <f t="shared" si="59"/>
        <v>0</v>
      </c>
      <c r="AO57" s="109">
        <f t="shared" si="60"/>
        <v>6470000</v>
      </c>
      <c r="AP57" s="117" t="str">
        <f t="shared" si="61"/>
        <v>数据正确</v>
      </c>
      <c r="AQ57" s="42"/>
      <c r="AR57" s="42"/>
    </row>
    <row r="58" s="37" customFormat="1" customHeight="1" outlineLevel="1" spans="1:44">
      <c r="A58" s="130"/>
      <c r="B58" s="130" t="s">
        <v>83</v>
      </c>
      <c r="C58" s="130" t="s">
        <v>84</v>
      </c>
      <c r="D58" s="131">
        <v>205.3</v>
      </c>
      <c r="E58" s="63" t="s">
        <v>232</v>
      </c>
      <c r="F58" s="62" t="s">
        <v>22</v>
      </c>
      <c r="G58" s="63" t="s">
        <v>75</v>
      </c>
      <c r="H58" s="64">
        <v>42987</v>
      </c>
      <c r="I58" s="86">
        <v>45000000</v>
      </c>
      <c r="J58" s="62" t="s">
        <v>239</v>
      </c>
      <c r="K58" s="62" t="s">
        <v>234</v>
      </c>
      <c r="L58" s="62" t="s">
        <v>235</v>
      </c>
      <c r="M58" s="213" t="s">
        <v>240</v>
      </c>
      <c r="N58" s="88" t="s">
        <v>31</v>
      </c>
      <c r="O58" s="86">
        <f t="shared" si="62"/>
        <v>45000000</v>
      </c>
      <c r="P58" s="86"/>
      <c r="Q58" s="93"/>
      <c r="R58" s="86"/>
      <c r="S58" s="86"/>
      <c r="T58" s="93"/>
      <c r="U58" s="86"/>
      <c r="V58" s="86"/>
      <c r="W58" s="93"/>
      <c r="X58" s="86"/>
      <c r="Y58" s="86"/>
      <c r="Z58" s="93"/>
      <c r="AA58" s="86"/>
      <c r="AB58" s="86"/>
      <c r="AC58" s="93"/>
      <c r="AD58" s="86"/>
      <c r="AE58" s="86"/>
      <c r="AF58" s="93"/>
      <c r="AG58" s="86"/>
      <c r="AH58" s="86"/>
      <c r="AI58" s="93"/>
      <c r="AJ58" s="86"/>
      <c r="AK58" s="107"/>
      <c r="AL58" s="108">
        <f t="shared" si="57"/>
        <v>0</v>
      </c>
      <c r="AM58" s="109">
        <f t="shared" si="58"/>
        <v>45000000</v>
      </c>
      <c r="AN58" s="110">
        <f t="shared" si="59"/>
        <v>0</v>
      </c>
      <c r="AO58" s="109">
        <f t="shared" si="60"/>
        <v>45000000</v>
      </c>
      <c r="AP58" s="117" t="str">
        <f t="shared" si="61"/>
        <v>数据正确</v>
      </c>
      <c r="AQ58" s="42"/>
      <c r="AR58" s="42"/>
    </row>
    <row r="59" s="37" customFormat="1" customHeight="1" outlineLevel="1" spans="1:44">
      <c r="A59" s="130"/>
      <c r="B59" s="130" t="s">
        <v>83</v>
      </c>
      <c r="C59" s="130" t="s">
        <v>84</v>
      </c>
      <c r="D59" s="131">
        <v>205.4</v>
      </c>
      <c r="E59" s="63" t="s">
        <v>232</v>
      </c>
      <c r="F59" s="62" t="s">
        <v>22</v>
      </c>
      <c r="G59" s="63" t="s">
        <v>75</v>
      </c>
      <c r="H59" s="64">
        <v>42987</v>
      </c>
      <c r="I59" s="86">
        <v>420000</v>
      </c>
      <c r="J59" s="62" t="s">
        <v>241</v>
      </c>
      <c r="K59" s="62" t="s">
        <v>234</v>
      </c>
      <c r="L59" s="62" t="s">
        <v>235</v>
      </c>
      <c r="M59" s="213" t="s">
        <v>242</v>
      </c>
      <c r="N59" s="88" t="s">
        <v>31</v>
      </c>
      <c r="O59" s="86">
        <f t="shared" si="62"/>
        <v>420000</v>
      </c>
      <c r="P59" s="86"/>
      <c r="Q59" s="93"/>
      <c r="R59" s="86"/>
      <c r="S59" s="86"/>
      <c r="T59" s="93"/>
      <c r="U59" s="86"/>
      <c r="V59" s="86"/>
      <c r="W59" s="93"/>
      <c r="X59" s="86"/>
      <c r="Y59" s="86"/>
      <c r="Z59" s="93"/>
      <c r="AA59" s="86"/>
      <c r="AB59" s="86"/>
      <c r="AC59" s="93"/>
      <c r="AD59" s="86"/>
      <c r="AE59" s="86"/>
      <c r="AF59" s="93"/>
      <c r="AG59" s="86"/>
      <c r="AH59" s="86"/>
      <c r="AI59" s="93"/>
      <c r="AJ59" s="86"/>
      <c r="AK59" s="107"/>
      <c r="AL59" s="108">
        <f t="shared" si="57"/>
        <v>0</v>
      </c>
      <c r="AM59" s="109">
        <f t="shared" si="58"/>
        <v>420000</v>
      </c>
      <c r="AN59" s="110">
        <f t="shared" si="59"/>
        <v>0</v>
      </c>
      <c r="AO59" s="109">
        <f t="shared" si="60"/>
        <v>420000</v>
      </c>
      <c r="AP59" s="117" t="str">
        <f t="shared" si="61"/>
        <v>数据正确</v>
      </c>
      <c r="AQ59" s="42"/>
      <c r="AR59" s="42"/>
    </row>
    <row r="60" s="37" customFormat="1" customHeight="1" outlineLevel="1" spans="1:44">
      <c r="A60" s="130"/>
      <c r="B60" s="130" t="s">
        <v>83</v>
      </c>
      <c r="C60" s="130" t="s">
        <v>84</v>
      </c>
      <c r="D60" s="131">
        <v>205.5</v>
      </c>
      <c r="E60" s="63" t="s">
        <v>232</v>
      </c>
      <c r="F60" s="62" t="s">
        <v>22</v>
      </c>
      <c r="G60" s="63" t="s">
        <v>75</v>
      </c>
      <c r="H60" s="64">
        <v>42987</v>
      </c>
      <c r="I60" s="86">
        <v>600000</v>
      </c>
      <c r="J60" s="62" t="s">
        <v>243</v>
      </c>
      <c r="K60" s="62" t="s">
        <v>234</v>
      </c>
      <c r="L60" s="62" t="s">
        <v>235</v>
      </c>
      <c r="M60" s="213" t="s">
        <v>244</v>
      </c>
      <c r="N60" s="88" t="s">
        <v>31</v>
      </c>
      <c r="O60" s="86">
        <f t="shared" si="62"/>
        <v>600000</v>
      </c>
      <c r="P60" s="86"/>
      <c r="Q60" s="93"/>
      <c r="R60" s="86"/>
      <c r="S60" s="86"/>
      <c r="T60" s="93"/>
      <c r="U60" s="86"/>
      <c r="V60" s="86"/>
      <c r="W60" s="93"/>
      <c r="X60" s="86"/>
      <c r="Y60" s="86"/>
      <c r="Z60" s="93"/>
      <c r="AA60" s="86"/>
      <c r="AB60" s="86"/>
      <c r="AC60" s="93"/>
      <c r="AD60" s="86"/>
      <c r="AE60" s="86"/>
      <c r="AF60" s="93"/>
      <c r="AG60" s="86"/>
      <c r="AH60" s="86"/>
      <c r="AI60" s="93"/>
      <c r="AJ60" s="86"/>
      <c r="AK60" s="107"/>
      <c r="AL60" s="108">
        <f t="shared" si="57"/>
        <v>0</v>
      </c>
      <c r="AM60" s="109">
        <f t="shared" si="58"/>
        <v>600000</v>
      </c>
      <c r="AN60" s="110">
        <f t="shared" si="59"/>
        <v>0</v>
      </c>
      <c r="AO60" s="109">
        <f t="shared" si="60"/>
        <v>600000</v>
      </c>
      <c r="AP60" s="117" t="str">
        <f t="shared" si="61"/>
        <v>数据正确</v>
      </c>
      <c r="AQ60" s="42"/>
      <c r="AR60" s="42"/>
    </row>
    <row r="61" s="37" customFormat="1" customHeight="1" outlineLevel="1" spans="1:44">
      <c r="A61" s="130"/>
      <c r="B61" s="130" t="s">
        <v>83</v>
      </c>
      <c r="C61" s="130" t="s">
        <v>84</v>
      </c>
      <c r="D61" s="131">
        <v>205.6</v>
      </c>
      <c r="E61" s="63" t="s">
        <v>232</v>
      </c>
      <c r="F61" s="62" t="s">
        <v>22</v>
      </c>
      <c r="G61" s="63" t="s">
        <v>75</v>
      </c>
      <c r="H61" s="64">
        <v>42987</v>
      </c>
      <c r="I61" s="86">
        <v>780000</v>
      </c>
      <c r="J61" s="62" t="s">
        <v>245</v>
      </c>
      <c r="K61" s="62" t="s">
        <v>234</v>
      </c>
      <c r="L61" s="62" t="s">
        <v>235</v>
      </c>
      <c r="M61" s="213" t="s">
        <v>246</v>
      </c>
      <c r="N61" s="88" t="s">
        <v>31</v>
      </c>
      <c r="O61" s="86">
        <f t="shared" si="62"/>
        <v>780000</v>
      </c>
      <c r="P61" s="86"/>
      <c r="Q61" s="93"/>
      <c r="R61" s="86"/>
      <c r="S61" s="86"/>
      <c r="T61" s="93"/>
      <c r="U61" s="86"/>
      <c r="V61" s="86"/>
      <c r="W61" s="93"/>
      <c r="X61" s="86"/>
      <c r="Y61" s="86"/>
      <c r="Z61" s="93"/>
      <c r="AA61" s="86"/>
      <c r="AB61" s="86"/>
      <c r="AC61" s="93"/>
      <c r="AD61" s="86"/>
      <c r="AE61" s="86"/>
      <c r="AF61" s="93"/>
      <c r="AG61" s="86"/>
      <c r="AH61" s="86"/>
      <c r="AI61" s="93"/>
      <c r="AJ61" s="86"/>
      <c r="AK61" s="107"/>
      <c r="AL61" s="108">
        <f t="shared" si="57"/>
        <v>0</v>
      </c>
      <c r="AM61" s="109">
        <f t="shared" si="58"/>
        <v>780000</v>
      </c>
      <c r="AN61" s="110">
        <f t="shared" si="59"/>
        <v>0</v>
      </c>
      <c r="AO61" s="109">
        <f t="shared" si="60"/>
        <v>780000</v>
      </c>
      <c r="AP61" s="117" t="str">
        <f t="shared" si="61"/>
        <v>数据正确</v>
      </c>
      <c r="AQ61" s="42"/>
      <c r="AR61" s="42"/>
    </row>
    <row r="62" s="120" customFormat="1" customHeight="1" spans="1:44">
      <c r="A62" s="130" t="str">
        <f>IF(AN62=100%,"已完毕","")</f>
        <v/>
      </c>
      <c r="B62" s="130" t="s">
        <v>83</v>
      </c>
      <c r="C62" s="130" t="s">
        <v>84</v>
      </c>
      <c r="D62" s="202">
        <v>205</v>
      </c>
      <c r="E62" s="127" t="s">
        <v>75</v>
      </c>
      <c r="F62" s="126" t="s">
        <v>22</v>
      </c>
      <c r="G62" s="127" t="s">
        <v>75</v>
      </c>
      <c r="H62" s="128" t="s">
        <v>75</v>
      </c>
      <c r="I62" s="148">
        <f>SUM(I56:I61)</f>
        <v>119000000</v>
      </c>
      <c r="J62" s="126" t="s">
        <v>247</v>
      </c>
      <c r="K62" s="126" t="s">
        <v>234</v>
      </c>
      <c r="L62" s="126" t="s">
        <v>235</v>
      </c>
      <c r="M62" s="218" t="s">
        <v>248</v>
      </c>
      <c r="N62" s="147"/>
      <c r="O62" s="148">
        <f>SUM(O56:O61)</f>
        <v>119000000</v>
      </c>
      <c r="P62" s="148">
        <f t="shared" ref="P62:AO62" si="63">SUM(P56:P61)</f>
        <v>0</v>
      </c>
      <c r="Q62" s="148">
        <f t="shared" si="63"/>
        <v>0</v>
      </c>
      <c r="R62" s="148">
        <f t="shared" si="63"/>
        <v>0</v>
      </c>
      <c r="S62" s="148">
        <f t="shared" si="63"/>
        <v>0</v>
      </c>
      <c r="T62" s="148">
        <f t="shared" si="63"/>
        <v>0</v>
      </c>
      <c r="U62" s="148">
        <f t="shared" si="63"/>
        <v>0</v>
      </c>
      <c r="V62" s="148">
        <f t="shared" si="63"/>
        <v>0</v>
      </c>
      <c r="W62" s="148">
        <f t="shared" si="63"/>
        <v>0</v>
      </c>
      <c r="X62" s="148">
        <f t="shared" si="63"/>
        <v>0</v>
      </c>
      <c r="Y62" s="148">
        <f t="shared" si="63"/>
        <v>0</v>
      </c>
      <c r="Z62" s="148">
        <f t="shared" si="63"/>
        <v>0</v>
      </c>
      <c r="AA62" s="148">
        <f t="shared" si="63"/>
        <v>0</v>
      </c>
      <c r="AB62" s="148">
        <f t="shared" si="63"/>
        <v>0</v>
      </c>
      <c r="AC62" s="148">
        <f t="shared" si="63"/>
        <v>0</v>
      </c>
      <c r="AD62" s="148">
        <f t="shared" si="63"/>
        <v>0</v>
      </c>
      <c r="AE62" s="148">
        <f t="shared" si="63"/>
        <v>0</v>
      </c>
      <c r="AF62" s="148">
        <f t="shared" si="63"/>
        <v>0</v>
      </c>
      <c r="AG62" s="148">
        <f t="shared" si="63"/>
        <v>0</v>
      </c>
      <c r="AH62" s="148">
        <f t="shared" si="63"/>
        <v>0</v>
      </c>
      <c r="AI62" s="148">
        <f t="shared" si="63"/>
        <v>0</v>
      </c>
      <c r="AJ62" s="148">
        <f t="shared" si="63"/>
        <v>0</v>
      </c>
      <c r="AK62" s="161">
        <f t="shared" si="63"/>
        <v>0</v>
      </c>
      <c r="AL62" s="162">
        <f t="shared" si="63"/>
        <v>0</v>
      </c>
      <c r="AM62" s="162">
        <f t="shared" si="63"/>
        <v>119000000</v>
      </c>
      <c r="AN62" s="162">
        <f t="shared" si="63"/>
        <v>0</v>
      </c>
      <c r="AO62" s="162">
        <f t="shared" si="63"/>
        <v>119000000</v>
      </c>
      <c r="AP62" s="168" t="str">
        <f t="shared" si="61"/>
        <v>数据正确</v>
      </c>
      <c r="AQ62" s="192"/>
      <c r="AR62" s="192"/>
    </row>
    <row r="63" s="37" customFormat="1" customHeight="1" spans="1:44">
      <c r="A63" s="130" t="e">
        <f>IF(AN63=100%,"已完毕","")</f>
        <v>#DIV/0!</v>
      </c>
      <c r="B63" s="130"/>
      <c r="C63" s="130"/>
      <c r="D63" s="208"/>
      <c r="E63" s="63"/>
      <c r="F63" s="62"/>
      <c r="G63" s="63"/>
      <c r="H63" s="64"/>
      <c r="I63" s="86"/>
      <c r="J63" s="62"/>
      <c r="K63" s="62"/>
      <c r="L63" s="62"/>
      <c r="M63" s="87"/>
      <c r="N63" s="88"/>
      <c r="O63" s="86"/>
      <c r="P63" s="86"/>
      <c r="Q63" s="93"/>
      <c r="R63" s="86"/>
      <c r="S63" s="86"/>
      <c r="T63" s="93"/>
      <c r="U63" s="86"/>
      <c r="V63" s="86"/>
      <c r="W63" s="93"/>
      <c r="X63" s="86"/>
      <c r="Y63" s="86"/>
      <c r="Z63" s="93"/>
      <c r="AA63" s="86"/>
      <c r="AB63" s="86"/>
      <c r="AC63" s="93"/>
      <c r="AD63" s="86"/>
      <c r="AE63" s="86"/>
      <c r="AF63" s="93"/>
      <c r="AG63" s="86"/>
      <c r="AH63" s="86"/>
      <c r="AI63" s="93"/>
      <c r="AJ63" s="86"/>
      <c r="AK63" s="107"/>
      <c r="AL63" s="108">
        <f>P63+S63+V63+Y63+AB63+AE63+AH63+AK63</f>
        <v>0</v>
      </c>
      <c r="AM63" s="109">
        <f>I63-AL63</f>
        <v>0</v>
      </c>
      <c r="AN63" s="110" t="e">
        <f>AL63/I63</f>
        <v>#DIV/0!</v>
      </c>
      <c r="AO63" s="109">
        <f>O63+R63+U63+X63+AA63+AD63+AG63+AJ63</f>
        <v>0</v>
      </c>
      <c r="AP63" s="117" t="str">
        <f t="shared" si="61"/>
        <v>数据正确</v>
      </c>
      <c r="AQ63" s="42"/>
      <c r="AR63" s="42"/>
    </row>
    <row r="64" s="37" customFormat="1" customHeight="1" spans="1:44">
      <c r="A64" s="130" t="e">
        <f>IF(AN64=100%,"已完毕","")</f>
        <v>#DIV/0!</v>
      </c>
      <c r="B64" s="130"/>
      <c r="C64" s="130"/>
      <c r="D64" s="208"/>
      <c r="E64" s="63"/>
      <c r="F64" s="62"/>
      <c r="G64" s="63"/>
      <c r="H64" s="64"/>
      <c r="I64" s="86"/>
      <c r="J64" s="62"/>
      <c r="K64" s="62"/>
      <c r="L64" s="62"/>
      <c r="M64" s="87"/>
      <c r="N64" s="88"/>
      <c r="O64" s="86"/>
      <c r="P64" s="86"/>
      <c r="Q64" s="93"/>
      <c r="R64" s="86"/>
      <c r="S64" s="86"/>
      <c r="T64" s="93"/>
      <c r="U64" s="86"/>
      <c r="V64" s="86"/>
      <c r="W64" s="93"/>
      <c r="X64" s="86"/>
      <c r="Y64" s="86"/>
      <c r="Z64" s="93"/>
      <c r="AA64" s="86"/>
      <c r="AB64" s="86"/>
      <c r="AC64" s="93"/>
      <c r="AD64" s="86"/>
      <c r="AE64" s="86"/>
      <c r="AF64" s="93"/>
      <c r="AG64" s="86"/>
      <c r="AH64" s="86"/>
      <c r="AI64" s="93"/>
      <c r="AJ64" s="86"/>
      <c r="AK64" s="107"/>
      <c r="AL64" s="108">
        <f>P64+S64+V64+Y64+AB64+AE64+AH64+AK64</f>
        <v>0</v>
      </c>
      <c r="AM64" s="109">
        <f>I64-AL64</f>
        <v>0</v>
      </c>
      <c r="AN64" s="110" t="e">
        <f>AL64/I64</f>
        <v>#DIV/0!</v>
      </c>
      <c r="AO64" s="109">
        <f>O64+R64+U64+X64+AA64+AD64+AG64+AJ64</f>
        <v>0</v>
      </c>
      <c r="AP64" s="117" t="str">
        <f t="shared" si="61"/>
        <v>数据正确</v>
      </c>
      <c r="AQ64" s="42"/>
      <c r="AR64" s="42"/>
    </row>
    <row r="66" customHeight="1" spans="10:10">
      <c r="J66" s="37" t="s">
        <v>31</v>
      </c>
    </row>
  </sheetData>
  <autoFilter ref="A5:AR64"/>
  <mergeCells count="29">
    <mergeCell ref="E2:M2"/>
    <mergeCell ref="N2:AK2"/>
    <mergeCell ref="AL2:AP2"/>
    <mergeCell ref="N3:P3"/>
    <mergeCell ref="Q3:S3"/>
    <mergeCell ref="T3:V3"/>
    <mergeCell ref="W3:Y3"/>
    <mergeCell ref="Z3:AB3"/>
    <mergeCell ref="AC3:AE3"/>
    <mergeCell ref="AF3:AH3"/>
    <mergeCell ref="AI3:AK3"/>
    <mergeCell ref="A2:A5"/>
    <mergeCell ref="B2:B5"/>
    <mergeCell ref="C2:C5"/>
    <mergeCell ref="D2:D4"/>
    <mergeCell ref="E3:E4"/>
    <mergeCell ref="F3:F4"/>
    <mergeCell ref="G3:G4"/>
    <mergeCell ref="H3:H4"/>
    <mergeCell ref="I3:I4"/>
    <mergeCell ref="J3:J4"/>
    <mergeCell ref="K3:K4"/>
    <mergeCell ref="L3:L4"/>
    <mergeCell ref="M3:M4"/>
    <mergeCell ref="AL3:AL4"/>
    <mergeCell ref="AM3:AM4"/>
    <mergeCell ref="AN3:AN4"/>
    <mergeCell ref="AO3:AO4"/>
    <mergeCell ref="AP3:AP4"/>
  </mergeCells>
  <pageMargins left="0.75" right="0.75" top="1" bottom="1" header="0.511805555555556" footer="0.511805555555556"/>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14"/>
  <sheetViews>
    <sheetView workbookViewId="0">
      <pane xSplit="10" ySplit="5" topLeftCell="K6" activePane="bottomRight" state="frozen"/>
      <selection/>
      <selection pane="topRight"/>
      <selection pane="bottomLeft"/>
      <selection pane="bottomRight" activeCell="H13" sqref="H13"/>
    </sheetView>
  </sheetViews>
  <sheetFormatPr defaultColWidth="9" defaultRowHeight="18" customHeight="1"/>
  <cols>
    <col min="1" max="1" width="4" style="37" customWidth="1"/>
    <col min="2" max="3" width="5.125" style="37" customWidth="1"/>
    <col min="4" max="4" width="4.875" style="42" customWidth="1"/>
    <col min="5" max="5" width="14.75" style="37" customWidth="1"/>
    <col min="6" max="6" width="10.375" style="42" customWidth="1"/>
    <col min="7" max="7" width="9.625" style="42"/>
    <col min="8" max="8" width="12.125" style="42" customWidth="1"/>
    <col min="9" max="9" width="13.125" style="172"/>
    <col min="10" max="10" width="20.375" style="37" customWidth="1"/>
    <col min="11" max="11" width="22.875" style="37" customWidth="1"/>
    <col min="12" max="12" width="14.875" style="37" customWidth="1"/>
    <col min="13" max="13" width="10.125" style="37" customWidth="1"/>
    <col min="14" max="14" width="11.375" style="44" customWidth="1"/>
    <col min="15" max="15" width="13.125" style="43" customWidth="1"/>
    <col min="16" max="16" width="12.125" style="43" customWidth="1"/>
    <col min="17" max="17" width="12.625" style="44" customWidth="1"/>
    <col min="18" max="18" width="13.125" style="43" customWidth="1"/>
    <col min="19" max="19" width="12.5" style="43" customWidth="1"/>
    <col min="20" max="20" width="11.875" style="44" customWidth="1"/>
    <col min="21" max="21" width="11.25" style="43" customWidth="1"/>
    <col min="22" max="22" width="6.25" style="43" customWidth="1"/>
    <col min="23" max="23" width="11.125" style="44" customWidth="1"/>
    <col min="24" max="24" width="12.125" style="43" customWidth="1"/>
    <col min="25" max="25" width="6.25" style="43" customWidth="1"/>
    <col min="26" max="26" width="6.25" style="44" customWidth="1"/>
    <col min="27" max="27" width="12.125" style="43" customWidth="1"/>
    <col min="28" max="28" width="6.25" style="43" customWidth="1"/>
    <col min="29" max="29" width="6.25" style="44" customWidth="1"/>
    <col min="30" max="30" width="10.375" style="43" customWidth="1"/>
    <col min="31" max="31" width="6.25" style="43" customWidth="1"/>
    <col min="32" max="32" width="6.25" style="44" customWidth="1"/>
    <col min="33" max="33" width="10.375" style="43" customWidth="1"/>
    <col min="34" max="34" width="6.25" style="43" customWidth="1"/>
    <col min="35" max="35" width="6.25" style="44" customWidth="1"/>
    <col min="36" max="36" width="10.375" style="43" customWidth="1"/>
    <col min="37" max="37" width="9.5" style="43" customWidth="1"/>
    <col min="38" max="38" width="12.125" style="43" customWidth="1"/>
    <col min="39" max="39" width="13.125" style="43" customWidth="1"/>
    <col min="40" max="40" width="11.25" style="45" customWidth="1"/>
    <col min="41" max="41" width="13.125" style="43" customWidth="1"/>
    <col min="42" max="42" width="9.875" style="43" customWidth="1"/>
    <col min="43" max="43" width="10.25" style="37" customWidth="1"/>
    <col min="44" max="16384" width="9" style="37"/>
  </cols>
  <sheetData>
    <row r="1" s="37" customFormat="1" ht="5" customHeight="1" spans="4:42">
      <c r="D1" s="42"/>
      <c r="F1" s="42"/>
      <c r="G1" s="42"/>
      <c r="H1" s="42"/>
      <c r="I1" s="172"/>
      <c r="N1" s="44"/>
      <c r="O1" s="43"/>
      <c r="P1" s="43"/>
      <c r="Q1" s="44"/>
      <c r="R1" s="43"/>
      <c r="S1" s="43"/>
      <c r="T1" s="44"/>
      <c r="U1" s="43"/>
      <c r="V1" s="43"/>
      <c r="W1" s="44"/>
      <c r="X1" s="43"/>
      <c r="Y1" s="43"/>
      <c r="Z1" s="44"/>
      <c r="AA1" s="43"/>
      <c r="AB1" s="43"/>
      <c r="AC1" s="44"/>
      <c r="AD1" s="43"/>
      <c r="AE1" s="43"/>
      <c r="AF1" s="44"/>
      <c r="AG1" s="43"/>
      <c r="AH1" s="43"/>
      <c r="AI1" s="44"/>
      <c r="AJ1" s="43"/>
      <c r="AK1" s="43"/>
      <c r="AL1" s="43"/>
      <c r="AM1" s="43"/>
      <c r="AN1" s="45"/>
      <c r="AO1" s="43"/>
      <c r="AP1" s="43"/>
    </row>
    <row r="2" s="38" customFormat="1" ht="24" customHeight="1" spans="1:42">
      <c r="A2" s="46" t="s">
        <v>47</v>
      </c>
      <c r="B2" s="46" t="s">
        <v>77</v>
      </c>
      <c r="C2" s="46" t="s">
        <v>78</v>
      </c>
      <c r="D2" s="47" t="s">
        <v>48</v>
      </c>
      <c r="E2" s="48" t="s">
        <v>249</v>
      </c>
      <c r="F2" s="48"/>
      <c r="G2" s="48"/>
      <c r="H2" s="48"/>
      <c r="I2" s="180"/>
      <c r="J2" s="48"/>
      <c r="K2" s="48"/>
      <c r="L2" s="48"/>
      <c r="M2" s="72"/>
      <c r="N2" s="73" t="s">
        <v>250</v>
      </c>
      <c r="O2" s="74"/>
      <c r="P2" s="74"/>
      <c r="Q2" s="74"/>
      <c r="R2" s="74"/>
      <c r="S2" s="74"/>
      <c r="T2" s="74"/>
      <c r="U2" s="74"/>
      <c r="V2" s="74"/>
      <c r="W2" s="74"/>
      <c r="X2" s="74"/>
      <c r="Y2" s="74"/>
      <c r="Z2" s="74"/>
      <c r="AA2" s="74"/>
      <c r="AB2" s="74"/>
      <c r="AC2" s="74"/>
      <c r="AD2" s="74"/>
      <c r="AE2" s="74"/>
      <c r="AF2" s="74"/>
      <c r="AG2" s="74"/>
      <c r="AH2" s="74"/>
      <c r="AI2" s="74"/>
      <c r="AJ2" s="74"/>
      <c r="AK2" s="95"/>
      <c r="AL2" s="73" t="s">
        <v>51</v>
      </c>
      <c r="AM2" s="74"/>
      <c r="AN2" s="96"/>
      <c r="AO2" s="74"/>
      <c r="AP2" s="95"/>
    </row>
    <row r="3" s="39" customFormat="1" customHeight="1" spans="1:42">
      <c r="A3" s="46"/>
      <c r="B3" s="46"/>
      <c r="C3" s="46"/>
      <c r="D3" s="49"/>
      <c r="E3" s="50" t="s">
        <v>52</v>
      </c>
      <c r="F3" s="50" t="s">
        <v>13</v>
      </c>
      <c r="G3" s="50" t="s">
        <v>53</v>
      </c>
      <c r="H3" s="51" t="s">
        <v>54</v>
      </c>
      <c r="I3" s="181" t="s">
        <v>39</v>
      </c>
      <c r="J3" s="50" t="s">
        <v>55</v>
      </c>
      <c r="K3" s="50" t="s">
        <v>56</v>
      </c>
      <c r="L3" s="50" t="s">
        <v>57</v>
      </c>
      <c r="M3" s="76" t="s">
        <v>58</v>
      </c>
      <c r="N3" s="77" t="s">
        <v>59</v>
      </c>
      <c r="O3" s="75"/>
      <c r="P3" s="75"/>
      <c r="Q3" s="75" t="s">
        <v>60</v>
      </c>
      <c r="R3" s="75"/>
      <c r="S3" s="75"/>
      <c r="T3" s="75" t="s">
        <v>61</v>
      </c>
      <c r="U3" s="75"/>
      <c r="V3" s="75"/>
      <c r="W3" s="75" t="s">
        <v>62</v>
      </c>
      <c r="X3" s="75"/>
      <c r="Y3" s="75"/>
      <c r="Z3" s="75" t="s">
        <v>63</v>
      </c>
      <c r="AA3" s="75"/>
      <c r="AB3" s="75"/>
      <c r="AC3" s="75" t="s">
        <v>64</v>
      </c>
      <c r="AD3" s="75"/>
      <c r="AE3" s="75"/>
      <c r="AF3" s="75" t="s">
        <v>65</v>
      </c>
      <c r="AG3" s="75"/>
      <c r="AH3" s="75"/>
      <c r="AI3" s="75" t="s">
        <v>66</v>
      </c>
      <c r="AJ3" s="75"/>
      <c r="AK3" s="97"/>
      <c r="AL3" s="77" t="s">
        <v>67</v>
      </c>
      <c r="AM3" s="75" t="s">
        <v>68</v>
      </c>
      <c r="AN3" s="98" t="s">
        <v>18</v>
      </c>
      <c r="AO3" s="79" t="s">
        <v>69</v>
      </c>
      <c r="AP3" s="99" t="s">
        <v>70</v>
      </c>
    </row>
    <row r="4" s="39" customFormat="1" ht="26" customHeight="1" spans="1:42">
      <c r="A4" s="46"/>
      <c r="B4" s="46"/>
      <c r="C4" s="46"/>
      <c r="D4" s="49"/>
      <c r="E4" s="50"/>
      <c r="F4" s="50"/>
      <c r="G4" s="50"/>
      <c r="H4" s="51"/>
      <c r="I4" s="181"/>
      <c r="J4" s="50"/>
      <c r="K4" s="50"/>
      <c r="L4" s="50"/>
      <c r="M4" s="76"/>
      <c r="N4" s="78" t="s">
        <v>71</v>
      </c>
      <c r="O4" s="79" t="s">
        <v>72</v>
      </c>
      <c r="P4" s="79" t="s">
        <v>73</v>
      </c>
      <c r="Q4" s="79" t="s">
        <v>71</v>
      </c>
      <c r="R4" s="79" t="s">
        <v>72</v>
      </c>
      <c r="S4" s="79" t="s">
        <v>73</v>
      </c>
      <c r="T4" s="79" t="s">
        <v>71</v>
      </c>
      <c r="U4" s="79" t="s">
        <v>72</v>
      </c>
      <c r="V4" s="79" t="s">
        <v>73</v>
      </c>
      <c r="W4" s="79" t="s">
        <v>71</v>
      </c>
      <c r="X4" s="79" t="s">
        <v>72</v>
      </c>
      <c r="Y4" s="79" t="s">
        <v>73</v>
      </c>
      <c r="Z4" s="79" t="s">
        <v>71</v>
      </c>
      <c r="AA4" s="79" t="s">
        <v>72</v>
      </c>
      <c r="AB4" s="79" t="s">
        <v>73</v>
      </c>
      <c r="AC4" s="79" t="s">
        <v>71</v>
      </c>
      <c r="AD4" s="79" t="s">
        <v>72</v>
      </c>
      <c r="AE4" s="79" t="s">
        <v>73</v>
      </c>
      <c r="AF4" s="79" t="s">
        <v>71</v>
      </c>
      <c r="AG4" s="79" t="s">
        <v>72</v>
      </c>
      <c r="AH4" s="79" t="s">
        <v>73</v>
      </c>
      <c r="AI4" s="79" t="s">
        <v>71</v>
      </c>
      <c r="AJ4" s="79" t="s">
        <v>72</v>
      </c>
      <c r="AK4" s="99" t="s">
        <v>73</v>
      </c>
      <c r="AL4" s="77"/>
      <c r="AM4" s="75"/>
      <c r="AN4" s="98"/>
      <c r="AO4" s="79"/>
      <c r="AP4" s="99"/>
    </row>
    <row r="5" s="40" customFormat="1" ht="26" customHeight="1" spans="1:44">
      <c r="A5" s="46"/>
      <c r="B5" s="46"/>
      <c r="C5" s="46"/>
      <c r="D5" s="52" t="s">
        <v>26</v>
      </c>
      <c r="E5" s="53" t="s">
        <v>74</v>
      </c>
      <c r="F5" s="54" t="s">
        <v>75</v>
      </c>
      <c r="G5" s="54" t="s">
        <v>75</v>
      </c>
      <c r="H5" s="55" t="s">
        <v>75</v>
      </c>
      <c r="I5" s="182">
        <f>SUM(I6:I1594)-I26</f>
        <v>540913226.499</v>
      </c>
      <c r="J5" s="80" t="s">
        <v>75</v>
      </c>
      <c r="K5" s="80" t="s">
        <v>75</v>
      </c>
      <c r="L5" s="80" t="s">
        <v>75</v>
      </c>
      <c r="M5" s="81" t="s">
        <v>75</v>
      </c>
      <c r="N5" s="82" t="s">
        <v>75</v>
      </c>
      <c r="O5" s="80">
        <f t="shared" ref="J5:AK5" si="0">SUM(O6:O1594)-O26</f>
        <v>114936179.0206</v>
      </c>
      <c r="P5" s="80">
        <f t="shared" si="0"/>
        <v>66040445.9306</v>
      </c>
      <c r="Q5" s="80" t="s">
        <v>75</v>
      </c>
      <c r="R5" s="80">
        <f t="shared" si="0"/>
        <v>267955733.4784</v>
      </c>
      <c r="S5" s="80">
        <f t="shared" si="0"/>
        <v>27503956.6384</v>
      </c>
      <c r="T5" s="80" t="s">
        <v>75</v>
      </c>
      <c r="U5" s="80">
        <f t="shared" si="0"/>
        <v>100645557.6</v>
      </c>
      <c r="V5" s="80">
        <f t="shared" si="0"/>
        <v>0</v>
      </c>
      <c r="W5" s="80" t="s">
        <v>75</v>
      </c>
      <c r="X5" s="80">
        <f t="shared" si="0"/>
        <v>40403097.6</v>
      </c>
      <c r="Y5" s="80">
        <f t="shared" si="0"/>
        <v>0</v>
      </c>
      <c r="Z5" s="80" t="s">
        <v>75</v>
      </c>
      <c r="AA5" s="80">
        <f t="shared" si="0"/>
        <v>10924658.8</v>
      </c>
      <c r="AB5" s="80">
        <f t="shared" si="0"/>
        <v>0</v>
      </c>
      <c r="AC5" s="80" t="s">
        <v>75</v>
      </c>
      <c r="AD5" s="80">
        <f t="shared" si="0"/>
        <v>6048000</v>
      </c>
      <c r="AE5" s="80">
        <f t="shared" si="0"/>
        <v>0</v>
      </c>
      <c r="AF5" s="80" t="s">
        <v>75</v>
      </c>
      <c r="AG5" s="80">
        <f t="shared" si="0"/>
        <v>0</v>
      </c>
      <c r="AH5" s="80">
        <f t="shared" si="0"/>
        <v>0</v>
      </c>
      <c r="AI5" s="80" t="s">
        <v>75</v>
      </c>
      <c r="AJ5" s="80">
        <f t="shared" si="0"/>
        <v>0</v>
      </c>
      <c r="AK5" s="81">
        <f t="shared" si="0"/>
        <v>0</v>
      </c>
      <c r="AL5" s="100">
        <f>P5+S5+V5+Y5+AB5+AE5+AH5+AK5</f>
        <v>93544402.569</v>
      </c>
      <c r="AM5" s="101">
        <f>I5-AL5</f>
        <v>447368823.93</v>
      </c>
      <c r="AN5" s="102">
        <f>AL5/I5</f>
        <v>0.172937909421176</v>
      </c>
      <c r="AO5" s="101">
        <f>O5+R5+U5+X5+AA5+AD5+AG5+AJ5</f>
        <v>540913226.499</v>
      </c>
      <c r="AP5" s="115" t="str">
        <f>IF(AO5-I5=0,"数据正确","数据错误")</f>
        <v>数据正确</v>
      </c>
      <c r="AQ5" s="40" t="s">
        <v>81</v>
      </c>
      <c r="AR5" s="40" t="s">
        <v>82</v>
      </c>
    </row>
    <row r="6" s="37" customFormat="1" customHeight="1" spans="1:42">
      <c r="A6" s="37" t="str">
        <f>IF(AN6=100%,"已完毕","")</f>
        <v/>
      </c>
      <c r="B6" s="37" t="s">
        <v>83</v>
      </c>
      <c r="C6" s="37" t="s">
        <v>84</v>
      </c>
      <c r="D6" s="57">
        <v>109</v>
      </c>
      <c r="E6" s="58" t="s">
        <v>251</v>
      </c>
      <c r="F6" s="173" t="s">
        <v>23</v>
      </c>
      <c r="G6" s="59" t="s">
        <v>75</v>
      </c>
      <c r="H6" s="60">
        <v>42091</v>
      </c>
      <c r="I6" s="183">
        <v>144980</v>
      </c>
      <c r="J6" s="58" t="s">
        <v>252</v>
      </c>
      <c r="K6" s="58" t="s">
        <v>253</v>
      </c>
      <c r="L6" s="58"/>
      <c r="M6" s="84" t="s">
        <v>254</v>
      </c>
      <c r="N6" s="85" t="s">
        <v>255</v>
      </c>
      <c r="O6" s="83">
        <f>I6*0.95</f>
        <v>137731</v>
      </c>
      <c r="P6" s="83">
        <f>100000+8735</f>
        <v>108735</v>
      </c>
      <c r="Q6" s="92" t="s">
        <v>256</v>
      </c>
      <c r="R6" s="83">
        <f>I6*0.05</f>
        <v>7249</v>
      </c>
      <c r="S6" s="83"/>
      <c r="T6" s="92"/>
      <c r="U6" s="83"/>
      <c r="V6" s="83"/>
      <c r="W6" s="92"/>
      <c r="X6" s="83"/>
      <c r="Y6" s="83"/>
      <c r="Z6" s="92"/>
      <c r="AA6" s="83"/>
      <c r="AB6" s="83"/>
      <c r="AC6" s="92"/>
      <c r="AD6" s="83"/>
      <c r="AE6" s="83"/>
      <c r="AF6" s="92"/>
      <c r="AG6" s="83"/>
      <c r="AH6" s="83"/>
      <c r="AI6" s="92"/>
      <c r="AJ6" s="83"/>
      <c r="AK6" s="103"/>
      <c r="AL6" s="104">
        <f t="shared" ref="AL6:AL49" si="1">P6+S6+V6+Y6+AB6+AE6+AH6+AK6</f>
        <v>108735</v>
      </c>
      <c r="AM6" s="105">
        <f t="shared" ref="AM6:AM49" si="2">I6-AL6</f>
        <v>36245</v>
      </c>
      <c r="AN6" s="106">
        <f t="shared" ref="AN6:AN49" si="3">AL6/I6</f>
        <v>0.75</v>
      </c>
      <c r="AO6" s="105">
        <f t="shared" ref="AO6:AO49" si="4">O6+R6+U6+X6+AA6+AD6+AG6+AJ6</f>
        <v>144980</v>
      </c>
      <c r="AP6" s="116" t="str">
        <f t="shared" ref="AP6:AP37" si="5">IF(AO6-I6=0,"数据正确","数据错误")</f>
        <v>数据正确</v>
      </c>
    </row>
    <row r="7" s="37" customFormat="1" customHeight="1" spans="1:42">
      <c r="A7" s="37" t="str">
        <f t="shared" ref="A7:A51" si="6">IF(AN7=100%,"已完毕","")</f>
        <v/>
      </c>
      <c r="B7" s="37" t="s">
        <v>83</v>
      </c>
      <c r="C7" s="37" t="s">
        <v>84</v>
      </c>
      <c r="D7" s="61">
        <v>110</v>
      </c>
      <c r="E7" s="62" t="s">
        <v>257</v>
      </c>
      <c r="F7" s="133" t="s">
        <v>23</v>
      </c>
      <c r="G7" s="63" t="s">
        <v>75</v>
      </c>
      <c r="H7" s="64">
        <v>42240</v>
      </c>
      <c r="I7" s="184">
        <v>409300</v>
      </c>
      <c r="J7" s="62" t="s">
        <v>258</v>
      </c>
      <c r="K7" s="62" t="s">
        <v>259</v>
      </c>
      <c r="L7" s="62"/>
      <c r="M7" s="87" t="s">
        <v>254</v>
      </c>
      <c r="N7" s="88" t="s">
        <v>255</v>
      </c>
      <c r="O7" s="86">
        <f>I7*0.95</f>
        <v>388835</v>
      </c>
      <c r="P7" s="86">
        <f>5198.6+383636.4</f>
        <v>388835</v>
      </c>
      <c r="Q7" s="93" t="s">
        <v>260</v>
      </c>
      <c r="R7" s="86">
        <f>I7*0.05</f>
        <v>20465</v>
      </c>
      <c r="S7" s="86"/>
      <c r="T7" s="93"/>
      <c r="U7" s="86"/>
      <c r="V7" s="86"/>
      <c r="W7" s="93"/>
      <c r="X7" s="86"/>
      <c r="Y7" s="86"/>
      <c r="Z7" s="93"/>
      <c r="AA7" s="86"/>
      <c r="AB7" s="86"/>
      <c r="AC7" s="93"/>
      <c r="AD7" s="86"/>
      <c r="AE7" s="86"/>
      <c r="AF7" s="93"/>
      <c r="AG7" s="86"/>
      <c r="AH7" s="86"/>
      <c r="AI7" s="93"/>
      <c r="AJ7" s="86"/>
      <c r="AK7" s="107"/>
      <c r="AL7" s="108">
        <f t="shared" si="1"/>
        <v>388835</v>
      </c>
      <c r="AM7" s="109">
        <f t="shared" si="2"/>
        <v>20465</v>
      </c>
      <c r="AN7" s="110">
        <f t="shared" si="3"/>
        <v>0.95</v>
      </c>
      <c r="AO7" s="109">
        <f t="shared" si="4"/>
        <v>409300</v>
      </c>
      <c r="AP7" s="117" t="str">
        <f t="shared" si="5"/>
        <v>数据正确</v>
      </c>
    </row>
    <row r="8" s="37" customFormat="1" customHeight="1" spans="1:42">
      <c r="A8" s="37" t="str">
        <f t="shared" si="6"/>
        <v/>
      </c>
      <c r="B8" s="37" t="s">
        <v>83</v>
      </c>
      <c r="C8" s="37" t="s">
        <v>84</v>
      </c>
      <c r="D8" s="61">
        <v>111</v>
      </c>
      <c r="E8" s="62" t="s">
        <v>261</v>
      </c>
      <c r="F8" s="133" t="s">
        <v>23</v>
      </c>
      <c r="G8" s="63" t="s">
        <v>75</v>
      </c>
      <c r="H8" s="64">
        <v>42240</v>
      </c>
      <c r="I8" s="184">
        <v>49020</v>
      </c>
      <c r="J8" s="62" t="s">
        <v>262</v>
      </c>
      <c r="K8" s="62" t="s">
        <v>263</v>
      </c>
      <c r="L8" s="62"/>
      <c r="M8" s="87" t="s">
        <v>254</v>
      </c>
      <c r="N8" s="88" t="s">
        <v>255</v>
      </c>
      <c r="O8" s="86">
        <f>I8*0.95</f>
        <v>46569</v>
      </c>
      <c r="P8" s="86">
        <f>30000+16569</f>
        <v>46569</v>
      </c>
      <c r="Q8" s="93" t="s">
        <v>256</v>
      </c>
      <c r="R8" s="86">
        <f>I8*0.05</f>
        <v>2451</v>
      </c>
      <c r="S8" s="86"/>
      <c r="T8" s="93"/>
      <c r="U8" s="86"/>
      <c r="V8" s="86"/>
      <c r="W8" s="93"/>
      <c r="X8" s="86"/>
      <c r="Y8" s="86"/>
      <c r="Z8" s="93"/>
      <c r="AA8" s="86"/>
      <c r="AB8" s="86"/>
      <c r="AC8" s="93"/>
      <c r="AD8" s="86"/>
      <c r="AE8" s="86"/>
      <c r="AF8" s="93"/>
      <c r="AG8" s="86"/>
      <c r="AH8" s="86"/>
      <c r="AI8" s="93"/>
      <c r="AJ8" s="86"/>
      <c r="AK8" s="107"/>
      <c r="AL8" s="108">
        <f t="shared" si="1"/>
        <v>46569</v>
      </c>
      <c r="AM8" s="109">
        <f t="shared" si="2"/>
        <v>2451</v>
      </c>
      <c r="AN8" s="110">
        <f t="shared" si="3"/>
        <v>0.95</v>
      </c>
      <c r="AO8" s="109">
        <f t="shared" si="4"/>
        <v>49020</v>
      </c>
      <c r="AP8" s="117" t="str">
        <f t="shared" si="5"/>
        <v>数据正确</v>
      </c>
    </row>
    <row r="9" s="37" customFormat="1" customHeight="1" spans="1:42">
      <c r="A9" s="37" t="str">
        <f t="shared" si="6"/>
        <v/>
      </c>
      <c r="B9" s="37" t="s">
        <v>83</v>
      </c>
      <c r="C9" s="37" t="s">
        <v>84</v>
      </c>
      <c r="D9" s="61">
        <v>112</v>
      </c>
      <c r="E9" s="62" t="s">
        <v>264</v>
      </c>
      <c r="F9" s="133" t="s">
        <v>23</v>
      </c>
      <c r="G9" s="63" t="s">
        <v>75</v>
      </c>
      <c r="H9" s="64">
        <v>42324</v>
      </c>
      <c r="I9" s="184">
        <v>76312</v>
      </c>
      <c r="J9" s="62" t="s">
        <v>265</v>
      </c>
      <c r="K9" s="62" t="s">
        <v>259</v>
      </c>
      <c r="L9" s="62"/>
      <c r="M9" s="87" t="s">
        <v>254</v>
      </c>
      <c r="N9" s="88" t="s">
        <v>255</v>
      </c>
      <c r="O9" s="86">
        <f>I9*0.95</f>
        <v>72496.4</v>
      </c>
      <c r="P9" s="86"/>
      <c r="Q9" s="93" t="s">
        <v>260</v>
      </c>
      <c r="R9" s="86">
        <f>I9*0.05</f>
        <v>3815.6</v>
      </c>
      <c r="S9" s="86"/>
      <c r="T9" s="93"/>
      <c r="U9" s="86"/>
      <c r="V9" s="86"/>
      <c r="W9" s="93"/>
      <c r="X9" s="86"/>
      <c r="Y9" s="86"/>
      <c r="Z9" s="93"/>
      <c r="AA9" s="86"/>
      <c r="AB9" s="86"/>
      <c r="AC9" s="93"/>
      <c r="AD9" s="86"/>
      <c r="AE9" s="86"/>
      <c r="AF9" s="93"/>
      <c r="AG9" s="86"/>
      <c r="AH9" s="86"/>
      <c r="AI9" s="93"/>
      <c r="AJ9" s="86"/>
      <c r="AK9" s="107"/>
      <c r="AL9" s="108">
        <f t="shared" si="1"/>
        <v>0</v>
      </c>
      <c r="AM9" s="109">
        <f t="shared" si="2"/>
        <v>76312</v>
      </c>
      <c r="AN9" s="110">
        <f t="shared" si="3"/>
        <v>0</v>
      </c>
      <c r="AO9" s="109">
        <f t="shared" si="4"/>
        <v>76312</v>
      </c>
      <c r="AP9" s="117" t="str">
        <f t="shared" si="5"/>
        <v>数据正确</v>
      </c>
    </row>
    <row r="10" s="37" customFormat="1" customHeight="1" spans="1:42">
      <c r="A10" s="37" t="str">
        <f t="shared" si="6"/>
        <v/>
      </c>
      <c r="B10" s="37" t="s">
        <v>83</v>
      </c>
      <c r="C10" s="37" t="s">
        <v>84</v>
      </c>
      <c r="D10" s="61">
        <v>113</v>
      </c>
      <c r="E10" s="62" t="s">
        <v>106</v>
      </c>
      <c r="F10" s="133" t="s">
        <v>23</v>
      </c>
      <c r="G10" s="63" t="s">
        <v>75</v>
      </c>
      <c r="H10" s="64">
        <v>42460</v>
      </c>
      <c r="I10" s="184">
        <v>24780</v>
      </c>
      <c r="J10" s="62" t="s">
        <v>266</v>
      </c>
      <c r="K10" s="62" t="s">
        <v>267</v>
      </c>
      <c r="L10" s="62"/>
      <c r="M10" s="87" t="s">
        <v>76</v>
      </c>
      <c r="N10" s="88" t="s">
        <v>268</v>
      </c>
      <c r="O10" s="86">
        <f>I10</f>
        <v>24780</v>
      </c>
      <c r="P10" s="86">
        <v>31709</v>
      </c>
      <c r="Q10" s="93"/>
      <c r="R10" s="86"/>
      <c r="S10" s="86"/>
      <c r="T10" s="93"/>
      <c r="U10" s="86"/>
      <c r="V10" s="86"/>
      <c r="W10" s="93"/>
      <c r="X10" s="86"/>
      <c r="Y10" s="86"/>
      <c r="Z10" s="93"/>
      <c r="AA10" s="86"/>
      <c r="AB10" s="86"/>
      <c r="AC10" s="93"/>
      <c r="AD10" s="86"/>
      <c r="AE10" s="86"/>
      <c r="AF10" s="93"/>
      <c r="AG10" s="86"/>
      <c r="AH10" s="86"/>
      <c r="AI10" s="93"/>
      <c r="AJ10" s="86"/>
      <c r="AK10" s="107"/>
      <c r="AL10" s="108">
        <f t="shared" si="1"/>
        <v>31709</v>
      </c>
      <c r="AM10" s="109">
        <f t="shared" si="2"/>
        <v>-6929</v>
      </c>
      <c r="AN10" s="110">
        <f t="shared" si="3"/>
        <v>1.27962066182405</v>
      </c>
      <c r="AO10" s="109">
        <f t="shared" si="4"/>
        <v>24780</v>
      </c>
      <c r="AP10" s="117" t="str">
        <f t="shared" si="5"/>
        <v>数据正确</v>
      </c>
    </row>
    <row r="11" s="37" customFormat="1" customHeight="1" spans="1:42">
      <c r="A11" s="37" t="str">
        <f t="shared" si="6"/>
        <v>已完毕</v>
      </c>
      <c r="B11" s="37" t="s">
        <v>83</v>
      </c>
      <c r="C11" s="37" t="s">
        <v>84</v>
      </c>
      <c r="D11" s="61">
        <v>6</v>
      </c>
      <c r="E11" s="132" t="s">
        <v>269</v>
      </c>
      <c r="F11" s="133" t="s">
        <v>23</v>
      </c>
      <c r="G11" s="174">
        <v>2016070031</v>
      </c>
      <c r="H11" s="135">
        <v>42750</v>
      </c>
      <c r="I11" s="185">
        <v>0.001</v>
      </c>
      <c r="J11" s="62" t="s">
        <v>270</v>
      </c>
      <c r="K11" s="132" t="s">
        <v>271</v>
      </c>
      <c r="L11" s="62"/>
      <c r="M11" s="87" t="s">
        <v>272</v>
      </c>
      <c r="N11" s="88" t="s">
        <v>272</v>
      </c>
      <c r="O11" s="86">
        <v>0.001</v>
      </c>
      <c r="P11" s="86">
        <v>0.001</v>
      </c>
      <c r="Q11" s="93"/>
      <c r="R11" s="86"/>
      <c r="S11" s="86"/>
      <c r="T11" s="93"/>
      <c r="U11" s="86"/>
      <c r="V11" s="86"/>
      <c r="W11" s="93"/>
      <c r="X11" s="86"/>
      <c r="Y11" s="86"/>
      <c r="Z11" s="93"/>
      <c r="AA11" s="86"/>
      <c r="AB11" s="86"/>
      <c r="AC11" s="93"/>
      <c r="AD11" s="86"/>
      <c r="AE11" s="86"/>
      <c r="AF11" s="93"/>
      <c r="AG11" s="86"/>
      <c r="AH11" s="86"/>
      <c r="AI11" s="93"/>
      <c r="AJ11" s="86"/>
      <c r="AK11" s="107"/>
      <c r="AL11" s="108">
        <f t="shared" si="1"/>
        <v>0.001</v>
      </c>
      <c r="AM11" s="109">
        <f t="shared" si="2"/>
        <v>0</v>
      </c>
      <c r="AN11" s="110">
        <f t="shared" si="3"/>
        <v>1</v>
      </c>
      <c r="AO11" s="109">
        <f t="shared" si="4"/>
        <v>0.001</v>
      </c>
      <c r="AP11" s="117" t="str">
        <f t="shared" si="5"/>
        <v>数据正确</v>
      </c>
    </row>
    <row r="12" s="37" customFormat="1" customHeight="1" spans="1:42">
      <c r="A12" s="37" t="str">
        <f t="shared" si="6"/>
        <v/>
      </c>
      <c r="B12" s="37" t="s">
        <v>83</v>
      </c>
      <c r="C12" s="37" t="s">
        <v>84</v>
      </c>
      <c r="D12" s="61">
        <v>7</v>
      </c>
      <c r="E12" s="132" t="s">
        <v>273</v>
      </c>
      <c r="F12" s="133" t="s">
        <v>23</v>
      </c>
      <c r="G12" s="63" t="s">
        <v>274</v>
      </c>
      <c r="H12" s="135">
        <v>42758</v>
      </c>
      <c r="I12" s="185">
        <v>1280000</v>
      </c>
      <c r="J12" s="62" t="s">
        <v>275</v>
      </c>
      <c r="K12" s="132" t="s">
        <v>276</v>
      </c>
      <c r="L12" s="62" t="s">
        <v>277</v>
      </c>
      <c r="M12" s="87" t="s">
        <v>278</v>
      </c>
      <c r="N12" s="88" t="s">
        <v>279</v>
      </c>
      <c r="O12" s="86">
        <f>1280000*0.9</f>
        <v>1152000</v>
      </c>
      <c r="P12" s="86">
        <v>1152000</v>
      </c>
      <c r="Q12" s="93" t="s">
        <v>280</v>
      </c>
      <c r="R12" s="86">
        <f>1280000*0.1</f>
        <v>128000</v>
      </c>
      <c r="S12" s="86"/>
      <c r="T12" s="93"/>
      <c r="U12" s="86"/>
      <c r="V12" s="86"/>
      <c r="W12" s="93"/>
      <c r="X12" s="86"/>
      <c r="Y12" s="86"/>
      <c r="Z12" s="93"/>
      <c r="AA12" s="86"/>
      <c r="AB12" s="86"/>
      <c r="AC12" s="93"/>
      <c r="AD12" s="86"/>
      <c r="AE12" s="86"/>
      <c r="AF12" s="93"/>
      <c r="AG12" s="86"/>
      <c r="AH12" s="86"/>
      <c r="AI12" s="93"/>
      <c r="AJ12" s="86"/>
      <c r="AK12" s="107"/>
      <c r="AL12" s="108">
        <f t="shared" si="1"/>
        <v>1152000</v>
      </c>
      <c r="AM12" s="109">
        <f t="shared" si="2"/>
        <v>128000</v>
      </c>
      <c r="AN12" s="110">
        <f t="shared" si="3"/>
        <v>0.9</v>
      </c>
      <c r="AO12" s="109">
        <f t="shared" si="4"/>
        <v>1280000</v>
      </c>
      <c r="AP12" s="117" t="str">
        <f t="shared" si="5"/>
        <v>数据正确</v>
      </c>
    </row>
    <row r="13" s="37" customFormat="1" customHeight="1" spans="1:42">
      <c r="A13" s="37" t="str">
        <f t="shared" si="6"/>
        <v/>
      </c>
      <c r="B13" s="37" t="s">
        <v>83</v>
      </c>
      <c r="C13" s="37" t="s">
        <v>84</v>
      </c>
      <c r="D13" s="61">
        <v>5</v>
      </c>
      <c r="E13" s="132" t="s">
        <v>281</v>
      </c>
      <c r="F13" s="133" t="s">
        <v>23</v>
      </c>
      <c r="G13" s="63" t="s">
        <v>282</v>
      </c>
      <c r="H13" s="135">
        <v>42772</v>
      </c>
      <c r="I13" s="185">
        <v>11300000</v>
      </c>
      <c r="J13" s="62" t="s">
        <v>283</v>
      </c>
      <c r="K13" s="132" t="s">
        <v>284</v>
      </c>
      <c r="L13" s="62" t="s">
        <v>285</v>
      </c>
      <c r="M13" s="87" t="s">
        <v>278</v>
      </c>
      <c r="N13" s="88" t="s">
        <v>286</v>
      </c>
      <c r="O13" s="86">
        <f>11300000*0.2</f>
        <v>2260000</v>
      </c>
      <c r="P13" s="86">
        <v>2260000</v>
      </c>
      <c r="Q13" s="93" t="s">
        <v>287</v>
      </c>
      <c r="R13" s="86">
        <f>11300000*0.5</f>
        <v>5650000</v>
      </c>
      <c r="S13" s="86">
        <v>565000</v>
      </c>
      <c r="T13" s="93" t="s">
        <v>288</v>
      </c>
      <c r="U13" s="86">
        <f>11300000*0.3</f>
        <v>3390000</v>
      </c>
      <c r="V13" s="86"/>
      <c r="W13" s="93"/>
      <c r="X13" s="86"/>
      <c r="Y13" s="86"/>
      <c r="Z13" s="93"/>
      <c r="AA13" s="86"/>
      <c r="AB13" s="86"/>
      <c r="AC13" s="93"/>
      <c r="AD13" s="86"/>
      <c r="AE13" s="86"/>
      <c r="AF13" s="93"/>
      <c r="AG13" s="86"/>
      <c r="AH13" s="86"/>
      <c r="AI13" s="93"/>
      <c r="AJ13" s="86"/>
      <c r="AK13" s="107"/>
      <c r="AL13" s="108">
        <f t="shared" si="1"/>
        <v>2825000</v>
      </c>
      <c r="AM13" s="109">
        <f t="shared" si="2"/>
        <v>8475000</v>
      </c>
      <c r="AN13" s="110">
        <f t="shared" si="3"/>
        <v>0.25</v>
      </c>
      <c r="AO13" s="109">
        <f t="shared" si="4"/>
        <v>11300000</v>
      </c>
      <c r="AP13" s="117" t="str">
        <f t="shared" si="5"/>
        <v>数据正确</v>
      </c>
    </row>
    <row r="14" s="37" customFormat="1" customHeight="1" spans="1:42">
      <c r="A14" s="37" t="str">
        <f t="shared" si="6"/>
        <v/>
      </c>
      <c r="B14" s="37" t="s">
        <v>83</v>
      </c>
      <c r="C14" s="37" t="s">
        <v>84</v>
      </c>
      <c r="D14" s="61">
        <v>11</v>
      </c>
      <c r="E14" s="132" t="s">
        <v>289</v>
      </c>
      <c r="F14" s="133" t="s">
        <v>23</v>
      </c>
      <c r="G14" s="174" t="s">
        <v>290</v>
      </c>
      <c r="H14" s="135">
        <v>42788</v>
      </c>
      <c r="I14" s="185">
        <v>4120000</v>
      </c>
      <c r="J14" s="62" t="s">
        <v>291</v>
      </c>
      <c r="K14" s="132" t="s">
        <v>292</v>
      </c>
      <c r="L14" s="62"/>
      <c r="M14" s="87" t="s">
        <v>278</v>
      </c>
      <c r="N14" s="88" t="s">
        <v>293</v>
      </c>
      <c r="O14" s="86">
        <f>4120000*0.2</f>
        <v>824000</v>
      </c>
      <c r="P14" s="86">
        <v>824000</v>
      </c>
      <c r="Q14" s="93" t="s">
        <v>294</v>
      </c>
      <c r="R14" s="86">
        <f>4120000*0.6</f>
        <v>2472000</v>
      </c>
      <c r="S14" s="86"/>
      <c r="T14" s="93" t="s">
        <v>295</v>
      </c>
      <c r="U14" s="86">
        <f>4120000*0.1</f>
        <v>412000</v>
      </c>
      <c r="V14" s="86"/>
      <c r="W14" s="93" t="s">
        <v>296</v>
      </c>
      <c r="X14" s="86">
        <f>4120000*0.1</f>
        <v>412000</v>
      </c>
      <c r="Y14" s="86"/>
      <c r="Z14" s="93"/>
      <c r="AA14" s="86"/>
      <c r="AB14" s="86"/>
      <c r="AC14" s="93"/>
      <c r="AD14" s="86"/>
      <c r="AE14" s="86"/>
      <c r="AF14" s="93"/>
      <c r="AG14" s="86"/>
      <c r="AH14" s="86"/>
      <c r="AI14" s="93"/>
      <c r="AJ14" s="86"/>
      <c r="AK14" s="107"/>
      <c r="AL14" s="108">
        <f t="shared" si="1"/>
        <v>824000</v>
      </c>
      <c r="AM14" s="109">
        <f t="shared" si="2"/>
        <v>3296000</v>
      </c>
      <c r="AN14" s="110">
        <f t="shared" si="3"/>
        <v>0.2</v>
      </c>
      <c r="AO14" s="109">
        <f t="shared" si="4"/>
        <v>4120000</v>
      </c>
      <c r="AP14" s="117" t="str">
        <f t="shared" si="5"/>
        <v>数据正确</v>
      </c>
    </row>
    <row r="15" s="37" customFormat="1" customHeight="1" spans="1:42">
      <c r="A15" s="37" t="str">
        <f t="shared" si="6"/>
        <v/>
      </c>
      <c r="B15" s="37" t="s">
        <v>83</v>
      </c>
      <c r="C15" s="37" t="s">
        <v>84</v>
      </c>
      <c r="D15" s="61">
        <v>12</v>
      </c>
      <c r="E15" s="132" t="s">
        <v>297</v>
      </c>
      <c r="F15" s="133" t="s">
        <v>23</v>
      </c>
      <c r="G15" s="63" t="s">
        <v>298</v>
      </c>
      <c r="H15" s="135">
        <v>42788</v>
      </c>
      <c r="I15" s="185">
        <v>500000</v>
      </c>
      <c r="J15" s="62" t="s">
        <v>299</v>
      </c>
      <c r="K15" s="132" t="s">
        <v>300</v>
      </c>
      <c r="L15" s="62"/>
      <c r="M15" s="87" t="s">
        <v>278</v>
      </c>
      <c r="N15" s="88" t="s">
        <v>301</v>
      </c>
      <c r="O15" s="86">
        <f>500000*0.8</f>
        <v>400000</v>
      </c>
      <c r="P15" s="86"/>
      <c r="Q15" s="93" t="s">
        <v>302</v>
      </c>
      <c r="R15" s="86">
        <f>500000*0.1</f>
        <v>50000</v>
      </c>
      <c r="S15" s="86"/>
      <c r="T15" s="93" t="s">
        <v>303</v>
      </c>
      <c r="U15" s="86">
        <f>500000*0.05</f>
        <v>25000</v>
      </c>
      <c r="V15" s="86"/>
      <c r="W15" s="93" t="s">
        <v>304</v>
      </c>
      <c r="X15" s="86">
        <f>500000*0.05</f>
        <v>25000</v>
      </c>
      <c r="Y15" s="86"/>
      <c r="Z15" s="93"/>
      <c r="AA15" s="86"/>
      <c r="AB15" s="86"/>
      <c r="AC15" s="93"/>
      <c r="AD15" s="86"/>
      <c r="AE15" s="86"/>
      <c r="AF15" s="93"/>
      <c r="AG15" s="86"/>
      <c r="AH15" s="86"/>
      <c r="AI15" s="93"/>
      <c r="AJ15" s="86"/>
      <c r="AK15" s="107"/>
      <c r="AL15" s="108">
        <f t="shared" si="1"/>
        <v>0</v>
      </c>
      <c r="AM15" s="109">
        <f t="shared" si="2"/>
        <v>500000</v>
      </c>
      <c r="AN15" s="110">
        <f t="shared" si="3"/>
        <v>0</v>
      </c>
      <c r="AO15" s="109">
        <f t="shared" si="4"/>
        <v>500000</v>
      </c>
      <c r="AP15" s="117" t="str">
        <f t="shared" si="5"/>
        <v>数据正确</v>
      </c>
    </row>
    <row r="16" s="37" customFormat="1" customHeight="1" spans="1:42">
      <c r="A16" s="37" t="str">
        <f t="shared" si="6"/>
        <v/>
      </c>
      <c r="B16" s="37" t="s">
        <v>83</v>
      </c>
      <c r="C16" s="37" t="s">
        <v>84</v>
      </c>
      <c r="D16" s="61">
        <v>9</v>
      </c>
      <c r="E16" s="132" t="s">
        <v>305</v>
      </c>
      <c r="F16" s="133" t="s">
        <v>23</v>
      </c>
      <c r="G16" s="63" t="s">
        <v>306</v>
      </c>
      <c r="H16" s="135">
        <v>42793</v>
      </c>
      <c r="I16" s="185">
        <v>1398000</v>
      </c>
      <c r="J16" s="62" t="s">
        <v>307</v>
      </c>
      <c r="K16" s="132" t="s">
        <v>308</v>
      </c>
      <c r="L16" s="62" t="s">
        <v>309</v>
      </c>
      <c r="M16" s="87" t="s">
        <v>76</v>
      </c>
      <c r="N16" s="88" t="s">
        <v>310</v>
      </c>
      <c r="O16" s="86">
        <f>1398000*0.2</f>
        <v>279600</v>
      </c>
      <c r="P16" s="86">
        <v>279600</v>
      </c>
      <c r="Q16" s="93" t="s">
        <v>311</v>
      </c>
      <c r="R16" s="86">
        <f>1398000*0.7</f>
        <v>978600</v>
      </c>
      <c r="S16" s="86"/>
      <c r="T16" s="93" t="s">
        <v>31</v>
      </c>
      <c r="U16" s="86">
        <f>1398000*0.1</f>
        <v>139800</v>
      </c>
      <c r="V16" s="86"/>
      <c r="W16" s="93"/>
      <c r="X16" s="86"/>
      <c r="Y16" s="86"/>
      <c r="Z16" s="93"/>
      <c r="AA16" s="86"/>
      <c r="AB16" s="86"/>
      <c r="AC16" s="93"/>
      <c r="AD16" s="86"/>
      <c r="AE16" s="86"/>
      <c r="AF16" s="93"/>
      <c r="AG16" s="86"/>
      <c r="AH16" s="86"/>
      <c r="AI16" s="93"/>
      <c r="AJ16" s="86"/>
      <c r="AK16" s="107"/>
      <c r="AL16" s="108">
        <f t="shared" si="1"/>
        <v>279600</v>
      </c>
      <c r="AM16" s="109">
        <f t="shared" si="2"/>
        <v>1118400</v>
      </c>
      <c r="AN16" s="110">
        <f t="shared" si="3"/>
        <v>0.2</v>
      </c>
      <c r="AO16" s="109">
        <f t="shared" si="4"/>
        <v>1398000</v>
      </c>
      <c r="AP16" s="117" t="str">
        <f t="shared" si="5"/>
        <v>数据正确</v>
      </c>
    </row>
    <row r="17" s="37" customFormat="1" customHeight="1" spans="1:42">
      <c r="A17" s="37" t="str">
        <f t="shared" si="6"/>
        <v/>
      </c>
      <c r="B17" s="37" t="s">
        <v>83</v>
      </c>
      <c r="C17" s="37" t="s">
        <v>84</v>
      </c>
      <c r="D17" s="61">
        <v>13</v>
      </c>
      <c r="E17" s="132" t="s">
        <v>312</v>
      </c>
      <c r="F17" s="133" t="s">
        <v>23</v>
      </c>
      <c r="G17" s="63" t="s">
        <v>313</v>
      </c>
      <c r="H17" s="135">
        <v>42800</v>
      </c>
      <c r="I17" s="185">
        <v>899000</v>
      </c>
      <c r="J17" s="62" t="s">
        <v>314</v>
      </c>
      <c r="K17" s="132" t="s">
        <v>315</v>
      </c>
      <c r="L17" s="62" t="s">
        <v>316</v>
      </c>
      <c r="M17" s="87" t="s">
        <v>278</v>
      </c>
      <c r="N17" s="88" t="s">
        <v>317</v>
      </c>
      <c r="O17" s="86">
        <f>899000*0.1</f>
        <v>89900</v>
      </c>
      <c r="P17" s="86">
        <v>89900</v>
      </c>
      <c r="Q17" s="93" t="s">
        <v>318</v>
      </c>
      <c r="R17" s="86">
        <f>899000*0.7</f>
        <v>629300</v>
      </c>
      <c r="S17" s="86"/>
      <c r="T17" s="93" t="s">
        <v>319</v>
      </c>
      <c r="U17" s="86">
        <f>899000*0.2</f>
        <v>179800</v>
      </c>
      <c r="V17" s="86"/>
      <c r="W17" s="93"/>
      <c r="X17" s="86"/>
      <c r="Y17" s="86"/>
      <c r="Z17" s="93"/>
      <c r="AA17" s="86"/>
      <c r="AB17" s="86"/>
      <c r="AC17" s="93"/>
      <c r="AD17" s="86"/>
      <c r="AE17" s="86"/>
      <c r="AF17" s="93"/>
      <c r="AG17" s="86"/>
      <c r="AH17" s="86"/>
      <c r="AI17" s="93"/>
      <c r="AJ17" s="86"/>
      <c r="AK17" s="107"/>
      <c r="AL17" s="108">
        <f t="shared" si="1"/>
        <v>89900</v>
      </c>
      <c r="AM17" s="109">
        <f t="shared" si="2"/>
        <v>809100</v>
      </c>
      <c r="AN17" s="110">
        <f t="shared" si="3"/>
        <v>0.1</v>
      </c>
      <c r="AO17" s="109">
        <f t="shared" si="4"/>
        <v>899000</v>
      </c>
      <c r="AP17" s="117" t="str">
        <f t="shared" si="5"/>
        <v>数据正确</v>
      </c>
    </row>
    <row r="18" s="37" customFormat="1" customHeight="1" spans="1:42">
      <c r="A18" s="37" t="str">
        <f t="shared" si="6"/>
        <v/>
      </c>
      <c r="B18" s="37" t="s">
        <v>83</v>
      </c>
      <c r="C18" s="37" t="s">
        <v>84</v>
      </c>
      <c r="D18" s="61">
        <v>14</v>
      </c>
      <c r="E18" s="132" t="s">
        <v>320</v>
      </c>
      <c r="F18" s="133" t="s">
        <v>23</v>
      </c>
      <c r="G18" s="63">
        <v>2017020054</v>
      </c>
      <c r="H18" s="64">
        <v>42807</v>
      </c>
      <c r="I18" s="184">
        <v>1950000</v>
      </c>
      <c r="J18" s="62" t="s">
        <v>321</v>
      </c>
      <c r="K18" s="62" t="s">
        <v>322</v>
      </c>
      <c r="L18" s="62" t="s">
        <v>323</v>
      </c>
      <c r="M18" s="87" t="s">
        <v>278</v>
      </c>
      <c r="N18" s="88" t="s">
        <v>324</v>
      </c>
      <c r="O18" s="86">
        <f>1950000*0.2</f>
        <v>390000</v>
      </c>
      <c r="P18" s="86">
        <v>390000</v>
      </c>
      <c r="Q18" s="93" t="s">
        <v>325</v>
      </c>
      <c r="R18" s="86">
        <f>1950000*0.3</f>
        <v>585000</v>
      </c>
      <c r="S18" s="86"/>
      <c r="T18" s="93" t="s">
        <v>326</v>
      </c>
      <c r="U18" s="86">
        <f>1950000*0.2</f>
        <v>390000</v>
      </c>
      <c r="V18" s="86"/>
      <c r="W18" s="93" t="s">
        <v>327</v>
      </c>
      <c r="X18" s="86">
        <f>1950000*0.2</f>
        <v>390000</v>
      </c>
      <c r="Y18" s="86"/>
      <c r="Z18" s="93" t="s">
        <v>328</v>
      </c>
      <c r="AA18" s="86">
        <f>1950000*0.1</f>
        <v>195000</v>
      </c>
      <c r="AB18" s="86"/>
      <c r="AC18" s="93"/>
      <c r="AD18" s="86"/>
      <c r="AE18" s="86"/>
      <c r="AF18" s="93"/>
      <c r="AG18" s="86"/>
      <c r="AH18" s="86"/>
      <c r="AI18" s="93"/>
      <c r="AJ18" s="86"/>
      <c r="AK18" s="107"/>
      <c r="AL18" s="108">
        <f t="shared" si="1"/>
        <v>390000</v>
      </c>
      <c r="AM18" s="109">
        <f t="shared" si="2"/>
        <v>1560000</v>
      </c>
      <c r="AN18" s="110">
        <f t="shared" si="3"/>
        <v>0.2</v>
      </c>
      <c r="AO18" s="109">
        <f t="shared" si="4"/>
        <v>1950000</v>
      </c>
      <c r="AP18" s="117" t="str">
        <f t="shared" si="5"/>
        <v>数据正确</v>
      </c>
    </row>
    <row r="19" s="37" customFormat="1" customHeight="1" spans="1:42">
      <c r="A19" s="37" t="str">
        <f t="shared" si="6"/>
        <v/>
      </c>
      <c r="B19" s="37" t="s">
        <v>83</v>
      </c>
      <c r="C19" s="37" t="s">
        <v>84</v>
      </c>
      <c r="D19" s="61">
        <v>15</v>
      </c>
      <c r="E19" s="132" t="s">
        <v>329</v>
      </c>
      <c r="F19" s="133" t="s">
        <v>23</v>
      </c>
      <c r="G19" s="63">
        <v>2017020026</v>
      </c>
      <c r="H19" s="135">
        <v>42807</v>
      </c>
      <c r="I19" s="184">
        <v>794000</v>
      </c>
      <c r="J19" s="62" t="s">
        <v>330</v>
      </c>
      <c r="K19" s="62" t="s">
        <v>331</v>
      </c>
      <c r="L19" s="62"/>
      <c r="M19" s="87" t="s">
        <v>278</v>
      </c>
      <c r="N19" s="88" t="s">
        <v>332</v>
      </c>
      <c r="O19" s="86">
        <f>794000*0.6</f>
        <v>476400</v>
      </c>
      <c r="P19" s="86"/>
      <c r="Q19" s="93" t="s">
        <v>333</v>
      </c>
      <c r="R19" s="86">
        <f>794000*0.3</f>
        <v>238200</v>
      </c>
      <c r="S19" s="86"/>
      <c r="T19" s="93" t="s">
        <v>334</v>
      </c>
      <c r="U19" s="86">
        <f>794000*0.1</f>
        <v>79400</v>
      </c>
      <c r="V19" s="86"/>
      <c r="W19" s="93"/>
      <c r="X19" s="86"/>
      <c r="Y19" s="86"/>
      <c r="Z19" s="93"/>
      <c r="AA19" s="86"/>
      <c r="AB19" s="86"/>
      <c r="AC19" s="93"/>
      <c r="AD19" s="86"/>
      <c r="AE19" s="86"/>
      <c r="AF19" s="93"/>
      <c r="AG19" s="86"/>
      <c r="AH19" s="86"/>
      <c r="AI19" s="93"/>
      <c r="AJ19" s="86"/>
      <c r="AK19" s="107"/>
      <c r="AL19" s="108">
        <f t="shared" si="1"/>
        <v>0</v>
      </c>
      <c r="AM19" s="109">
        <f t="shared" si="2"/>
        <v>794000</v>
      </c>
      <c r="AN19" s="110">
        <f t="shared" si="3"/>
        <v>0</v>
      </c>
      <c r="AO19" s="109">
        <f t="shared" si="4"/>
        <v>794000</v>
      </c>
      <c r="AP19" s="117" t="str">
        <f t="shared" si="5"/>
        <v>数据正确</v>
      </c>
    </row>
    <row r="20" s="37" customFormat="1" customHeight="1" spans="1:42">
      <c r="A20" s="37" t="str">
        <f t="shared" si="6"/>
        <v/>
      </c>
      <c r="B20" s="37" t="s">
        <v>83</v>
      </c>
      <c r="C20" s="37" t="s">
        <v>84</v>
      </c>
      <c r="D20" s="61">
        <v>134</v>
      </c>
      <c r="E20" s="62" t="s">
        <v>335</v>
      </c>
      <c r="F20" s="133" t="s">
        <v>23</v>
      </c>
      <c r="G20" s="63" t="s">
        <v>75</v>
      </c>
      <c r="H20" s="64">
        <v>42808</v>
      </c>
      <c r="I20" s="184">
        <v>7270000</v>
      </c>
      <c r="J20" s="62" t="s">
        <v>336</v>
      </c>
      <c r="K20" s="62" t="s">
        <v>322</v>
      </c>
      <c r="L20" s="62"/>
      <c r="M20" s="87" t="s">
        <v>278</v>
      </c>
      <c r="N20" s="88" t="s">
        <v>337</v>
      </c>
      <c r="O20" s="86">
        <f>I20*0.6</f>
        <v>4362000</v>
      </c>
      <c r="P20" s="86"/>
      <c r="Q20" s="93" t="s">
        <v>338</v>
      </c>
      <c r="R20" s="86">
        <f>I20*0.3</f>
        <v>2181000</v>
      </c>
      <c r="S20" s="86"/>
      <c r="T20" s="93" t="s">
        <v>339</v>
      </c>
      <c r="U20" s="86">
        <f>I20*0.1</f>
        <v>727000</v>
      </c>
      <c r="V20" s="86"/>
      <c r="W20" s="93"/>
      <c r="X20" s="86"/>
      <c r="Y20" s="86"/>
      <c r="Z20" s="93"/>
      <c r="AA20" s="86"/>
      <c r="AB20" s="86"/>
      <c r="AC20" s="93"/>
      <c r="AD20" s="86"/>
      <c r="AE20" s="86"/>
      <c r="AF20" s="93"/>
      <c r="AG20" s="86"/>
      <c r="AH20" s="86"/>
      <c r="AI20" s="93"/>
      <c r="AJ20" s="86"/>
      <c r="AK20" s="107"/>
      <c r="AL20" s="108">
        <f t="shared" si="1"/>
        <v>0</v>
      </c>
      <c r="AM20" s="109">
        <f t="shared" si="2"/>
        <v>7270000</v>
      </c>
      <c r="AN20" s="110">
        <f t="shared" si="3"/>
        <v>0</v>
      </c>
      <c r="AO20" s="109">
        <f t="shared" si="4"/>
        <v>7270000</v>
      </c>
      <c r="AP20" s="117" t="str">
        <f t="shared" si="5"/>
        <v>数据正确</v>
      </c>
    </row>
    <row r="21" s="37" customFormat="1" customHeight="1" spans="1:42">
      <c r="A21" s="37" t="str">
        <f t="shared" si="6"/>
        <v/>
      </c>
      <c r="B21" s="37" t="s">
        <v>83</v>
      </c>
      <c r="C21" s="37" t="s">
        <v>84</v>
      </c>
      <c r="D21" s="61">
        <v>16</v>
      </c>
      <c r="E21" s="132" t="s">
        <v>340</v>
      </c>
      <c r="F21" s="133" t="s">
        <v>23</v>
      </c>
      <c r="G21" s="133">
        <v>2017020025</v>
      </c>
      <c r="H21" s="135">
        <v>42833</v>
      </c>
      <c r="I21" s="185">
        <v>4890000</v>
      </c>
      <c r="J21" s="62" t="s">
        <v>341</v>
      </c>
      <c r="K21" s="132" t="s">
        <v>342</v>
      </c>
      <c r="L21" s="62" t="s">
        <v>343</v>
      </c>
      <c r="M21" s="87" t="s">
        <v>344</v>
      </c>
      <c r="N21" s="88" t="s">
        <v>345</v>
      </c>
      <c r="O21" s="86">
        <v>978000</v>
      </c>
      <c r="P21" s="86">
        <v>978000</v>
      </c>
      <c r="Q21" s="93" t="s">
        <v>346</v>
      </c>
      <c r="R21" s="86">
        <f>4890000*0.3</f>
        <v>1467000</v>
      </c>
      <c r="S21" s="86"/>
      <c r="T21" s="93" t="s">
        <v>347</v>
      </c>
      <c r="U21" s="86">
        <f>4890000*0.2</f>
        <v>978000</v>
      </c>
      <c r="V21" s="86"/>
      <c r="W21" s="93" t="s">
        <v>348</v>
      </c>
      <c r="X21" s="86">
        <f>4890000*0.2</f>
        <v>978000</v>
      </c>
      <c r="Y21" s="86"/>
      <c r="Z21" s="93" t="s">
        <v>349</v>
      </c>
      <c r="AA21" s="86">
        <f>4890000*0.1</f>
        <v>489000</v>
      </c>
      <c r="AB21" s="86"/>
      <c r="AC21" s="93"/>
      <c r="AD21" s="86"/>
      <c r="AE21" s="86"/>
      <c r="AF21" s="93"/>
      <c r="AG21" s="86"/>
      <c r="AH21" s="86"/>
      <c r="AI21" s="93"/>
      <c r="AJ21" s="86"/>
      <c r="AK21" s="107"/>
      <c r="AL21" s="108">
        <f t="shared" si="1"/>
        <v>978000</v>
      </c>
      <c r="AM21" s="109">
        <f t="shared" si="2"/>
        <v>3912000</v>
      </c>
      <c r="AN21" s="110">
        <f t="shared" si="3"/>
        <v>0.2</v>
      </c>
      <c r="AO21" s="109">
        <f t="shared" si="4"/>
        <v>4890000</v>
      </c>
      <c r="AP21" s="117" t="str">
        <f t="shared" si="5"/>
        <v>数据正确</v>
      </c>
    </row>
    <row r="22" s="37" customFormat="1" customHeight="1" spans="1:42">
      <c r="A22" s="37" t="str">
        <f t="shared" si="6"/>
        <v/>
      </c>
      <c r="B22" s="37" t="s">
        <v>83</v>
      </c>
      <c r="C22" s="37" t="s">
        <v>84</v>
      </c>
      <c r="D22" s="131">
        <v>8.1</v>
      </c>
      <c r="E22" s="132" t="s">
        <v>350</v>
      </c>
      <c r="F22" s="133" t="s">
        <v>23</v>
      </c>
      <c r="G22" s="175" t="s">
        <v>351</v>
      </c>
      <c r="H22" s="135">
        <v>42817</v>
      </c>
      <c r="I22" s="185">
        <v>34980000</v>
      </c>
      <c r="J22" s="62" t="s">
        <v>352</v>
      </c>
      <c r="K22" s="132" t="s">
        <v>353</v>
      </c>
      <c r="L22" s="62" t="s">
        <v>354</v>
      </c>
      <c r="M22" s="87" t="s">
        <v>355</v>
      </c>
      <c r="N22" s="88" t="s">
        <v>356</v>
      </c>
      <c r="O22" s="86">
        <f>34980000*0.1</f>
        <v>3498000</v>
      </c>
      <c r="P22" s="86">
        <v>3498000</v>
      </c>
      <c r="Q22" s="93" t="s">
        <v>357</v>
      </c>
      <c r="R22" s="86">
        <f>34980000*0.3</f>
        <v>10494000</v>
      </c>
      <c r="S22" s="86"/>
      <c r="T22" s="93" t="s">
        <v>358</v>
      </c>
      <c r="U22" s="86">
        <f>34980000*0.3</f>
        <v>10494000</v>
      </c>
      <c r="V22" s="86"/>
      <c r="W22" s="93" t="s">
        <v>359</v>
      </c>
      <c r="X22" s="86">
        <f>34980000*0.2</f>
        <v>6996000</v>
      </c>
      <c r="Y22" s="86"/>
      <c r="Z22" s="93" t="s">
        <v>360</v>
      </c>
      <c r="AA22" s="86">
        <f>34980000*0.1</f>
        <v>3498000</v>
      </c>
      <c r="AB22" s="86"/>
      <c r="AC22" s="93"/>
      <c r="AD22" s="86"/>
      <c r="AE22" s="86"/>
      <c r="AF22" s="93"/>
      <c r="AG22" s="86"/>
      <c r="AH22" s="86"/>
      <c r="AI22" s="93"/>
      <c r="AJ22" s="86"/>
      <c r="AK22" s="107"/>
      <c r="AL22" s="108">
        <f t="shared" si="1"/>
        <v>3498000</v>
      </c>
      <c r="AM22" s="109">
        <f t="shared" si="2"/>
        <v>31482000</v>
      </c>
      <c r="AN22" s="110">
        <f t="shared" si="3"/>
        <v>0.1</v>
      </c>
      <c r="AO22" s="109">
        <f t="shared" si="4"/>
        <v>34980000</v>
      </c>
      <c r="AP22" s="117" t="str">
        <f t="shared" si="5"/>
        <v>数据正确</v>
      </c>
    </row>
    <row r="23" s="37" customFormat="1" customHeight="1" spans="1:42">
      <c r="A23" s="37" t="str">
        <f t="shared" si="6"/>
        <v>已完毕</v>
      </c>
      <c r="B23" s="37" t="s">
        <v>83</v>
      </c>
      <c r="C23" s="37" t="s">
        <v>84</v>
      </c>
      <c r="D23" s="131">
        <v>8.2</v>
      </c>
      <c r="E23" s="132" t="s">
        <v>350</v>
      </c>
      <c r="F23" s="133" t="s">
        <v>23</v>
      </c>
      <c r="G23" s="175" t="s">
        <v>351</v>
      </c>
      <c r="H23" s="135">
        <v>42817</v>
      </c>
      <c r="I23" s="185">
        <v>5000000</v>
      </c>
      <c r="J23" s="62" t="s">
        <v>361</v>
      </c>
      <c r="K23" s="132" t="s">
        <v>353</v>
      </c>
      <c r="L23" s="62" t="s">
        <v>354</v>
      </c>
      <c r="M23" s="87" t="s">
        <v>355</v>
      </c>
      <c r="N23" s="88" t="s">
        <v>362</v>
      </c>
      <c r="O23" s="86">
        <v>5000000</v>
      </c>
      <c r="P23" s="86">
        <v>5000000</v>
      </c>
      <c r="Q23" s="93"/>
      <c r="R23" s="86"/>
      <c r="S23" s="86"/>
      <c r="T23" s="93"/>
      <c r="U23" s="86"/>
      <c r="V23" s="86"/>
      <c r="W23" s="93"/>
      <c r="X23" s="86"/>
      <c r="Y23" s="86"/>
      <c r="Z23" s="93"/>
      <c r="AA23" s="86"/>
      <c r="AB23" s="86"/>
      <c r="AC23" s="93"/>
      <c r="AD23" s="86"/>
      <c r="AE23" s="86"/>
      <c r="AF23" s="93"/>
      <c r="AG23" s="86"/>
      <c r="AH23" s="86"/>
      <c r="AI23" s="93"/>
      <c r="AJ23" s="86"/>
      <c r="AK23" s="107"/>
      <c r="AL23" s="108">
        <f t="shared" si="1"/>
        <v>5000000</v>
      </c>
      <c r="AM23" s="109">
        <f t="shared" si="2"/>
        <v>0</v>
      </c>
      <c r="AN23" s="110">
        <f t="shared" si="3"/>
        <v>1</v>
      </c>
      <c r="AO23" s="109">
        <f t="shared" si="4"/>
        <v>5000000</v>
      </c>
      <c r="AP23" s="117" t="str">
        <f t="shared" si="5"/>
        <v>数据正确</v>
      </c>
    </row>
    <row r="24" s="37" customFormat="1" customHeight="1" spans="1:42">
      <c r="A24" s="37" t="str">
        <f t="shared" si="6"/>
        <v/>
      </c>
      <c r="B24" s="37" t="s">
        <v>83</v>
      </c>
      <c r="C24" s="37" t="s">
        <v>84</v>
      </c>
      <c r="D24" s="131">
        <v>8.3</v>
      </c>
      <c r="E24" s="132" t="s">
        <v>350</v>
      </c>
      <c r="F24" s="133" t="s">
        <v>23</v>
      </c>
      <c r="G24" s="175" t="s">
        <v>351</v>
      </c>
      <c r="H24" s="135">
        <v>42817</v>
      </c>
      <c r="I24" s="185">
        <v>3000000</v>
      </c>
      <c r="J24" s="62" t="s">
        <v>363</v>
      </c>
      <c r="K24" s="132" t="s">
        <v>353</v>
      </c>
      <c r="L24" s="62" t="s">
        <v>354</v>
      </c>
      <c r="M24" s="87" t="s">
        <v>355</v>
      </c>
      <c r="N24" s="88" t="s">
        <v>364</v>
      </c>
      <c r="O24" s="86">
        <v>3000000</v>
      </c>
      <c r="P24" s="86"/>
      <c r="Q24" s="93"/>
      <c r="R24" s="86"/>
      <c r="S24" s="86"/>
      <c r="T24" s="93"/>
      <c r="U24" s="86"/>
      <c r="V24" s="86"/>
      <c r="W24" s="93"/>
      <c r="X24" s="86"/>
      <c r="Y24" s="86"/>
      <c r="Z24" s="93"/>
      <c r="AA24" s="86"/>
      <c r="AB24" s="86"/>
      <c r="AC24" s="93"/>
      <c r="AD24" s="86"/>
      <c r="AE24" s="86"/>
      <c r="AF24" s="93"/>
      <c r="AG24" s="86"/>
      <c r="AH24" s="86"/>
      <c r="AI24" s="93"/>
      <c r="AJ24" s="86"/>
      <c r="AK24" s="107"/>
      <c r="AL24" s="108">
        <f t="shared" si="1"/>
        <v>0</v>
      </c>
      <c r="AM24" s="109">
        <f t="shared" si="2"/>
        <v>3000000</v>
      </c>
      <c r="AN24" s="110">
        <f t="shared" si="3"/>
        <v>0</v>
      </c>
      <c r="AO24" s="109">
        <f t="shared" si="4"/>
        <v>3000000</v>
      </c>
      <c r="AP24" s="117" t="str">
        <f t="shared" si="5"/>
        <v>数据正确</v>
      </c>
    </row>
    <row r="25" s="120" customFormat="1" customHeight="1" spans="1:42">
      <c r="A25" s="37" t="str">
        <f t="shared" si="6"/>
        <v/>
      </c>
      <c r="B25" s="37" t="s">
        <v>83</v>
      </c>
      <c r="C25" s="37" t="s">
        <v>84</v>
      </c>
      <c r="D25" s="131">
        <v>8.4</v>
      </c>
      <c r="E25" s="132" t="s">
        <v>350</v>
      </c>
      <c r="F25" s="133" t="s">
        <v>23</v>
      </c>
      <c r="G25" s="175" t="s">
        <v>351</v>
      </c>
      <c r="H25" s="135">
        <v>42817</v>
      </c>
      <c r="I25" s="185">
        <v>33600000</v>
      </c>
      <c r="J25" s="62" t="s">
        <v>365</v>
      </c>
      <c r="K25" s="132" t="s">
        <v>353</v>
      </c>
      <c r="L25" s="62" t="s">
        <v>354</v>
      </c>
      <c r="M25" s="87" t="s">
        <v>355</v>
      </c>
      <c r="N25" s="88" t="s">
        <v>366</v>
      </c>
      <c r="O25" s="86">
        <f>I25*0.1</f>
        <v>3360000</v>
      </c>
      <c r="P25" s="86"/>
      <c r="Q25" s="93" t="s">
        <v>367</v>
      </c>
      <c r="R25" s="86">
        <f>(33600000-3360000)/5</f>
        <v>6048000</v>
      </c>
      <c r="S25" s="86"/>
      <c r="T25" s="93" t="s">
        <v>367</v>
      </c>
      <c r="U25" s="86">
        <v>6048000</v>
      </c>
      <c r="V25" s="86"/>
      <c r="W25" s="93" t="s">
        <v>367</v>
      </c>
      <c r="X25" s="86">
        <v>6048000</v>
      </c>
      <c r="Y25" s="86"/>
      <c r="Z25" s="93" t="s">
        <v>367</v>
      </c>
      <c r="AA25" s="86">
        <v>6048000</v>
      </c>
      <c r="AB25" s="86"/>
      <c r="AC25" s="93" t="s">
        <v>367</v>
      </c>
      <c r="AD25" s="86">
        <v>6048000</v>
      </c>
      <c r="AE25" s="86"/>
      <c r="AF25" s="93"/>
      <c r="AG25" s="86"/>
      <c r="AH25" s="86"/>
      <c r="AI25" s="93"/>
      <c r="AJ25" s="86"/>
      <c r="AK25" s="107"/>
      <c r="AL25" s="108">
        <f t="shared" si="1"/>
        <v>0</v>
      </c>
      <c r="AM25" s="109">
        <f t="shared" si="2"/>
        <v>33600000</v>
      </c>
      <c r="AN25" s="110">
        <f t="shared" si="3"/>
        <v>0</v>
      </c>
      <c r="AO25" s="109">
        <f t="shared" si="4"/>
        <v>33600000</v>
      </c>
      <c r="AP25" s="117" t="str">
        <f t="shared" si="5"/>
        <v>数据正确</v>
      </c>
    </row>
    <row r="26" s="120" customFormat="1" customHeight="1" spans="1:42">
      <c r="A26" s="37" t="str">
        <f t="shared" si="6"/>
        <v/>
      </c>
      <c r="B26" s="37" t="s">
        <v>83</v>
      </c>
      <c r="C26" s="37" t="s">
        <v>84</v>
      </c>
      <c r="D26" s="125">
        <v>8</v>
      </c>
      <c r="E26" s="136" t="s">
        <v>350</v>
      </c>
      <c r="F26" s="137" t="s">
        <v>23</v>
      </c>
      <c r="G26" s="176" t="s">
        <v>351</v>
      </c>
      <c r="H26" s="138">
        <v>42817</v>
      </c>
      <c r="I26" s="186">
        <f>SUM(I22:I25)</f>
        <v>76580000</v>
      </c>
      <c r="J26" s="126" t="s">
        <v>368</v>
      </c>
      <c r="K26" s="136" t="s">
        <v>353</v>
      </c>
      <c r="L26" s="126" t="s">
        <v>354</v>
      </c>
      <c r="M26" s="146" t="s">
        <v>355</v>
      </c>
      <c r="N26" s="147" t="s">
        <v>75</v>
      </c>
      <c r="O26" s="148">
        <f>SUM(O22:O25)</f>
        <v>14858000</v>
      </c>
      <c r="P26" s="148">
        <f t="shared" ref="P26:AK26" si="7">SUM(P22:P25)</f>
        <v>8498000</v>
      </c>
      <c r="Q26" s="148" t="s">
        <v>75</v>
      </c>
      <c r="R26" s="148">
        <f t="shared" si="7"/>
        <v>16542000</v>
      </c>
      <c r="S26" s="148">
        <f t="shared" si="7"/>
        <v>0</v>
      </c>
      <c r="T26" s="148" t="s">
        <v>75</v>
      </c>
      <c r="U26" s="148">
        <f t="shared" si="7"/>
        <v>16542000</v>
      </c>
      <c r="V26" s="148">
        <f t="shared" si="7"/>
        <v>0</v>
      </c>
      <c r="W26" s="148" t="s">
        <v>75</v>
      </c>
      <c r="X26" s="148">
        <f t="shared" si="7"/>
        <v>13044000</v>
      </c>
      <c r="Y26" s="148">
        <f t="shared" si="7"/>
        <v>0</v>
      </c>
      <c r="Z26" s="148" t="s">
        <v>75</v>
      </c>
      <c r="AA26" s="148">
        <f t="shared" si="7"/>
        <v>9546000</v>
      </c>
      <c r="AB26" s="148">
        <f t="shared" si="7"/>
        <v>0</v>
      </c>
      <c r="AC26" s="148" t="s">
        <v>75</v>
      </c>
      <c r="AD26" s="148">
        <f t="shared" si="7"/>
        <v>6048000</v>
      </c>
      <c r="AE26" s="148">
        <f t="shared" si="7"/>
        <v>0</v>
      </c>
      <c r="AF26" s="148" t="s">
        <v>75</v>
      </c>
      <c r="AG26" s="148">
        <f t="shared" si="7"/>
        <v>0</v>
      </c>
      <c r="AH26" s="148">
        <f t="shared" si="7"/>
        <v>0</v>
      </c>
      <c r="AI26" s="148" t="s">
        <v>75</v>
      </c>
      <c r="AJ26" s="148">
        <f t="shared" si="7"/>
        <v>0</v>
      </c>
      <c r="AK26" s="161">
        <f t="shared" si="7"/>
        <v>0</v>
      </c>
      <c r="AL26" s="108">
        <f t="shared" si="1"/>
        <v>8498000</v>
      </c>
      <c r="AM26" s="109">
        <f t="shared" si="2"/>
        <v>68082000</v>
      </c>
      <c r="AN26" s="110">
        <f t="shared" si="3"/>
        <v>0.110968921389397</v>
      </c>
      <c r="AO26" s="109">
        <f t="shared" si="4"/>
        <v>76580000</v>
      </c>
      <c r="AP26" s="117" t="str">
        <f t="shared" si="5"/>
        <v>数据正确</v>
      </c>
    </row>
    <row r="27" s="37" customFormat="1" customHeight="1" spans="1:42">
      <c r="A27" s="37" t="str">
        <f t="shared" si="6"/>
        <v/>
      </c>
      <c r="B27" s="37" t="s">
        <v>83</v>
      </c>
      <c r="C27" s="37" t="s">
        <v>84</v>
      </c>
      <c r="D27" s="61">
        <v>10</v>
      </c>
      <c r="E27" s="132" t="s">
        <v>369</v>
      </c>
      <c r="F27" s="133" t="s">
        <v>23</v>
      </c>
      <c r="G27" s="174" t="s">
        <v>370</v>
      </c>
      <c r="H27" s="135">
        <v>42817</v>
      </c>
      <c r="I27" s="185">
        <v>830000</v>
      </c>
      <c r="J27" s="62" t="s">
        <v>371</v>
      </c>
      <c r="K27" s="132" t="s">
        <v>372</v>
      </c>
      <c r="L27" s="62"/>
      <c r="M27" s="87" t="s">
        <v>278</v>
      </c>
      <c r="N27" s="88" t="s">
        <v>373</v>
      </c>
      <c r="O27" s="86">
        <f>830000*0.2</f>
        <v>166000</v>
      </c>
      <c r="P27" s="86">
        <v>166000</v>
      </c>
      <c r="Q27" s="93" t="s">
        <v>374</v>
      </c>
      <c r="R27" s="86">
        <f>830000*0.6</f>
        <v>498000</v>
      </c>
      <c r="S27" s="86"/>
      <c r="T27" s="93" t="s">
        <v>375</v>
      </c>
      <c r="U27" s="86">
        <f>830000*0.1</f>
        <v>83000</v>
      </c>
      <c r="V27" s="86"/>
      <c r="W27" s="93" t="s">
        <v>376</v>
      </c>
      <c r="X27" s="86">
        <f>830000*0.1</f>
        <v>83000</v>
      </c>
      <c r="Y27" s="86"/>
      <c r="Z27" s="93"/>
      <c r="AA27" s="86"/>
      <c r="AB27" s="86"/>
      <c r="AC27" s="93"/>
      <c r="AD27" s="86"/>
      <c r="AE27" s="86"/>
      <c r="AF27" s="93"/>
      <c r="AG27" s="86"/>
      <c r="AH27" s="86"/>
      <c r="AI27" s="93"/>
      <c r="AJ27" s="86"/>
      <c r="AK27" s="107"/>
      <c r="AL27" s="108">
        <f t="shared" si="1"/>
        <v>166000</v>
      </c>
      <c r="AM27" s="109">
        <f t="shared" si="2"/>
        <v>664000</v>
      </c>
      <c r="AN27" s="110">
        <f t="shared" si="3"/>
        <v>0.2</v>
      </c>
      <c r="AO27" s="109">
        <f t="shared" si="4"/>
        <v>830000</v>
      </c>
      <c r="AP27" s="117" t="str">
        <f t="shared" si="5"/>
        <v>数据正确</v>
      </c>
    </row>
    <row r="28" s="37" customFormat="1" customHeight="1" spans="1:42">
      <c r="A28" s="37" t="str">
        <f t="shared" si="6"/>
        <v/>
      </c>
      <c r="B28" s="37" t="s">
        <v>83</v>
      </c>
      <c r="C28" s="37" t="s">
        <v>84</v>
      </c>
      <c r="D28" s="61">
        <v>17</v>
      </c>
      <c r="E28" s="62" t="s">
        <v>377</v>
      </c>
      <c r="F28" s="133" t="s">
        <v>23</v>
      </c>
      <c r="G28" s="63">
        <v>2017020016</v>
      </c>
      <c r="H28" s="64">
        <v>42830</v>
      </c>
      <c r="I28" s="184">
        <v>5000000</v>
      </c>
      <c r="J28" s="62" t="s">
        <v>378</v>
      </c>
      <c r="K28" s="62" t="s">
        <v>379</v>
      </c>
      <c r="L28" s="62" t="s">
        <v>380</v>
      </c>
      <c r="M28" s="87" t="s">
        <v>76</v>
      </c>
      <c r="N28" s="88" t="s">
        <v>381</v>
      </c>
      <c r="O28" s="86">
        <f>5000000*0.2</f>
        <v>1000000</v>
      </c>
      <c r="P28" s="86"/>
      <c r="Q28" s="93" t="s">
        <v>382</v>
      </c>
      <c r="R28" s="86">
        <f>5000000*0.4</f>
        <v>2000000</v>
      </c>
      <c r="S28" s="86"/>
      <c r="T28" s="93" t="s">
        <v>383</v>
      </c>
      <c r="U28" s="86">
        <f>5000000*0.1</f>
        <v>500000</v>
      </c>
      <c r="V28" s="86"/>
      <c r="W28" s="93" t="s">
        <v>384</v>
      </c>
      <c r="X28" s="86">
        <f>5000000*0.2</f>
        <v>1000000</v>
      </c>
      <c r="Y28" s="86"/>
      <c r="Z28" s="93" t="s">
        <v>385</v>
      </c>
      <c r="AA28" s="86">
        <f>5000000*0.1</f>
        <v>500000</v>
      </c>
      <c r="AB28" s="86"/>
      <c r="AC28" s="93"/>
      <c r="AD28" s="86"/>
      <c r="AE28" s="86"/>
      <c r="AF28" s="93"/>
      <c r="AG28" s="86"/>
      <c r="AH28" s="86"/>
      <c r="AI28" s="93"/>
      <c r="AJ28" s="86"/>
      <c r="AK28" s="107"/>
      <c r="AL28" s="108">
        <f t="shared" si="1"/>
        <v>0</v>
      </c>
      <c r="AM28" s="109">
        <f t="shared" si="2"/>
        <v>5000000</v>
      </c>
      <c r="AN28" s="110">
        <f t="shared" si="3"/>
        <v>0</v>
      </c>
      <c r="AO28" s="109">
        <f t="shared" si="4"/>
        <v>5000000</v>
      </c>
      <c r="AP28" s="117" t="str">
        <f t="shared" si="5"/>
        <v>数据正确</v>
      </c>
    </row>
    <row r="29" s="41" customFormat="1" customHeight="1" spans="1:42">
      <c r="A29" s="41" t="str">
        <f t="shared" si="6"/>
        <v/>
      </c>
      <c r="B29" s="41" t="s">
        <v>83</v>
      </c>
      <c r="C29" s="41" t="s">
        <v>84</v>
      </c>
      <c r="D29" s="66">
        <v>18</v>
      </c>
      <c r="E29" s="67" t="s">
        <v>386</v>
      </c>
      <c r="F29" s="177" t="s">
        <v>23</v>
      </c>
      <c r="G29" s="68">
        <v>2017020024</v>
      </c>
      <c r="H29" s="69">
        <v>42832</v>
      </c>
      <c r="I29" s="187">
        <v>1560000</v>
      </c>
      <c r="J29" s="67" t="s">
        <v>387</v>
      </c>
      <c r="K29" s="67" t="s">
        <v>388</v>
      </c>
      <c r="L29" s="67"/>
      <c r="M29" s="90" t="s">
        <v>389</v>
      </c>
      <c r="N29" s="91" t="s">
        <v>390</v>
      </c>
      <c r="O29" s="89">
        <f>1560000*0.2</f>
        <v>312000</v>
      </c>
      <c r="P29" s="89"/>
      <c r="Q29" s="94" t="s">
        <v>391</v>
      </c>
      <c r="R29" s="89">
        <f>1560000*0.3</f>
        <v>468000</v>
      </c>
      <c r="S29" s="89"/>
      <c r="T29" s="94" t="s">
        <v>392</v>
      </c>
      <c r="U29" s="89">
        <f>1560000*0.3</f>
        <v>468000</v>
      </c>
      <c r="V29" s="89"/>
      <c r="W29" s="94" t="s">
        <v>393</v>
      </c>
      <c r="X29" s="89">
        <f>1560000*0.1</f>
        <v>156000</v>
      </c>
      <c r="Y29" s="89"/>
      <c r="Z29" s="94" t="s">
        <v>394</v>
      </c>
      <c r="AA29" s="89">
        <f>1560000*0.1</f>
        <v>156000</v>
      </c>
      <c r="AB29" s="89"/>
      <c r="AC29" s="94"/>
      <c r="AD29" s="89"/>
      <c r="AE29" s="89"/>
      <c r="AF29" s="94"/>
      <c r="AG29" s="89"/>
      <c r="AH29" s="89"/>
      <c r="AI29" s="94"/>
      <c r="AJ29" s="89"/>
      <c r="AK29" s="111"/>
      <c r="AL29" s="112">
        <f t="shared" si="1"/>
        <v>0</v>
      </c>
      <c r="AM29" s="113">
        <f t="shared" si="2"/>
        <v>1560000</v>
      </c>
      <c r="AN29" s="114">
        <f t="shared" si="3"/>
        <v>0</v>
      </c>
      <c r="AO29" s="113">
        <f t="shared" si="4"/>
        <v>1560000</v>
      </c>
      <c r="AP29" s="118" t="str">
        <f t="shared" si="5"/>
        <v>数据正确</v>
      </c>
    </row>
    <row r="30" s="37" customFormat="1" customHeight="1" spans="1:42">
      <c r="A30" s="37" t="str">
        <f t="shared" si="6"/>
        <v/>
      </c>
      <c r="B30" s="37" t="s">
        <v>83</v>
      </c>
      <c r="C30" s="37" t="s">
        <v>84</v>
      </c>
      <c r="D30" s="61">
        <v>19</v>
      </c>
      <c r="E30" s="62" t="s">
        <v>395</v>
      </c>
      <c r="F30" s="133" t="s">
        <v>23</v>
      </c>
      <c r="G30" s="63">
        <v>2017020022</v>
      </c>
      <c r="H30" s="64">
        <v>42832</v>
      </c>
      <c r="I30" s="184">
        <v>386588</v>
      </c>
      <c r="J30" s="62" t="s">
        <v>396</v>
      </c>
      <c r="K30" s="62" t="s">
        <v>397</v>
      </c>
      <c r="L30" s="62"/>
      <c r="M30" s="87" t="s">
        <v>278</v>
      </c>
      <c r="N30" s="88" t="s">
        <v>398</v>
      </c>
      <c r="O30" s="86">
        <f>386588*0.2</f>
        <v>77317.6</v>
      </c>
      <c r="P30" s="86"/>
      <c r="Q30" s="93" t="s">
        <v>391</v>
      </c>
      <c r="R30" s="86">
        <f>386588*0.3</f>
        <v>115976.4</v>
      </c>
      <c r="S30" s="86"/>
      <c r="T30" s="93" t="s">
        <v>399</v>
      </c>
      <c r="U30" s="86">
        <f>386588*0.2</f>
        <v>77317.6</v>
      </c>
      <c r="V30" s="86"/>
      <c r="W30" s="93" t="s">
        <v>400</v>
      </c>
      <c r="X30" s="86">
        <f>386588*0.2</f>
        <v>77317.6</v>
      </c>
      <c r="Y30" s="86"/>
      <c r="Z30" s="93" t="s">
        <v>394</v>
      </c>
      <c r="AA30" s="86">
        <f>386588*0.1</f>
        <v>38658.8</v>
      </c>
      <c r="AB30" s="86"/>
      <c r="AC30" s="93"/>
      <c r="AD30" s="86"/>
      <c r="AE30" s="86"/>
      <c r="AF30" s="93"/>
      <c r="AG30" s="86"/>
      <c r="AH30" s="86"/>
      <c r="AI30" s="93"/>
      <c r="AJ30" s="86"/>
      <c r="AK30" s="107"/>
      <c r="AL30" s="108">
        <f t="shared" si="1"/>
        <v>0</v>
      </c>
      <c r="AM30" s="109">
        <f t="shared" si="2"/>
        <v>386588</v>
      </c>
      <c r="AN30" s="110">
        <f t="shared" si="3"/>
        <v>0</v>
      </c>
      <c r="AO30" s="109">
        <f t="shared" si="4"/>
        <v>386588</v>
      </c>
      <c r="AP30" s="117" t="str">
        <f t="shared" si="5"/>
        <v>数据正确</v>
      </c>
    </row>
    <row r="31" s="37" customFormat="1" customHeight="1" spans="1:42">
      <c r="A31" s="37" t="str">
        <f t="shared" si="6"/>
        <v/>
      </c>
      <c r="B31" s="37" t="s">
        <v>83</v>
      </c>
      <c r="C31" s="37" t="s">
        <v>84</v>
      </c>
      <c r="D31" s="61">
        <v>20</v>
      </c>
      <c r="E31" s="62" t="s">
        <v>401</v>
      </c>
      <c r="F31" s="133" t="s">
        <v>23</v>
      </c>
      <c r="G31" s="63">
        <v>2017030067</v>
      </c>
      <c r="H31" s="64">
        <v>42832</v>
      </c>
      <c r="I31" s="184">
        <v>18460000</v>
      </c>
      <c r="J31" s="62" t="s">
        <v>402</v>
      </c>
      <c r="K31" s="62" t="s">
        <v>403</v>
      </c>
      <c r="L31" s="62" t="s">
        <v>404</v>
      </c>
      <c r="M31" s="87" t="s">
        <v>76</v>
      </c>
      <c r="N31" s="88" t="s">
        <v>405</v>
      </c>
      <c r="O31" s="86">
        <f>18460000*0.2</f>
        <v>3692000</v>
      </c>
      <c r="P31" s="86">
        <v>3692000</v>
      </c>
      <c r="Q31" s="93" t="s">
        <v>406</v>
      </c>
      <c r="R31" s="86">
        <f>18460000*0.8</f>
        <v>14768000</v>
      </c>
      <c r="S31" s="86"/>
      <c r="T31" s="93"/>
      <c r="U31" s="86"/>
      <c r="V31" s="86"/>
      <c r="W31" s="93"/>
      <c r="X31" s="86"/>
      <c r="Y31" s="86"/>
      <c r="Z31" s="93"/>
      <c r="AA31" s="86"/>
      <c r="AB31" s="86"/>
      <c r="AC31" s="93"/>
      <c r="AD31" s="86"/>
      <c r="AE31" s="86"/>
      <c r="AF31" s="93"/>
      <c r="AG31" s="86"/>
      <c r="AH31" s="86"/>
      <c r="AI31" s="93"/>
      <c r="AJ31" s="86"/>
      <c r="AK31" s="107"/>
      <c r="AL31" s="108">
        <f t="shared" si="1"/>
        <v>3692000</v>
      </c>
      <c r="AM31" s="109">
        <f t="shared" si="2"/>
        <v>14768000</v>
      </c>
      <c r="AN31" s="110">
        <f t="shared" si="3"/>
        <v>0.2</v>
      </c>
      <c r="AO31" s="109">
        <f t="shared" si="4"/>
        <v>18460000</v>
      </c>
      <c r="AP31" s="117" t="str">
        <f t="shared" si="5"/>
        <v>数据正确</v>
      </c>
    </row>
    <row r="32" s="37" customFormat="1" customHeight="1" spans="1:42">
      <c r="A32" s="37" t="str">
        <f t="shared" si="6"/>
        <v/>
      </c>
      <c r="B32" s="37" t="s">
        <v>83</v>
      </c>
      <c r="C32" s="37" t="s">
        <v>84</v>
      </c>
      <c r="D32" s="61">
        <v>21</v>
      </c>
      <c r="E32" s="62" t="s">
        <v>407</v>
      </c>
      <c r="F32" s="133" t="s">
        <v>23</v>
      </c>
      <c r="G32" s="63">
        <v>2017030076</v>
      </c>
      <c r="H32" s="64">
        <v>42857</v>
      </c>
      <c r="I32" s="184">
        <v>59800000</v>
      </c>
      <c r="J32" s="62" t="s">
        <v>408</v>
      </c>
      <c r="K32" s="62" t="s">
        <v>409</v>
      </c>
      <c r="L32" s="62" t="s">
        <v>410</v>
      </c>
      <c r="M32" s="87" t="s">
        <v>76</v>
      </c>
      <c r="N32" s="88" t="s">
        <v>411</v>
      </c>
      <c r="O32" s="86">
        <f>59800000*0.2</f>
        <v>11960000</v>
      </c>
      <c r="P32" s="86">
        <v>11960000</v>
      </c>
      <c r="Q32" s="93" t="s">
        <v>412</v>
      </c>
      <c r="R32" s="86">
        <f>59800000*0.4</f>
        <v>23920000</v>
      </c>
      <c r="S32" s="86">
        <v>23920000</v>
      </c>
      <c r="T32" s="93" t="s">
        <v>413</v>
      </c>
      <c r="U32" s="86">
        <f>59800000*0.4</f>
        <v>23920000</v>
      </c>
      <c r="V32" s="86"/>
      <c r="W32" s="93" t="s">
        <v>414</v>
      </c>
      <c r="X32" s="86">
        <v>0</v>
      </c>
      <c r="Y32" s="86"/>
      <c r="Z32" s="93"/>
      <c r="AA32" s="86"/>
      <c r="AB32" s="86"/>
      <c r="AC32" s="93"/>
      <c r="AD32" s="86"/>
      <c r="AE32" s="86"/>
      <c r="AF32" s="93"/>
      <c r="AG32" s="86"/>
      <c r="AH32" s="86"/>
      <c r="AI32" s="93"/>
      <c r="AJ32" s="86"/>
      <c r="AK32" s="107"/>
      <c r="AL32" s="108">
        <f t="shared" si="1"/>
        <v>35880000</v>
      </c>
      <c r="AM32" s="109">
        <f t="shared" si="2"/>
        <v>23920000</v>
      </c>
      <c r="AN32" s="110">
        <f t="shared" si="3"/>
        <v>0.6</v>
      </c>
      <c r="AO32" s="109">
        <f t="shared" si="4"/>
        <v>59800000</v>
      </c>
      <c r="AP32" s="117" t="str">
        <f t="shared" si="5"/>
        <v>数据正确</v>
      </c>
    </row>
    <row r="33" s="37" customFormat="1" customHeight="1" spans="1:42">
      <c r="A33" s="37" t="str">
        <f t="shared" si="6"/>
        <v/>
      </c>
      <c r="B33" s="37" t="s">
        <v>83</v>
      </c>
      <c r="C33" s="37" t="s">
        <v>84</v>
      </c>
      <c r="D33" s="61">
        <v>22</v>
      </c>
      <c r="E33" s="62" t="s">
        <v>415</v>
      </c>
      <c r="F33" s="133" t="s">
        <v>23</v>
      </c>
      <c r="G33" s="63">
        <v>2017040001</v>
      </c>
      <c r="H33" s="64">
        <v>42859</v>
      </c>
      <c r="I33" s="184">
        <v>1460000</v>
      </c>
      <c r="J33" s="62" t="s">
        <v>416</v>
      </c>
      <c r="K33" s="62" t="s">
        <v>417</v>
      </c>
      <c r="L33" s="62"/>
      <c r="M33" s="87" t="s">
        <v>278</v>
      </c>
      <c r="N33" s="88" t="s">
        <v>418</v>
      </c>
      <c r="O33" s="86">
        <f>1460000*0.3</f>
        <v>438000</v>
      </c>
      <c r="P33" s="86"/>
      <c r="Q33" s="93" t="s">
        <v>419</v>
      </c>
      <c r="R33" s="86">
        <f>1460000*0.6</f>
        <v>876000</v>
      </c>
      <c r="S33" s="86"/>
      <c r="T33" s="93" t="s">
        <v>420</v>
      </c>
      <c r="U33" s="86">
        <f>1460000*0.1</f>
        <v>146000</v>
      </c>
      <c r="V33" s="86"/>
      <c r="W33" s="93"/>
      <c r="X33" s="86"/>
      <c r="Y33" s="86"/>
      <c r="Z33" s="93"/>
      <c r="AA33" s="86"/>
      <c r="AB33" s="86"/>
      <c r="AC33" s="93"/>
      <c r="AD33" s="86"/>
      <c r="AE33" s="86"/>
      <c r="AF33" s="93"/>
      <c r="AG33" s="86"/>
      <c r="AH33" s="86"/>
      <c r="AI33" s="93"/>
      <c r="AJ33" s="86"/>
      <c r="AK33" s="107"/>
      <c r="AL33" s="108">
        <f t="shared" si="1"/>
        <v>0</v>
      </c>
      <c r="AM33" s="109">
        <f t="shared" si="2"/>
        <v>1460000</v>
      </c>
      <c r="AN33" s="110">
        <f t="shared" si="3"/>
        <v>0</v>
      </c>
      <c r="AO33" s="109">
        <f t="shared" si="4"/>
        <v>1460000</v>
      </c>
      <c r="AP33" s="117" t="str">
        <f t="shared" si="5"/>
        <v>数据正确</v>
      </c>
    </row>
    <row r="34" s="37" customFormat="1" customHeight="1" spans="1:42">
      <c r="A34" s="37" t="str">
        <f t="shared" si="6"/>
        <v/>
      </c>
      <c r="B34" s="37" t="s">
        <v>83</v>
      </c>
      <c r="C34" s="37" t="s">
        <v>84</v>
      </c>
      <c r="D34" s="61">
        <v>24</v>
      </c>
      <c r="E34" s="62" t="s">
        <v>421</v>
      </c>
      <c r="F34" s="133" t="s">
        <v>23</v>
      </c>
      <c r="G34" s="63">
        <v>2017050008</v>
      </c>
      <c r="H34" s="64">
        <v>42892</v>
      </c>
      <c r="I34" s="184">
        <v>745000</v>
      </c>
      <c r="J34" s="62" t="s">
        <v>422</v>
      </c>
      <c r="K34" s="62" t="s">
        <v>423</v>
      </c>
      <c r="L34" s="62"/>
      <c r="M34" s="87" t="s">
        <v>254</v>
      </c>
      <c r="N34" s="88" t="s">
        <v>424</v>
      </c>
      <c r="O34" s="86">
        <f>745000*0.6</f>
        <v>447000</v>
      </c>
      <c r="P34" s="86"/>
      <c r="Q34" s="93" t="s">
        <v>425</v>
      </c>
      <c r="R34" s="86">
        <f>745000*0.3</f>
        <v>223500</v>
      </c>
      <c r="S34" s="86"/>
      <c r="T34" s="93" t="s">
        <v>426</v>
      </c>
      <c r="U34" s="86">
        <f>745000*0.1</f>
        <v>74500</v>
      </c>
      <c r="V34" s="86"/>
      <c r="W34" s="93"/>
      <c r="X34" s="86"/>
      <c r="Y34" s="86"/>
      <c r="Z34" s="93"/>
      <c r="AA34" s="86"/>
      <c r="AB34" s="86"/>
      <c r="AC34" s="93"/>
      <c r="AD34" s="86"/>
      <c r="AE34" s="86"/>
      <c r="AF34" s="93"/>
      <c r="AG34" s="86"/>
      <c r="AH34" s="86"/>
      <c r="AI34" s="93"/>
      <c r="AJ34" s="86"/>
      <c r="AK34" s="107"/>
      <c r="AL34" s="108">
        <f t="shared" si="1"/>
        <v>0</v>
      </c>
      <c r="AM34" s="109">
        <f t="shared" si="2"/>
        <v>745000</v>
      </c>
      <c r="AN34" s="110">
        <f t="shared" si="3"/>
        <v>0</v>
      </c>
      <c r="AO34" s="109">
        <f t="shared" si="4"/>
        <v>745000</v>
      </c>
      <c r="AP34" s="117" t="str">
        <f t="shared" si="5"/>
        <v>数据正确</v>
      </c>
    </row>
    <row r="35" s="37" customFormat="1" customHeight="1" spans="1:42">
      <c r="A35" s="37" t="str">
        <f t="shared" si="6"/>
        <v/>
      </c>
      <c r="B35" s="37" t="s">
        <v>83</v>
      </c>
      <c r="C35" s="37" t="s">
        <v>84</v>
      </c>
      <c r="D35" s="61">
        <v>141</v>
      </c>
      <c r="E35" s="62" t="s">
        <v>427</v>
      </c>
      <c r="F35" s="133" t="s">
        <v>23</v>
      </c>
      <c r="G35" s="63">
        <v>2017050011</v>
      </c>
      <c r="H35" s="64">
        <v>42893</v>
      </c>
      <c r="I35" s="184">
        <v>14200000</v>
      </c>
      <c r="J35" s="62" t="s">
        <v>428</v>
      </c>
      <c r="K35" s="62" t="s">
        <v>429</v>
      </c>
      <c r="L35" s="62" t="s">
        <v>430</v>
      </c>
      <c r="M35" s="87" t="s">
        <v>254</v>
      </c>
      <c r="N35" s="88" t="s">
        <v>431</v>
      </c>
      <c r="O35" s="86">
        <f>I35*0.2</f>
        <v>2840000</v>
      </c>
      <c r="P35" s="86">
        <v>2840000</v>
      </c>
      <c r="Q35" s="93" t="s">
        <v>432</v>
      </c>
      <c r="R35" s="86">
        <f>I35*0.4</f>
        <v>5680000</v>
      </c>
      <c r="S35" s="86"/>
      <c r="T35" s="93" t="s">
        <v>433</v>
      </c>
      <c r="U35" s="86">
        <f>I35*0.3</f>
        <v>4260000</v>
      </c>
      <c r="V35" s="86"/>
      <c r="W35" s="93" t="s">
        <v>434</v>
      </c>
      <c r="X35" s="86">
        <f>I35*0.1</f>
        <v>1420000</v>
      </c>
      <c r="Y35" s="86"/>
      <c r="Z35" s="93"/>
      <c r="AA35" s="86"/>
      <c r="AB35" s="86"/>
      <c r="AC35" s="93"/>
      <c r="AD35" s="86"/>
      <c r="AE35" s="86"/>
      <c r="AF35" s="93"/>
      <c r="AG35" s="86"/>
      <c r="AH35" s="86"/>
      <c r="AI35" s="93"/>
      <c r="AJ35" s="86"/>
      <c r="AK35" s="107"/>
      <c r="AL35" s="108">
        <f t="shared" si="1"/>
        <v>2840000</v>
      </c>
      <c r="AM35" s="109">
        <f t="shared" si="2"/>
        <v>11360000</v>
      </c>
      <c r="AN35" s="110">
        <f t="shared" si="3"/>
        <v>0.2</v>
      </c>
      <c r="AO35" s="109">
        <f t="shared" si="4"/>
        <v>14200000</v>
      </c>
      <c r="AP35" s="117" t="str">
        <f t="shared" si="5"/>
        <v>数据正确</v>
      </c>
    </row>
    <row r="36" s="37" customFormat="1" customHeight="1" spans="1:42">
      <c r="A36" s="37" t="str">
        <f t="shared" si="6"/>
        <v/>
      </c>
      <c r="B36" s="37" t="s">
        <v>83</v>
      </c>
      <c r="C36" s="37" t="s">
        <v>84</v>
      </c>
      <c r="D36" s="61">
        <v>142</v>
      </c>
      <c r="E36" s="62" t="s">
        <v>435</v>
      </c>
      <c r="F36" s="133" t="s">
        <v>23</v>
      </c>
      <c r="G36" s="63">
        <v>2017060065</v>
      </c>
      <c r="H36" s="64">
        <v>42893</v>
      </c>
      <c r="I36" s="184">
        <v>2900000</v>
      </c>
      <c r="J36" s="62" t="s">
        <v>436</v>
      </c>
      <c r="K36" s="62" t="s">
        <v>437</v>
      </c>
      <c r="L36" s="62" t="s">
        <v>438</v>
      </c>
      <c r="M36" s="87" t="s">
        <v>278</v>
      </c>
      <c r="N36" s="88" t="s">
        <v>390</v>
      </c>
      <c r="O36" s="86">
        <f>I36*0.2</f>
        <v>580000</v>
      </c>
      <c r="P36" s="86">
        <v>580000</v>
      </c>
      <c r="Q36" s="93" t="s">
        <v>439</v>
      </c>
      <c r="R36" s="86">
        <f>I36*0.4</f>
        <v>1160000</v>
      </c>
      <c r="S36" s="86"/>
      <c r="T36" s="93" t="s">
        <v>440</v>
      </c>
      <c r="U36" s="86">
        <f>I36*0.3</f>
        <v>870000</v>
      </c>
      <c r="V36" s="86"/>
      <c r="W36" s="93" t="s">
        <v>441</v>
      </c>
      <c r="X36" s="86">
        <f>I36*0.1</f>
        <v>290000</v>
      </c>
      <c r="Y36" s="86"/>
      <c r="Z36" s="93"/>
      <c r="AA36" s="86"/>
      <c r="AB36" s="86"/>
      <c r="AC36" s="93"/>
      <c r="AD36" s="86"/>
      <c r="AE36" s="86"/>
      <c r="AF36" s="93"/>
      <c r="AG36" s="86"/>
      <c r="AH36" s="86"/>
      <c r="AI36" s="93"/>
      <c r="AJ36" s="86"/>
      <c r="AK36" s="107"/>
      <c r="AL36" s="108">
        <f t="shared" si="1"/>
        <v>580000</v>
      </c>
      <c r="AM36" s="109">
        <f t="shared" si="2"/>
        <v>2320000</v>
      </c>
      <c r="AN36" s="110">
        <f t="shared" si="3"/>
        <v>0.2</v>
      </c>
      <c r="AO36" s="109">
        <f t="shared" si="4"/>
        <v>2900000</v>
      </c>
      <c r="AP36" s="117" t="str">
        <f t="shared" si="5"/>
        <v>数据正确</v>
      </c>
    </row>
    <row r="37" s="37" customFormat="1" customHeight="1" spans="1:42">
      <c r="A37" s="37" t="str">
        <f t="shared" si="6"/>
        <v/>
      </c>
      <c r="B37" s="37" t="s">
        <v>83</v>
      </c>
      <c r="C37" s="37" t="s">
        <v>84</v>
      </c>
      <c r="D37" s="61">
        <v>23</v>
      </c>
      <c r="E37" s="62" t="s">
        <v>442</v>
      </c>
      <c r="F37" s="133" t="s">
        <v>23</v>
      </c>
      <c r="G37" s="63">
        <v>2017040050</v>
      </c>
      <c r="H37" s="64">
        <v>42898</v>
      </c>
      <c r="I37" s="184">
        <v>3550000</v>
      </c>
      <c r="J37" s="62" t="s">
        <v>443</v>
      </c>
      <c r="K37" s="62" t="s">
        <v>444</v>
      </c>
      <c r="L37" s="62" t="s">
        <v>445</v>
      </c>
      <c r="M37" s="87" t="s">
        <v>278</v>
      </c>
      <c r="N37" s="88" t="s">
        <v>446</v>
      </c>
      <c r="O37" s="86">
        <f>3550000*0.2</f>
        <v>710000</v>
      </c>
      <c r="P37" s="86">
        <v>710000</v>
      </c>
      <c r="Q37" s="93" t="s">
        <v>447</v>
      </c>
      <c r="R37" s="86">
        <f>3550000*0.4</f>
        <v>1420000</v>
      </c>
      <c r="S37" s="86"/>
      <c r="T37" s="93" t="s">
        <v>448</v>
      </c>
      <c r="U37" s="86">
        <f>3550000*0.3</f>
        <v>1065000</v>
      </c>
      <c r="V37" s="86"/>
      <c r="W37" s="93" t="s">
        <v>449</v>
      </c>
      <c r="X37" s="86">
        <f>3550000*0.1</f>
        <v>355000</v>
      </c>
      <c r="Y37" s="86"/>
      <c r="Z37" s="93"/>
      <c r="AA37" s="86"/>
      <c r="AB37" s="86"/>
      <c r="AC37" s="93"/>
      <c r="AD37" s="86"/>
      <c r="AE37" s="86"/>
      <c r="AF37" s="93"/>
      <c r="AG37" s="86"/>
      <c r="AH37" s="86"/>
      <c r="AI37" s="93"/>
      <c r="AJ37" s="86"/>
      <c r="AK37" s="107"/>
      <c r="AL37" s="108">
        <f t="shared" si="1"/>
        <v>710000</v>
      </c>
      <c r="AM37" s="109">
        <f t="shared" si="2"/>
        <v>2840000</v>
      </c>
      <c r="AN37" s="110">
        <f t="shared" si="3"/>
        <v>0.2</v>
      </c>
      <c r="AO37" s="109">
        <f t="shared" si="4"/>
        <v>3550000</v>
      </c>
      <c r="AP37" s="117" t="str">
        <f t="shared" si="5"/>
        <v>数据正确</v>
      </c>
    </row>
    <row r="38" s="37" customFormat="1" customHeight="1" spans="1:42">
      <c r="A38" s="37" t="str">
        <f t="shared" si="6"/>
        <v/>
      </c>
      <c r="B38" s="37" t="s">
        <v>83</v>
      </c>
      <c r="C38" s="37" t="s">
        <v>84</v>
      </c>
      <c r="D38" s="61">
        <v>25</v>
      </c>
      <c r="E38" s="62" t="s">
        <v>450</v>
      </c>
      <c r="F38" s="133" t="s">
        <v>23</v>
      </c>
      <c r="G38" s="63">
        <v>2017040009</v>
      </c>
      <c r="H38" s="64">
        <v>42898</v>
      </c>
      <c r="I38" s="184">
        <v>3500000</v>
      </c>
      <c r="J38" s="62" t="s">
        <v>451</v>
      </c>
      <c r="K38" s="62" t="s">
        <v>452</v>
      </c>
      <c r="L38" s="62" t="s">
        <v>453</v>
      </c>
      <c r="M38" s="87" t="s">
        <v>254</v>
      </c>
      <c r="N38" s="88" t="s">
        <v>454</v>
      </c>
      <c r="O38" s="86">
        <f>3500000*0.3</f>
        <v>1050000</v>
      </c>
      <c r="P38" s="86">
        <f>700000</f>
        <v>700000</v>
      </c>
      <c r="Q38" s="93" t="s">
        <v>455</v>
      </c>
      <c r="R38" s="86">
        <f>3500000*0.4</f>
        <v>1400000</v>
      </c>
      <c r="S38" s="86"/>
      <c r="T38" s="93" t="s">
        <v>456</v>
      </c>
      <c r="U38" s="86">
        <f>3500000*0.3</f>
        <v>1050000</v>
      </c>
      <c r="V38" s="86"/>
      <c r="W38" s="93"/>
      <c r="X38" s="86"/>
      <c r="Y38" s="86"/>
      <c r="Z38" s="93"/>
      <c r="AA38" s="86"/>
      <c r="AB38" s="86"/>
      <c r="AC38" s="93"/>
      <c r="AD38" s="86"/>
      <c r="AE38" s="86"/>
      <c r="AF38" s="93"/>
      <c r="AG38" s="86"/>
      <c r="AH38" s="86"/>
      <c r="AI38" s="93"/>
      <c r="AJ38" s="86"/>
      <c r="AK38" s="107"/>
      <c r="AL38" s="108">
        <f t="shared" si="1"/>
        <v>700000</v>
      </c>
      <c r="AM38" s="109">
        <f t="shared" si="2"/>
        <v>2800000</v>
      </c>
      <c r="AN38" s="110">
        <f t="shared" si="3"/>
        <v>0.2</v>
      </c>
      <c r="AO38" s="109">
        <f t="shared" si="4"/>
        <v>3500000</v>
      </c>
      <c r="AP38" s="117" t="str">
        <f t="shared" ref="AP38:AP78" si="8">IF(AO38-I38=0,"数据正确","数据错误")</f>
        <v>数据正确</v>
      </c>
    </row>
    <row r="39" s="37" customFormat="1" customHeight="1" spans="1:42">
      <c r="A39" s="37" t="str">
        <f t="shared" si="6"/>
        <v/>
      </c>
      <c r="B39" s="37" t="s">
        <v>83</v>
      </c>
      <c r="C39" s="37" t="s">
        <v>84</v>
      </c>
      <c r="D39" s="61">
        <v>27</v>
      </c>
      <c r="E39" s="62" t="s">
        <v>457</v>
      </c>
      <c r="F39" s="133" t="s">
        <v>23</v>
      </c>
      <c r="G39" s="63">
        <v>2017050053</v>
      </c>
      <c r="H39" s="64">
        <v>42901</v>
      </c>
      <c r="I39" s="184">
        <v>3600000</v>
      </c>
      <c r="J39" s="62" t="s">
        <v>458</v>
      </c>
      <c r="K39" s="62" t="s">
        <v>459</v>
      </c>
      <c r="L39" s="62" t="s">
        <v>460</v>
      </c>
      <c r="M39" s="87" t="s">
        <v>254</v>
      </c>
      <c r="N39" s="88" t="s">
        <v>461</v>
      </c>
      <c r="O39" s="86">
        <f>3600000*0.2</f>
        <v>720000</v>
      </c>
      <c r="P39" s="86">
        <v>720000</v>
      </c>
      <c r="Q39" s="93" t="s">
        <v>462</v>
      </c>
      <c r="R39" s="86">
        <f>3600000*0.4</f>
        <v>1440000</v>
      </c>
      <c r="S39" s="86"/>
      <c r="T39" s="93" t="s">
        <v>463</v>
      </c>
      <c r="U39" s="86">
        <f>3600000*0.3</f>
        <v>1080000</v>
      </c>
      <c r="V39" s="86"/>
      <c r="W39" s="93" t="s">
        <v>464</v>
      </c>
      <c r="X39" s="86">
        <f>3600000*0.1</f>
        <v>360000</v>
      </c>
      <c r="Y39" s="86"/>
      <c r="Z39" s="93"/>
      <c r="AA39" s="86"/>
      <c r="AB39" s="86"/>
      <c r="AC39" s="93"/>
      <c r="AD39" s="86"/>
      <c r="AE39" s="86"/>
      <c r="AF39" s="93"/>
      <c r="AG39" s="86"/>
      <c r="AH39" s="86"/>
      <c r="AI39" s="93"/>
      <c r="AJ39" s="86"/>
      <c r="AK39" s="107"/>
      <c r="AL39" s="108">
        <f t="shared" si="1"/>
        <v>720000</v>
      </c>
      <c r="AM39" s="109">
        <f t="shared" si="2"/>
        <v>2880000</v>
      </c>
      <c r="AN39" s="110">
        <f t="shared" si="3"/>
        <v>0.2</v>
      </c>
      <c r="AO39" s="109">
        <f t="shared" si="4"/>
        <v>3600000</v>
      </c>
      <c r="AP39" s="117" t="str">
        <f t="shared" si="8"/>
        <v>数据正确</v>
      </c>
    </row>
    <row r="40" s="37" customFormat="1" customHeight="1" spans="1:42">
      <c r="A40" s="37" t="str">
        <f t="shared" si="6"/>
        <v/>
      </c>
      <c r="B40" s="37" t="s">
        <v>83</v>
      </c>
      <c r="C40" s="37" t="s">
        <v>84</v>
      </c>
      <c r="D40" s="61">
        <v>26</v>
      </c>
      <c r="E40" s="62" t="s">
        <v>465</v>
      </c>
      <c r="F40" s="133" t="s">
        <v>23</v>
      </c>
      <c r="G40" s="63">
        <v>2017050056</v>
      </c>
      <c r="H40" s="64">
        <v>42905</v>
      </c>
      <c r="I40" s="184">
        <v>3350000</v>
      </c>
      <c r="J40" s="62" t="s">
        <v>466</v>
      </c>
      <c r="K40" s="62" t="s">
        <v>467</v>
      </c>
      <c r="L40" s="62"/>
      <c r="M40" s="87" t="s">
        <v>254</v>
      </c>
      <c r="N40" s="88" t="s">
        <v>468</v>
      </c>
      <c r="O40" s="86">
        <f>I40*0.2</f>
        <v>670000</v>
      </c>
      <c r="P40" s="86">
        <v>670000</v>
      </c>
      <c r="Q40" s="93" t="s">
        <v>455</v>
      </c>
      <c r="R40" s="86">
        <f>I40*0.4</f>
        <v>1340000</v>
      </c>
      <c r="S40" s="86"/>
      <c r="T40" s="93" t="s">
        <v>463</v>
      </c>
      <c r="U40" s="86">
        <f>I40*0.3</f>
        <v>1005000</v>
      </c>
      <c r="V40" s="86"/>
      <c r="W40" s="93" t="s">
        <v>464</v>
      </c>
      <c r="X40" s="86">
        <f>I40*0.1</f>
        <v>335000</v>
      </c>
      <c r="Y40" s="86"/>
      <c r="Z40" s="93"/>
      <c r="AA40" s="86"/>
      <c r="AB40" s="86"/>
      <c r="AC40" s="93"/>
      <c r="AD40" s="86"/>
      <c r="AE40" s="86"/>
      <c r="AF40" s="93"/>
      <c r="AG40" s="86"/>
      <c r="AH40" s="86"/>
      <c r="AI40" s="93"/>
      <c r="AJ40" s="86"/>
      <c r="AK40" s="107"/>
      <c r="AL40" s="108">
        <f t="shared" si="1"/>
        <v>670000</v>
      </c>
      <c r="AM40" s="109">
        <f t="shared" si="2"/>
        <v>2680000</v>
      </c>
      <c r="AN40" s="110">
        <f t="shared" si="3"/>
        <v>0.2</v>
      </c>
      <c r="AO40" s="109">
        <f t="shared" si="4"/>
        <v>3350000</v>
      </c>
      <c r="AP40" s="117" t="str">
        <f t="shared" si="8"/>
        <v>数据正确</v>
      </c>
    </row>
    <row r="41" s="37" customFormat="1" customHeight="1" spans="1:42">
      <c r="A41" s="37" t="str">
        <f t="shared" si="6"/>
        <v/>
      </c>
      <c r="B41" s="37" t="s">
        <v>83</v>
      </c>
      <c r="C41" s="37" t="s">
        <v>84</v>
      </c>
      <c r="D41" s="61">
        <v>75</v>
      </c>
      <c r="E41" s="132" t="s">
        <v>469</v>
      </c>
      <c r="F41" s="133" t="s">
        <v>23</v>
      </c>
      <c r="G41" s="178">
        <v>2017060029</v>
      </c>
      <c r="H41" s="135">
        <v>42908</v>
      </c>
      <c r="I41" s="188">
        <v>7900</v>
      </c>
      <c r="J41" s="189" t="s">
        <v>470</v>
      </c>
      <c r="K41" s="189" t="s">
        <v>471</v>
      </c>
      <c r="L41" s="190" t="s">
        <v>472</v>
      </c>
      <c r="M41" s="191" t="s">
        <v>76</v>
      </c>
      <c r="N41" s="88" t="s">
        <v>473</v>
      </c>
      <c r="O41" s="86">
        <f>I41</f>
        <v>7900</v>
      </c>
      <c r="P41" s="86"/>
      <c r="Q41" s="93"/>
      <c r="R41" s="86"/>
      <c r="S41" s="86"/>
      <c r="T41" s="93"/>
      <c r="U41" s="86"/>
      <c r="V41" s="86"/>
      <c r="W41" s="93"/>
      <c r="X41" s="86"/>
      <c r="Y41" s="86"/>
      <c r="Z41" s="93"/>
      <c r="AA41" s="86"/>
      <c r="AB41" s="86"/>
      <c r="AC41" s="93"/>
      <c r="AD41" s="86"/>
      <c r="AE41" s="86"/>
      <c r="AF41" s="93"/>
      <c r="AG41" s="86"/>
      <c r="AH41" s="86"/>
      <c r="AI41" s="93"/>
      <c r="AJ41" s="86"/>
      <c r="AK41" s="107"/>
      <c r="AL41" s="108">
        <f t="shared" si="1"/>
        <v>0</v>
      </c>
      <c r="AM41" s="109">
        <f t="shared" si="2"/>
        <v>7900</v>
      </c>
      <c r="AN41" s="110">
        <f t="shared" si="3"/>
        <v>0</v>
      </c>
      <c r="AO41" s="109">
        <f t="shared" si="4"/>
        <v>7900</v>
      </c>
      <c r="AP41" s="117" t="str">
        <f t="shared" si="8"/>
        <v>数据正确</v>
      </c>
    </row>
    <row r="42" s="37" customFormat="1" customHeight="1" spans="1:42">
      <c r="A42" s="37" t="str">
        <f t="shared" si="6"/>
        <v/>
      </c>
      <c r="B42" s="37" t="s">
        <v>83</v>
      </c>
      <c r="C42" s="37" t="s">
        <v>84</v>
      </c>
      <c r="D42" s="61">
        <v>67</v>
      </c>
      <c r="E42" s="62" t="s">
        <v>474</v>
      </c>
      <c r="F42" s="133" t="s">
        <v>23</v>
      </c>
      <c r="G42" s="179"/>
      <c r="H42" s="64">
        <v>42912</v>
      </c>
      <c r="I42" s="184">
        <v>160000</v>
      </c>
      <c r="J42" s="62" t="s">
        <v>475</v>
      </c>
      <c r="K42" s="62" t="s">
        <v>423</v>
      </c>
      <c r="L42" s="62"/>
      <c r="M42" s="87" t="s">
        <v>254</v>
      </c>
      <c r="N42" s="88" t="s">
        <v>476</v>
      </c>
      <c r="O42" s="86">
        <f>I42*0.6</f>
        <v>96000</v>
      </c>
      <c r="P42" s="86"/>
      <c r="Q42" s="93" t="s">
        <v>477</v>
      </c>
      <c r="R42" s="86">
        <f>I42*0.3</f>
        <v>48000</v>
      </c>
      <c r="S42" s="86"/>
      <c r="T42" s="93" t="s">
        <v>478</v>
      </c>
      <c r="U42" s="86">
        <f>I42*0.1</f>
        <v>16000</v>
      </c>
      <c r="V42" s="86"/>
      <c r="W42" s="93"/>
      <c r="X42" s="86"/>
      <c r="Y42" s="86"/>
      <c r="Z42" s="93"/>
      <c r="AA42" s="86"/>
      <c r="AB42" s="86"/>
      <c r="AC42" s="93"/>
      <c r="AD42" s="86"/>
      <c r="AE42" s="86"/>
      <c r="AF42" s="93"/>
      <c r="AG42" s="86"/>
      <c r="AH42" s="86"/>
      <c r="AI42" s="93"/>
      <c r="AJ42" s="86"/>
      <c r="AK42" s="107"/>
      <c r="AL42" s="108">
        <f t="shared" si="1"/>
        <v>0</v>
      </c>
      <c r="AM42" s="109">
        <f t="shared" si="2"/>
        <v>160000</v>
      </c>
      <c r="AN42" s="110">
        <f t="shared" si="3"/>
        <v>0</v>
      </c>
      <c r="AO42" s="109">
        <f t="shared" si="4"/>
        <v>160000</v>
      </c>
      <c r="AP42" s="117" t="str">
        <f t="shared" si="8"/>
        <v>数据正确</v>
      </c>
    </row>
    <row r="43" s="37" customFormat="1" customHeight="1" spans="1:42">
      <c r="A43" s="37" t="str">
        <f t="shared" si="6"/>
        <v/>
      </c>
      <c r="B43" s="37" t="s">
        <v>83</v>
      </c>
      <c r="C43" s="37" t="s">
        <v>84</v>
      </c>
      <c r="D43" s="61">
        <v>70</v>
      </c>
      <c r="E43" s="132" t="s">
        <v>479</v>
      </c>
      <c r="F43" s="133" t="s">
        <v>23</v>
      </c>
      <c r="G43" s="178">
        <v>2017050055</v>
      </c>
      <c r="H43" s="135">
        <v>42912</v>
      </c>
      <c r="I43" s="188">
        <v>300000</v>
      </c>
      <c r="J43" s="189" t="s">
        <v>480</v>
      </c>
      <c r="K43" s="189" t="s">
        <v>481</v>
      </c>
      <c r="L43" s="190" t="s">
        <v>482</v>
      </c>
      <c r="M43" s="191" t="s">
        <v>483</v>
      </c>
      <c r="N43" s="88" t="s">
        <v>484</v>
      </c>
      <c r="O43" s="86">
        <f>I43*0.6</f>
        <v>180000</v>
      </c>
      <c r="P43" s="86"/>
      <c r="Q43" s="93" t="s">
        <v>485</v>
      </c>
      <c r="R43" s="86">
        <f>I43*0.3</f>
        <v>90000</v>
      </c>
      <c r="S43" s="86"/>
      <c r="T43" s="93" t="s">
        <v>486</v>
      </c>
      <c r="U43" s="86">
        <f>I43*0.1</f>
        <v>30000</v>
      </c>
      <c r="V43" s="86"/>
      <c r="W43" s="93"/>
      <c r="X43" s="86"/>
      <c r="Y43" s="86"/>
      <c r="Z43" s="93"/>
      <c r="AA43" s="86"/>
      <c r="AB43" s="86"/>
      <c r="AC43" s="93"/>
      <c r="AD43" s="86"/>
      <c r="AE43" s="86"/>
      <c r="AF43" s="93"/>
      <c r="AG43" s="86"/>
      <c r="AH43" s="86"/>
      <c r="AI43" s="93"/>
      <c r="AJ43" s="86"/>
      <c r="AK43" s="107"/>
      <c r="AL43" s="108">
        <f t="shared" si="1"/>
        <v>0</v>
      </c>
      <c r="AM43" s="109">
        <f t="shared" si="2"/>
        <v>300000</v>
      </c>
      <c r="AN43" s="110">
        <f t="shared" si="3"/>
        <v>0</v>
      </c>
      <c r="AO43" s="109">
        <f t="shared" si="4"/>
        <v>300000</v>
      </c>
      <c r="AP43" s="117" t="str">
        <f t="shared" si="8"/>
        <v>数据正确</v>
      </c>
    </row>
    <row r="44" s="37" customFormat="1" customHeight="1" spans="1:42">
      <c r="A44" s="37" t="str">
        <f t="shared" si="6"/>
        <v/>
      </c>
      <c r="B44" s="37" t="s">
        <v>83</v>
      </c>
      <c r="C44" s="37" t="s">
        <v>84</v>
      </c>
      <c r="D44" s="61">
        <v>135</v>
      </c>
      <c r="E44" s="62" t="s">
        <v>487</v>
      </c>
      <c r="F44" s="133" t="s">
        <v>23</v>
      </c>
      <c r="G44" s="63">
        <v>2017050054</v>
      </c>
      <c r="H44" s="64">
        <v>42914</v>
      </c>
      <c r="I44" s="184">
        <v>13750000</v>
      </c>
      <c r="J44" s="62" t="s">
        <v>488</v>
      </c>
      <c r="K44" s="62" t="s">
        <v>489</v>
      </c>
      <c r="L44" s="62" t="s">
        <v>490</v>
      </c>
      <c r="M44" s="87" t="s">
        <v>491</v>
      </c>
      <c r="N44" s="88" t="s">
        <v>431</v>
      </c>
      <c r="O44" s="86">
        <f>I44*0.2</f>
        <v>2750000</v>
      </c>
      <c r="P44" s="86">
        <v>2750000</v>
      </c>
      <c r="Q44" s="93" t="s">
        <v>447</v>
      </c>
      <c r="R44" s="86">
        <f>I44*0.4</f>
        <v>5500000</v>
      </c>
      <c r="S44" s="86"/>
      <c r="T44" s="93" t="s">
        <v>492</v>
      </c>
      <c r="U44" s="86">
        <f>I44*0.3</f>
        <v>4125000</v>
      </c>
      <c r="V44" s="86"/>
      <c r="W44" s="93" t="s">
        <v>449</v>
      </c>
      <c r="X44" s="86">
        <f>I44*0.1</f>
        <v>1375000</v>
      </c>
      <c r="Y44" s="86"/>
      <c r="Z44" s="93"/>
      <c r="AA44" s="86"/>
      <c r="AB44" s="86"/>
      <c r="AC44" s="93"/>
      <c r="AD44" s="86"/>
      <c r="AE44" s="86"/>
      <c r="AF44" s="93"/>
      <c r="AG44" s="86"/>
      <c r="AH44" s="86"/>
      <c r="AI44" s="93"/>
      <c r="AJ44" s="86"/>
      <c r="AK44" s="107"/>
      <c r="AL44" s="108">
        <f t="shared" si="1"/>
        <v>2750000</v>
      </c>
      <c r="AM44" s="109">
        <f t="shared" si="2"/>
        <v>11000000</v>
      </c>
      <c r="AN44" s="110">
        <f t="shared" si="3"/>
        <v>0.2</v>
      </c>
      <c r="AO44" s="109">
        <f t="shared" si="4"/>
        <v>13750000</v>
      </c>
      <c r="AP44" s="117" t="str">
        <f t="shared" si="8"/>
        <v>数据正确</v>
      </c>
    </row>
    <row r="45" s="37" customFormat="1" customHeight="1" spans="1:42">
      <c r="A45" s="37" t="str">
        <f t="shared" si="6"/>
        <v/>
      </c>
      <c r="B45" s="37" t="s">
        <v>83</v>
      </c>
      <c r="C45" s="37" t="s">
        <v>84</v>
      </c>
      <c r="D45" s="61">
        <v>136</v>
      </c>
      <c r="E45" s="62" t="s">
        <v>493</v>
      </c>
      <c r="F45" s="133" t="s">
        <v>23</v>
      </c>
      <c r="G45" s="63" t="s">
        <v>75</v>
      </c>
      <c r="H45" s="64">
        <v>42914</v>
      </c>
      <c r="I45" s="184">
        <v>11000000</v>
      </c>
      <c r="J45" s="62" t="s">
        <v>494</v>
      </c>
      <c r="K45" s="62" t="s">
        <v>495</v>
      </c>
      <c r="L45" s="62" t="s">
        <v>410</v>
      </c>
      <c r="M45" s="87" t="s">
        <v>278</v>
      </c>
      <c r="N45" s="88" t="s">
        <v>431</v>
      </c>
      <c r="O45" s="86">
        <f>I45*0.2</f>
        <v>2200000</v>
      </c>
      <c r="P45" s="86"/>
      <c r="Q45" s="93" t="s">
        <v>447</v>
      </c>
      <c r="R45" s="86">
        <f>I45*0.4</f>
        <v>4400000</v>
      </c>
      <c r="S45" s="86"/>
      <c r="T45" s="93" t="s">
        <v>492</v>
      </c>
      <c r="U45" s="86">
        <f>I45*0.3</f>
        <v>3300000</v>
      </c>
      <c r="V45" s="86"/>
      <c r="W45" s="93" t="s">
        <v>449</v>
      </c>
      <c r="X45" s="86">
        <f>I45*0.1</f>
        <v>1100000</v>
      </c>
      <c r="Y45" s="86"/>
      <c r="Z45" s="93"/>
      <c r="AA45" s="86"/>
      <c r="AB45" s="86"/>
      <c r="AC45" s="93"/>
      <c r="AD45" s="86"/>
      <c r="AE45" s="86"/>
      <c r="AF45" s="93"/>
      <c r="AG45" s="86"/>
      <c r="AH45" s="86"/>
      <c r="AI45" s="93"/>
      <c r="AJ45" s="86"/>
      <c r="AK45" s="107"/>
      <c r="AL45" s="108">
        <f t="shared" si="1"/>
        <v>0</v>
      </c>
      <c r="AM45" s="109">
        <f t="shared" si="2"/>
        <v>11000000</v>
      </c>
      <c r="AN45" s="110">
        <f t="shared" si="3"/>
        <v>0</v>
      </c>
      <c r="AO45" s="109">
        <f t="shared" si="4"/>
        <v>11000000</v>
      </c>
      <c r="AP45" s="117" t="str">
        <f t="shared" si="8"/>
        <v>数据正确</v>
      </c>
    </row>
    <row r="46" s="37" customFormat="1" customHeight="1" spans="1:42">
      <c r="A46" s="37" t="str">
        <f t="shared" si="6"/>
        <v/>
      </c>
      <c r="B46" s="37" t="s">
        <v>83</v>
      </c>
      <c r="C46" s="37" t="s">
        <v>84</v>
      </c>
      <c r="D46" s="61">
        <v>137</v>
      </c>
      <c r="E46" s="132" t="s">
        <v>496</v>
      </c>
      <c r="F46" s="133" t="s">
        <v>23</v>
      </c>
      <c r="G46" s="178">
        <v>2017060042</v>
      </c>
      <c r="H46" s="135">
        <v>42919</v>
      </c>
      <c r="I46" s="188">
        <v>145000</v>
      </c>
      <c r="J46" s="189" t="s">
        <v>497</v>
      </c>
      <c r="K46" s="189" t="s">
        <v>423</v>
      </c>
      <c r="L46" s="190" t="s">
        <v>498</v>
      </c>
      <c r="M46" s="191" t="s">
        <v>278</v>
      </c>
      <c r="N46" s="88" t="s">
        <v>332</v>
      </c>
      <c r="O46" s="86">
        <f>I46*0.6</f>
        <v>87000</v>
      </c>
      <c r="P46" s="86"/>
      <c r="Q46" s="93" t="s">
        <v>499</v>
      </c>
      <c r="R46" s="86">
        <f>I46*0.3</f>
        <v>43500</v>
      </c>
      <c r="S46" s="86"/>
      <c r="T46" s="93" t="s">
        <v>420</v>
      </c>
      <c r="U46" s="86">
        <f>I46*0.1</f>
        <v>14500</v>
      </c>
      <c r="V46" s="86"/>
      <c r="W46" s="93"/>
      <c r="X46" s="86"/>
      <c r="Y46" s="86"/>
      <c r="Z46" s="93"/>
      <c r="AA46" s="86"/>
      <c r="AB46" s="86"/>
      <c r="AC46" s="93"/>
      <c r="AD46" s="86"/>
      <c r="AE46" s="86"/>
      <c r="AF46" s="93"/>
      <c r="AG46" s="86"/>
      <c r="AH46" s="86"/>
      <c r="AI46" s="93"/>
      <c r="AJ46" s="86"/>
      <c r="AK46" s="107"/>
      <c r="AL46" s="108">
        <f t="shared" si="1"/>
        <v>0</v>
      </c>
      <c r="AM46" s="109">
        <f t="shared" si="2"/>
        <v>145000</v>
      </c>
      <c r="AN46" s="110">
        <f t="shared" si="3"/>
        <v>0</v>
      </c>
      <c r="AO46" s="109">
        <f t="shared" si="4"/>
        <v>145000</v>
      </c>
      <c r="AP46" s="117" t="str">
        <f t="shared" si="8"/>
        <v>数据正确</v>
      </c>
    </row>
    <row r="47" s="37" customFormat="1" customHeight="1" spans="1:42">
      <c r="A47" s="37" t="str">
        <f t="shared" si="6"/>
        <v/>
      </c>
      <c r="B47" s="37" t="s">
        <v>83</v>
      </c>
      <c r="C47" s="37" t="s">
        <v>84</v>
      </c>
      <c r="D47" s="61">
        <v>73</v>
      </c>
      <c r="E47" s="132" t="s">
        <v>500</v>
      </c>
      <c r="F47" s="133" t="s">
        <v>23</v>
      </c>
      <c r="G47" s="178">
        <v>2017060021</v>
      </c>
      <c r="H47" s="135">
        <v>42927</v>
      </c>
      <c r="I47" s="188">
        <v>180000</v>
      </c>
      <c r="J47" s="189" t="s">
        <v>501</v>
      </c>
      <c r="K47" s="189" t="s">
        <v>502</v>
      </c>
      <c r="L47" s="190" t="s">
        <v>503</v>
      </c>
      <c r="M47" s="191" t="s">
        <v>76</v>
      </c>
      <c r="N47" s="88" t="s">
        <v>504</v>
      </c>
      <c r="O47" s="86">
        <f>I47*0.6</f>
        <v>108000</v>
      </c>
      <c r="P47" s="86"/>
      <c r="Q47" s="93" t="s">
        <v>505</v>
      </c>
      <c r="R47" s="86">
        <f>I47*0.3</f>
        <v>54000</v>
      </c>
      <c r="S47" s="86"/>
      <c r="T47" s="93" t="s">
        <v>506</v>
      </c>
      <c r="U47" s="86">
        <f>I47*0.1</f>
        <v>18000</v>
      </c>
      <c r="V47" s="86"/>
      <c r="W47" s="93"/>
      <c r="X47" s="86"/>
      <c r="Y47" s="86"/>
      <c r="Z47" s="93"/>
      <c r="AA47" s="86"/>
      <c r="AB47" s="86"/>
      <c r="AC47" s="93"/>
      <c r="AD47" s="86"/>
      <c r="AE47" s="86"/>
      <c r="AF47" s="93"/>
      <c r="AG47" s="86"/>
      <c r="AH47" s="86"/>
      <c r="AI47" s="93"/>
      <c r="AJ47" s="86"/>
      <c r="AK47" s="107"/>
      <c r="AL47" s="108">
        <f t="shared" si="1"/>
        <v>0</v>
      </c>
      <c r="AM47" s="109">
        <f t="shared" si="2"/>
        <v>180000</v>
      </c>
      <c r="AN47" s="110">
        <f t="shared" si="3"/>
        <v>0</v>
      </c>
      <c r="AO47" s="109">
        <f t="shared" si="4"/>
        <v>180000</v>
      </c>
      <c r="AP47" s="117" t="str">
        <f t="shared" si="8"/>
        <v>数据正确</v>
      </c>
    </row>
    <row r="48" s="37" customFormat="1" customHeight="1" spans="1:42">
      <c r="A48" s="37" t="str">
        <f t="shared" si="6"/>
        <v/>
      </c>
      <c r="B48" s="37" t="s">
        <v>83</v>
      </c>
      <c r="C48" s="37" t="s">
        <v>84</v>
      </c>
      <c r="D48" s="61">
        <v>138</v>
      </c>
      <c r="E48" s="62" t="s">
        <v>507</v>
      </c>
      <c r="F48" s="133" t="s">
        <v>23</v>
      </c>
      <c r="G48" s="63">
        <v>2017050013</v>
      </c>
      <c r="H48" s="64">
        <v>42928</v>
      </c>
      <c r="I48" s="184">
        <v>1800000</v>
      </c>
      <c r="J48" s="62" t="s">
        <v>508</v>
      </c>
      <c r="K48" s="62" t="s">
        <v>481</v>
      </c>
      <c r="L48" s="62"/>
      <c r="M48" s="87" t="s">
        <v>278</v>
      </c>
      <c r="N48" s="88" t="s">
        <v>332</v>
      </c>
      <c r="O48" s="86">
        <f>I48*0.6</f>
        <v>1080000</v>
      </c>
      <c r="P48" s="86"/>
      <c r="Q48" s="93" t="s">
        <v>499</v>
      </c>
      <c r="R48" s="86">
        <f>I48*0.3</f>
        <v>540000</v>
      </c>
      <c r="S48" s="86"/>
      <c r="T48" s="93" t="s">
        <v>420</v>
      </c>
      <c r="U48" s="86">
        <f>I48*0.1</f>
        <v>180000</v>
      </c>
      <c r="V48" s="86"/>
      <c r="W48" s="93"/>
      <c r="X48" s="86"/>
      <c r="Y48" s="86"/>
      <c r="Z48" s="93"/>
      <c r="AA48" s="86"/>
      <c r="AB48" s="86"/>
      <c r="AC48" s="93"/>
      <c r="AD48" s="86"/>
      <c r="AE48" s="86"/>
      <c r="AF48" s="93"/>
      <c r="AG48" s="86"/>
      <c r="AH48" s="86"/>
      <c r="AI48" s="93"/>
      <c r="AJ48" s="86"/>
      <c r="AK48" s="107"/>
      <c r="AL48" s="108">
        <f t="shared" si="1"/>
        <v>0</v>
      </c>
      <c r="AM48" s="109">
        <f t="shared" si="2"/>
        <v>1800000</v>
      </c>
      <c r="AN48" s="110">
        <f t="shared" si="3"/>
        <v>0</v>
      </c>
      <c r="AO48" s="109">
        <f t="shared" si="4"/>
        <v>1800000</v>
      </c>
      <c r="AP48" s="117" t="str">
        <f t="shared" si="8"/>
        <v>数据正确</v>
      </c>
    </row>
    <row r="49" s="37" customFormat="1" customHeight="1" spans="1:42">
      <c r="A49" s="37" t="str">
        <f t="shared" si="6"/>
        <v>已完毕</v>
      </c>
      <c r="B49" s="37" t="s">
        <v>83</v>
      </c>
      <c r="C49" s="37" t="s">
        <v>84</v>
      </c>
      <c r="D49" s="61">
        <v>140</v>
      </c>
      <c r="E49" s="62" t="s">
        <v>509</v>
      </c>
      <c r="F49" s="133" t="s">
        <v>23</v>
      </c>
      <c r="G49" s="63">
        <v>2017060003</v>
      </c>
      <c r="H49" s="64">
        <v>42930</v>
      </c>
      <c r="I49" s="184">
        <v>103000</v>
      </c>
      <c r="J49" s="62" t="s">
        <v>510</v>
      </c>
      <c r="K49" s="62" t="s">
        <v>511</v>
      </c>
      <c r="L49" s="62"/>
      <c r="M49" s="87" t="s">
        <v>76</v>
      </c>
      <c r="N49" s="88" t="s">
        <v>512</v>
      </c>
      <c r="O49" s="86">
        <f>I49*0.3</f>
        <v>30900</v>
      </c>
      <c r="P49" s="86">
        <v>30900</v>
      </c>
      <c r="Q49" s="93" t="s">
        <v>513</v>
      </c>
      <c r="R49" s="86">
        <f>I49*0.7</f>
        <v>72100</v>
      </c>
      <c r="S49" s="86">
        <v>72100</v>
      </c>
      <c r="T49" s="93"/>
      <c r="U49" s="86"/>
      <c r="V49" s="86"/>
      <c r="W49" s="93"/>
      <c r="X49" s="86"/>
      <c r="Y49" s="86"/>
      <c r="Z49" s="93"/>
      <c r="AA49" s="86"/>
      <c r="AB49" s="86"/>
      <c r="AC49" s="93"/>
      <c r="AD49" s="86"/>
      <c r="AE49" s="86"/>
      <c r="AF49" s="93"/>
      <c r="AG49" s="86"/>
      <c r="AH49" s="86"/>
      <c r="AI49" s="93"/>
      <c r="AJ49" s="86"/>
      <c r="AK49" s="107"/>
      <c r="AL49" s="108">
        <f t="shared" si="1"/>
        <v>103000</v>
      </c>
      <c r="AM49" s="109">
        <f t="shared" si="2"/>
        <v>0</v>
      </c>
      <c r="AN49" s="110">
        <f t="shared" si="3"/>
        <v>1</v>
      </c>
      <c r="AO49" s="109">
        <f t="shared" si="4"/>
        <v>103000</v>
      </c>
      <c r="AP49" s="117" t="str">
        <f t="shared" si="8"/>
        <v>数据正确</v>
      </c>
    </row>
    <row r="50" s="37" customFormat="1" customHeight="1" spans="1:42">
      <c r="A50" s="37" t="str">
        <f t="shared" si="6"/>
        <v>已完毕</v>
      </c>
      <c r="B50" s="37" t="s">
        <v>83</v>
      </c>
      <c r="C50" s="37" t="s">
        <v>84</v>
      </c>
      <c r="D50" s="61">
        <v>159</v>
      </c>
      <c r="E50" s="62" t="s">
        <v>514</v>
      </c>
      <c r="F50" s="133" t="s">
        <v>23</v>
      </c>
      <c r="G50" s="174">
        <v>2016070031</v>
      </c>
      <c r="H50" s="64">
        <v>42750</v>
      </c>
      <c r="I50" s="184">
        <f>370064*7.9631+92516*7.9631</f>
        <v>3683570.798</v>
      </c>
      <c r="J50" s="62" t="s">
        <v>515</v>
      </c>
      <c r="K50" s="62" t="s">
        <v>516</v>
      </c>
      <c r="L50" s="62"/>
      <c r="M50" s="87" t="s">
        <v>517</v>
      </c>
      <c r="N50" s="88" t="s">
        <v>518</v>
      </c>
      <c r="O50" s="86">
        <f>92516*7.9631</f>
        <v>736714.1596</v>
      </c>
      <c r="P50" s="86">
        <f>92516*7.9631</f>
        <v>736714.1596</v>
      </c>
      <c r="Q50" s="93" t="s">
        <v>519</v>
      </c>
      <c r="R50" s="86">
        <f>370064*7.9631</f>
        <v>2946856.6384</v>
      </c>
      <c r="S50" s="86">
        <f>370064*7.9631</f>
        <v>2946856.6384</v>
      </c>
      <c r="T50" s="93"/>
      <c r="U50" s="86"/>
      <c r="V50" s="86"/>
      <c r="W50" s="93"/>
      <c r="X50" s="86"/>
      <c r="Y50" s="86"/>
      <c r="Z50" s="93"/>
      <c r="AA50" s="86"/>
      <c r="AB50" s="86"/>
      <c r="AC50" s="93"/>
      <c r="AD50" s="86"/>
      <c r="AE50" s="86"/>
      <c r="AF50" s="93"/>
      <c r="AG50" s="86"/>
      <c r="AH50" s="86"/>
      <c r="AI50" s="93"/>
      <c r="AJ50" s="86"/>
      <c r="AK50" s="107"/>
      <c r="AL50" s="108">
        <f t="shared" ref="AL46:AL78" si="9">P50+S50+V50+Y50+AB50+AE50+AH50+AK50</f>
        <v>3683570.798</v>
      </c>
      <c r="AM50" s="109">
        <f t="shared" ref="AM46:AM78" si="10">I50-AL50</f>
        <v>0</v>
      </c>
      <c r="AN50" s="110">
        <f t="shared" ref="AN46:AN78" si="11">AL50/I50</f>
        <v>1</v>
      </c>
      <c r="AO50" s="109">
        <f t="shared" ref="AO46:AO78" si="12">O50+R50+U50+X50+AA50+AD50+AG50+AJ50</f>
        <v>3683570.798</v>
      </c>
      <c r="AP50" s="117" t="str">
        <f t="shared" si="8"/>
        <v>数据正确</v>
      </c>
    </row>
    <row r="51" s="37" customFormat="1" customHeight="1" spans="1:42">
      <c r="A51" s="37" t="str">
        <f t="shared" si="6"/>
        <v/>
      </c>
      <c r="B51" s="37" t="s">
        <v>83</v>
      </c>
      <c r="C51" s="37" t="s">
        <v>84</v>
      </c>
      <c r="D51" s="61">
        <v>160</v>
      </c>
      <c r="E51" s="62" t="s">
        <v>520</v>
      </c>
      <c r="F51" s="133" t="s">
        <v>23</v>
      </c>
      <c r="G51" s="63"/>
      <c r="H51" s="64">
        <v>42923</v>
      </c>
      <c r="I51" s="184">
        <v>60000000</v>
      </c>
      <c r="J51" s="62" t="s">
        <v>521</v>
      </c>
      <c r="K51" s="62" t="s">
        <v>522</v>
      </c>
      <c r="L51" s="62"/>
      <c r="M51" s="87" t="s">
        <v>76</v>
      </c>
      <c r="N51" s="88" t="s">
        <v>523</v>
      </c>
      <c r="O51" s="86">
        <v>2000000</v>
      </c>
      <c r="P51" s="86">
        <v>2000000</v>
      </c>
      <c r="Q51" s="93" t="s">
        <v>524</v>
      </c>
      <c r="R51" s="86">
        <f>I51-O51</f>
        <v>58000000</v>
      </c>
      <c r="S51" s="86"/>
      <c r="T51" s="93"/>
      <c r="U51" s="86"/>
      <c r="V51" s="86"/>
      <c r="W51" s="93"/>
      <c r="X51" s="86"/>
      <c r="Y51" s="86"/>
      <c r="Z51" s="93"/>
      <c r="AA51" s="86"/>
      <c r="AB51" s="86"/>
      <c r="AC51" s="93"/>
      <c r="AD51" s="86"/>
      <c r="AE51" s="86"/>
      <c r="AF51" s="93"/>
      <c r="AG51" s="86"/>
      <c r="AH51" s="86"/>
      <c r="AI51" s="93"/>
      <c r="AJ51" s="86"/>
      <c r="AK51" s="107"/>
      <c r="AL51" s="108">
        <f t="shared" si="9"/>
        <v>2000000</v>
      </c>
      <c r="AM51" s="109">
        <f t="shared" si="10"/>
        <v>58000000</v>
      </c>
      <c r="AN51" s="110">
        <f t="shared" si="11"/>
        <v>0.0333333333333333</v>
      </c>
      <c r="AO51" s="109">
        <f t="shared" si="12"/>
        <v>60000000</v>
      </c>
      <c r="AP51" s="117" t="str">
        <f t="shared" si="8"/>
        <v>数据正确</v>
      </c>
    </row>
    <row r="52" s="37" customFormat="1" customHeight="1" spans="1:42">
      <c r="A52" s="37" t="str">
        <f t="shared" ref="A52:A78" si="13">IF(AN52=100%,"已完毕","")</f>
        <v/>
      </c>
      <c r="B52" s="37" t="s">
        <v>83</v>
      </c>
      <c r="C52" s="37" t="s">
        <v>84</v>
      </c>
      <c r="D52" s="61">
        <v>164</v>
      </c>
      <c r="E52" s="62" t="s">
        <v>525</v>
      </c>
      <c r="F52" s="133" t="s">
        <v>23</v>
      </c>
      <c r="G52" s="63">
        <v>2017060050</v>
      </c>
      <c r="H52" s="64">
        <v>42944</v>
      </c>
      <c r="I52" s="184">
        <v>7930000</v>
      </c>
      <c r="J52" s="62" t="s">
        <v>526</v>
      </c>
      <c r="K52" s="62" t="s">
        <v>527</v>
      </c>
      <c r="L52" s="62" t="s">
        <v>410</v>
      </c>
      <c r="M52" s="87" t="s">
        <v>528</v>
      </c>
      <c r="N52" s="88" t="s">
        <v>529</v>
      </c>
      <c r="O52" s="86">
        <f>I52*0.2</f>
        <v>1586000</v>
      </c>
      <c r="P52" s="86">
        <v>1586000</v>
      </c>
      <c r="Q52" s="93" t="s">
        <v>439</v>
      </c>
      <c r="R52" s="86">
        <f>I52*0.4</f>
        <v>3172000</v>
      </c>
      <c r="S52" s="86"/>
      <c r="T52" s="93" t="s">
        <v>492</v>
      </c>
      <c r="U52" s="86">
        <f>I52*0.3</f>
        <v>2379000</v>
      </c>
      <c r="V52" s="86"/>
      <c r="W52" s="93" t="s">
        <v>376</v>
      </c>
      <c r="X52" s="86">
        <f>I52*0.1</f>
        <v>793000</v>
      </c>
      <c r="Y52" s="86"/>
      <c r="Z52" s="93"/>
      <c r="AA52" s="86"/>
      <c r="AB52" s="86"/>
      <c r="AC52" s="93"/>
      <c r="AD52" s="86"/>
      <c r="AE52" s="86"/>
      <c r="AF52" s="93"/>
      <c r="AG52" s="86"/>
      <c r="AH52" s="86"/>
      <c r="AI52" s="93"/>
      <c r="AJ52" s="86"/>
      <c r="AK52" s="107"/>
      <c r="AL52" s="108">
        <f t="shared" si="9"/>
        <v>1586000</v>
      </c>
      <c r="AM52" s="109">
        <f t="shared" si="10"/>
        <v>6344000</v>
      </c>
      <c r="AN52" s="110">
        <f t="shared" si="11"/>
        <v>0.2</v>
      </c>
      <c r="AO52" s="109">
        <f t="shared" si="12"/>
        <v>7930000</v>
      </c>
      <c r="AP52" s="117" t="str">
        <f t="shared" si="8"/>
        <v>数据正确</v>
      </c>
    </row>
    <row r="53" s="37" customFormat="1" customHeight="1" spans="1:42">
      <c r="A53" s="37" t="str">
        <f t="shared" si="13"/>
        <v/>
      </c>
      <c r="B53" s="37" t="s">
        <v>83</v>
      </c>
      <c r="C53" s="37" t="s">
        <v>84</v>
      </c>
      <c r="D53" s="61">
        <v>165</v>
      </c>
      <c r="E53" s="62" t="s">
        <v>530</v>
      </c>
      <c r="F53" s="133" t="s">
        <v>23</v>
      </c>
      <c r="G53" s="63">
        <v>2017060049</v>
      </c>
      <c r="H53" s="64">
        <v>42944</v>
      </c>
      <c r="I53" s="184">
        <v>12350000</v>
      </c>
      <c r="J53" s="62" t="s">
        <v>531</v>
      </c>
      <c r="K53" s="62" t="s">
        <v>527</v>
      </c>
      <c r="L53" s="62" t="s">
        <v>532</v>
      </c>
      <c r="M53" s="87" t="s">
        <v>533</v>
      </c>
      <c r="N53" s="88" t="s">
        <v>529</v>
      </c>
      <c r="O53" s="86">
        <f>I53*0.2</f>
        <v>2470000</v>
      </c>
      <c r="P53" s="86">
        <v>2470000</v>
      </c>
      <c r="Q53" s="93" t="s">
        <v>439</v>
      </c>
      <c r="R53" s="86">
        <f>I53*0.4</f>
        <v>4940000</v>
      </c>
      <c r="S53" s="86"/>
      <c r="T53" s="93" t="s">
        <v>492</v>
      </c>
      <c r="U53" s="86">
        <f>I53*0.3</f>
        <v>3705000</v>
      </c>
      <c r="V53" s="86"/>
      <c r="W53" s="93" t="s">
        <v>376</v>
      </c>
      <c r="X53" s="86">
        <f>I53*0.1</f>
        <v>1235000</v>
      </c>
      <c r="Y53" s="86"/>
      <c r="Z53" s="93"/>
      <c r="AA53" s="86"/>
      <c r="AB53" s="86"/>
      <c r="AC53" s="93"/>
      <c r="AD53" s="86"/>
      <c r="AE53" s="86"/>
      <c r="AF53" s="93"/>
      <c r="AG53" s="86"/>
      <c r="AH53" s="86"/>
      <c r="AI53" s="93"/>
      <c r="AJ53" s="86"/>
      <c r="AK53" s="107"/>
      <c r="AL53" s="108">
        <f t="shared" si="9"/>
        <v>2470000</v>
      </c>
      <c r="AM53" s="109">
        <f t="shared" si="10"/>
        <v>9880000</v>
      </c>
      <c r="AN53" s="110">
        <f t="shared" si="11"/>
        <v>0.2</v>
      </c>
      <c r="AO53" s="109">
        <f t="shared" si="12"/>
        <v>12350000</v>
      </c>
      <c r="AP53" s="117" t="str">
        <f t="shared" si="8"/>
        <v>数据正确</v>
      </c>
    </row>
    <row r="54" s="37" customFormat="1" customHeight="1" spans="1:42">
      <c r="A54" s="37" t="str">
        <f t="shared" si="13"/>
        <v/>
      </c>
      <c r="B54" s="37" t="s">
        <v>83</v>
      </c>
      <c r="C54" s="37" t="s">
        <v>84</v>
      </c>
      <c r="D54" s="61">
        <v>167</v>
      </c>
      <c r="E54" s="62" t="s">
        <v>534</v>
      </c>
      <c r="F54" s="133" t="s">
        <v>23</v>
      </c>
      <c r="G54" s="63">
        <v>2017040024</v>
      </c>
      <c r="H54" s="64">
        <v>42870</v>
      </c>
      <c r="I54" s="184">
        <v>110000</v>
      </c>
      <c r="J54" s="62" t="s">
        <v>535</v>
      </c>
      <c r="K54" s="62" t="s">
        <v>536</v>
      </c>
      <c r="L54" s="62"/>
      <c r="M54" s="87" t="s">
        <v>537</v>
      </c>
      <c r="N54" s="88" t="s">
        <v>538</v>
      </c>
      <c r="O54" s="86">
        <f>I54*0.7</f>
        <v>77000</v>
      </c>
      <c r="P54" s="86"/>
      <c r="Q54" s="93" t="s">
        <v>539</v>
      </c>
      <c r="R54" s="86">
        <f>I54*0.2</f>
        <v>22000</v>
      </c>
      <c r="S54" s="86"/>
      <c r="T54" s="93" t="s">
        <v>540</v>
      </c>
      <c r="U54" s="86">
        <f>I54*0.1</f>
        <v>11000</v>
      </c>
      <c r="V54" s="86"/>
      <c r="W54" s="93"/>
      <c r="X54" s="86"/>
      <c r="Y54" s="86"/>
      <c r="Z54" s="93"/>
      <c r="AA54" s="86"/>
      <c r="AB54" s="86"/>
      <c r="AC54" s="93"/>
      <c r="AD54" s="86"/>
      <c r="AE54" s="86"/>
      <c r="AF54" s="93"/>
      <c r="AG54" s="86"/>
      <c r="AH54" s="86"/>
      <c r="AI54" s="93"/>
      <c r="AJ54" s="86"/>
      <c r="AK54" s="107"/>
      <c r="AL54" s="108">
        <f t="shared" si="9"/>
        <v>0</v>
      </c>
      <c r="AM54" s="109">
        <f t="shared" si="10"/>
        <v>110000</v>
      </c>
      <c r="AN54" s="110">
        <f t="shared" si="11"/>
        <v>0</v>
      </c>
      <c r="AO54" s="109">
        <f t="shared" si="12"/>
        <v>110000</v>
      </c>
      <c r="AP54" s="117" t="str">
        <f t="shared" si="8"/>
        <v>数据正确</v>
      </c>
    </row>
    <row r="55" s="37" customFormat="1" customHeight="1" spans="1:42">
      <c r="A55" s="37" t="str">
        <f t="shared" si="13"/>
        <v/>
      </c>
      <c r="B55" s="37" t="s">
        <v>83</v>
      </c>
      <c r="C55" s="37" t="s">
        <v>84</v>
      </c>
      <c r="D55" s="61">
        <v>168</v>
      </c>
      <c r="E55" s="62" t="s">
        <v>541</v>
      </c>
      <c r="F55" s="133" t="s">
        <v>23</v>
      </c>
      <c r="G55" s="63">
        <v>2017050048</v>
      </c>
      <c r="H55" s="64">
        <v>42913</v>
      </c>
      <c r="I55" s="184">
        <v>3650000</v>
      </c>
      <c r="J55" s="62" t="s">
        <v>542</v>
      </c>
      <c r="K55" s="62" t="s">
        <v>388</v>
      </c>
      <c r="L55" s="62"/>
      <c r="M55" s="87" t="s">
        <v>543</v>
      </c>
      <c r="N55" s="88" t="s">
        <v>390</v>
      </c>
      <c r="O55" s="86">
        <f>I55*0.2</f>
        <v>730000</v>
      </c>
      <c r="P55" s="86"/>
      <c r="Q55" s="93" t="s">
        <v>439</v>
      </c>
      <c r="R55" s="86">
        <f>I55*0.4</f>
        <v>1460000</v>
      </c>
      <c r="S55" s="86"/>
      <c r="T55" s="93" t="s">
        <v>492</v>
      </c>
      <c r="U55" s="86">
        <f>I55*0.3</f>
        <v>1095000</v>
      </c>
      <c r="V55" s="86"/>
      <c r="W55" s="93" t="s">
        <v>376</v>
      </c>
      <c r="X55" s="86">
        <f>I55*0.1</f>
        <v>365000</v>
      </c>
      <c r="Y55" s="86"/>
      <c r="Z55" s="93"/>
      <c r="AA55" s="86"/>
      <c r="AB55" s="86"/>
      <c r="AC55" s="93"/>
      <c r="AD55" s="86"/>
      <c r="AE55" s="86"/>
      <c r="AF55" s="93"/>
      <c r="AG55" s="86"/>
      <c r="AH55" s="86"/>
      <c r="AI55" s="93"/>
      <c r="AJ55" s="86"/>
      <c r="AK55" s="107"/>
      <c r="AL55" s="108">
        <f t="shared" si="9"/>
        <v>0</v>
      </c>
      <c r="AM55" s="109">
        <f t="shared" si="10"/>
        <v>3650000</v>
      </c>
      <c r="AN55" s="110">
        <f t="shared" si="11"/>
        <v>0</v>
      </c>
      <c r="AO55" s="109">
        <f t="shared" si="12"/>
        <v>3650000</v>
      </c>
      <c r="AP55" s="117" t="str">
        <f t="shared" si="8"/>
        <v>数据正确</v>
      </c>
    </row>
    <row r="56" s="37" customFormat="1" customHeight="1" spans="1:42">
      <c r="A56" s="37" t="str">
        <f t="shared" si="13"/>
        <v/>
      </c>
      <c r="B56" s="37" t="s">
        <v>83</v>
      </c>
      <c r="C56" s="37" t="s">
        <v>84</v>
      </c>
      <c r="D56" s="61">
        <v>169</v>
      </c>
      <c r="E56" s="62" t="s">
        <v>544</v>
      </c>
      <c r="F56" s="133" t="s">
        <v>23</v>
      </c>
      <c r="G56" s="63">
        <v>2017060025</v>
      </c>
      <c r="H56" s="64">
        <v>42920</v>
      </c>
      <c r="I56" s="184">
        <v>170000</v>
      </c>
      <c r="J56" s="62" t="s">
        <v>545</v>
      </c>
      <c r="K56" s="62" t="s">
        <v>546</v>
      </c>
      <c r="L56" s="62"/>
      <c r="M56" s="87" t="s">
        <v>547</v>
      </c>
      <c r="N56" s="88" t="s">
        <v>548</v>
      </c>
      <c r="O56" s="86">
        <f>I56*0.7</f>
        <v>119000</v>
      </c>
      <c r="P56" s="86"/>
      <c r="Q56" s="93" t="s">
        <v>539</v>
      </c>
      <c r="R56" s="86">
        <f>I56*0.2</f>
        <v>34000</v>
      </c>
      <c r="S56" s="86"/>
      <c r="T56" s="93" t="s">
        <v>540</v>
      </c>
      <c r="U56" s="86">
        <f>I56*0.1</f>
        <v>17000</v>
      </c>
      <c r="V56" s="86"/>
      <c r="W56" s="93"/>
      <c r="X56" s="86"/>
      <c r="Y56" s="86"/>
      <c r="Z56" s="93"/>
      <c r="AA56" s="86"/>
      <c r="AB56" s="86"/>
      <c r="AC56" s="93"/>
      <c r="AD56" s="86"/>
      <c r="AE56" s="86"/>
      <c r="AF56" s="93"/>
      <c r="AG56" s="86"/>
      <c r="AH56" s="86"/>
      <c r="AI56" s="93"/>
      <c r="AJ56" s="86"/>
      <c r="AK56" s="107"/>
      <c r="AL56" s="108">
        <f t="shared" si="9"/>
        <v>0</v>
      </c>
      <c r="AM56" s="109">
        <f t="shared" si="10"/>
        <v>170000</v>
      </c>
      <c r="AN56" s="110">
        <f t="shared" si="11"/>
        <v>0</v>
      </c>
      <c r="AO56" s="109">
        <f t="shared" si="12"/>
        <v>170000</v>
      </c>
      <c r="AP56" s="117" t="str">
        <f t="shared" si="8"/>
        <v>数据正确</v>
      </c>
    </row>
    <row r="57" s="37" customFormat="1" customHeight="1" spans="1:42">
      <c r="A57" s="37" t="str">
        <f t="shared" si="13"/>
        <v/>
      </c>
      <c r="B57" s="37" t="s">
        <v>83</v>
      </c>
      <c r="C57" s="37" t="s">
        <v>84</v>
      </c>
      <c r="D57" s="61">
        <v>170</v>
      </c>
      <c r="E57" s="62" t="s">
        <v>549</v>
      </c>
      <c r="F57" s="133" t="s">
        <v>23</v>
      </c>
      <c r="G57" s="63">
        <v>2017040041</v>
      </c>
      <c r="H57" s="64">
        <v>42926</v>
      </c>
      <c r="I57" s="184">
        <v>235000</v>
      </c>
      <c r="J57" s="62" t="s">
        <v>550</v>
      </c>
      <c r="K57" s="62" t="s">
        <v>551</v>
      </c>
      <c r="L57" s="62"/>
      <c r="M57" s="87" t="s">
        <v>552</v>
      </c>
      <c r="N57" s="88" t="s">
        <v>553</v>
      </c>
      <c r="O57" s="86">
        <f>I57*0.3</f>
        <v>70500</v>
      </c>
      <c r="P57" s="86">
        <v>70500</v>
      </c>
      <c r="Q57" s="93" t="s">
        <v>554</v>
      </c>
      <c r="R57" s="86">
        <f>I57*0.6</f>
        <v>141000</v>
      </c>
      <c r="S57" s="86"/>
      <c r="T57" s="93" t="s">
        <v>540</v>
      </c>
      <c r="U57" s="86">
        <f>I57*0.1</f>
        <v>23500</v>
      </c>
      <c r="V57" s="86"/>
      <c r="W57" s="93"/>
      <c r="X57" s="86"/>
      <c r="Y57" s="86"/>
      <c r="Z57" s="93"/>
      <c r="AA57" s="86"/>
      <c r="AB57" s="86"/>
      <c r="AC57" s="93"/>
      <c r="AD57" s="86"/>
      <c r="AE57" s="86"/>
      <c r="AF57" s="93"/>
      <c r="AG57" s="86"/>
      <c r="AH57" s="86"/>
      <c r="AI57" s="93"/>
      <c r="AJ57" s="86"/>
      <c r="AK57" s="107"/>
      <c r="AL57" s="108">
        <f t="shared" si="9"/>
        <v>70500</v>
      </c>
      <c r="AM57" s="109">
        <f t="shared" si="10"/>
        <v>164500</v>
      </c>
      <c r="AN57" s="110">
        <f t="shared" si="11"/>
        <v>0.3</v>
      </c>
      <c r="AO57" s="109">
        <f t="shared" si="12"/>
        <v>235000</v>
      </c>
      <c r="AP57" s="117" t="str">
        <f t="shared" si="8"/>
        <v>数据正确</v>
      </c>
    </row>
    <row r="58" s="37" customFormat="1" customHeight="1" spans="1:42">
      <c r="A58" s="37" t="str">
        <f t="shared" si="13"/>
        <v/>
      </c>
      <c r="B58" s="37" t="s">
        <v>83</v>
      </c>
      <c r="C58" s="37" t="s">
        <v>84</v>
      </c>
      <c r="D58" s="61">
        <v>171</v>
      </c>
      <c r="E58" s="62" t="s">
        <v>555</v>
      </c>
      <c r="F58" s="133" t="s">
        <v>23</v>
      </c>
      <c r="G58" s="63">
        <v>2017060030</v>
      </c>
      <c r="H58" s="64">
        <v>42936</v>
      </c>
      <c r="I58" s="184">
        <v>1550000</v>
      </c>
      <c r="J58" s="62" t="s">
        <v>556</v>
      </c>
      <c r="K58" s="62" t="s">
        <v>557</v>
      </c>
      <c r="L58" s="62"/>
      <c r="M58" s="87" t="s">
        <v>558</v>
      </c>
      <c r="N58" s="88" t="s">
        <v>559</v>
      </c>
      <c r="O58" s="86">
        <f>I58*0.2</f>
        <v>310000</v>
      </c>
      <c r="P58" s="86">
        <v>310000</v>
      </c>
      <c r="Q58" s="93" t="s">
        <v>439</v>
      </c>
      <c r="R58" s="86">
        <f>I58*0.4</f>
        <v>620000</v>
      </c>
      <c r="S58" s="86"/>
      <c r="T58" s="93" t="s">
        <v>560</v>
      </c>
      <c r="U58" s="86">
        <f>I58*0.4</f>
        <v>620000</v>
      </c>
      <c r="V58" s="86"/>
      <c r="W58" s="93"/>
      <c r="X58" s="86"/>
      <c r="Y58" s="86"/>
      <c r="Z58" s="93"/>
      <c r="AA58" s="86"/>
      <c r="AB58" s="86"/>
      <c r="AC58" s="93"/>
      <c r="AD58" s="86"/>
      <c r="AE58" s="86"/>
      <c r="AF58" s="93"/>
      <c r="AG58" s="86"/>
      <c r="AH58" s="86"/>
      <c r="AI58" s="93"/>
      <c r="AJ58" s="86"/>
      <c r="AK58" s="107"/>
      <c r="AL58" s="108">
        <f t="shared" si="9"/>
        <v>310000</v>
      </c>
      <c r="AM58" s="109">
        <f t="shared" si="10"/>
        <v>1240000</v>
      </c>
      <c r="AN58" s="110">
        <f t="shared" si="11"/>
        <v>0.2</v>
      </c>
      <c r="AO58" s="109">
        <f t="shared" si="12"/>
        <v>1550000</v>
      </c>
      <c r="AP58" s="117" t="str">
        <f t="shared" si="8"/>
        <v>数据正确</v>
      </c>
    </row>
    <row r="59" s="37" customFormat="1" customHeight="1" spans="1:42">
      <c r="A59" s="37" t="str">
        <f t="shared" si="13"/>
        <v/>
      </c>
      <c r="B59" s="37" t="s">
        <v>83</v>
      </c>
      <c r="D59" s="61">
        <v>172</v>
      </c>
      <c r="E59" s="62" t="s">
        <v>561</v>
      </c>
      <c r="F59" s="133" t="s">
        <v>23</v>
      </c>
      <c r="G59" s="63">
        <v>2017060024</v>
      </c>
      <c r="H59" s="64">
        <v>42947</v>
      </c>
      <c r="I59" s="184">
        <v>14200000</v>
      </c>
      <c r="J59" s="62" t="s">
        <v>562</v>
      </c>
      <c r="K59" s="62" t="s">
        <v>563</v>
      </c>
      <c r="L59" s="62"/>
      <c r="M59" s="87" t="s">
        <v>528</v>
      </c>
      <c r="N59" s="88" t="s">
        <v>564</v>
      </c>
      <c r="O59" s="86">
        <f>I59*0.6</f>
        <v>8520000</v>
      </c>
      <c r="P59" s="86"/>
      <c r="Q59" s="93" t="s">
        <v>505</v>
      </c>
      <c r="R59" s="86">
        <f>I59*0.3</f>
        <v>4260000</v>
      </c>
      <c r="S59" s="86"/>
      <c r="T59" s="93" t="s">
        <v>540</v>
      </c>
      <c r="U59" s="86">
        <f>I59*0.1</f>
        <v>1420000</v>
      </c>
      <c r="V59" s="86"/>
      <c r="W59" s="93"/>
      <c r="X59" s="86"/>
      <c r="Y59" s="86"/>
      <c r="Z59" s="93"/>
      <c r="AA59" s="86"/>
      <c r="AB59" s="86"/>
      <c r="AC59" s="93"/>
      <c r="AD59" s="86"/>
      <c r="AE59" s="86"/>
      <c r="AF59" s="93"/>
      <c r="AG59" s="86"/>
      <c r="AH59" s="86"/>
      <c r="AI59" s="93"/>
      <c r="AJ59" s="86"/>
      <c r="AK59" s="107"/>
      <c r="AL59" s="108">
        <f t="shared" si="9"/>
        <v>0</v>
      </c>
      <c r="AM59" s="109">
        <f t="shared" si="10"/>
        <v>14200000</v>
      </c>
      <c r="AN59" s="110">
        <f t="shared" si="11"/>
        <v>0</v>
      </c>
      <c r="AO59" s="109">
        <f t="shared" si="12"/>
        <v>14200000</v>
      </c>
      <c r="AP59" s="117" t="str">
        <f t="shared" si="8"/>
        <v>数据正确</v>
      </c>
    </row>
    <row r="60" s="37" customFormat="1" customHeight="1" spans="1:42">
      <c r="A60" s="37" t="str">
        <f t="shared" si="13"/>
        <v/>
      </c>
      <c r="B60" s="37" t="s">
        <v>83</v>
      </c>
      <c r="C60" s="37" t="s">
        <v>84</v>
      </c>
      <c r="D60" s="61">
        <v>173</v>
      </c>
      <c r="E60" s="62" t="s">
        <v>565</v>
      </c>
      <c r="F60" s="133" t="s">
        <v>23</v>
      </c>
      <c r="G60" s="63">
        <v>2017060071</v>
      </c>
      <c r="H60" s="64">
        <v>42944</v>
      </c>
      <c r="I60" s="184">
        <v>180000</v>
      </c>
      <c r="J60" s="62" t="s">
        <v>566</v>
      </c>
      <c r="K60" s="62" t="s">
        <v>308</v>
      </c>
      <c r="L60" s="62" t="s">
        <v>410</v>
      </c>
      <c r="M60" s="87" t="s">
        <v>76</v>
      </c>
      <c r="N60" s="88" t="s">
        <v>567</v>
      </c>
      <c r="O60" s="86">
        <f>I60*0.2</f>
        <v>36000</v>
      </c>
      <c r="P60" s="86"/>
      <c r="Q60" s="93" t="s">
        <v>568</v>
      </c>
      <c r="R60" s="86">
        <f>I60*0.8</f>
        <v>144000</v>
      </c>
      <c r="S60" s="86"/>
      <c r="T60" s="93"/>
      <c r="U60" s="86"/>
      <c r="V60" s="86"/>
      <c r="W60" s="93"/>
      <c r="X60" s="86"/>
      <c r="Y60" s="86"/>
      <c r="Z60" s="93"/>
      <c r="AA60" s="86"/>
      <c r="AB60" s="86"/>
      <c r="AC60" s="93"/>
      <c r="AD60" s="86"/>
      <c r="AE60" s="86"/>
      <c r="AF60" s="93"/>
      <c r="AG60" s="86"/>
      <c r="AH60" s="86"/>
      <c r="AI60" s="93"/>
      <c r="AJ60" s="86"/>
      <c r="AK60" s="107"/>
      <c r="AL60" s="108">
        <f t="shared" si="9"/>
        <v>0</v>
      </c>
      <c r="AM60" s="109">
        <f t="shared" si="10"/>
        <v>180000</v>
      </c>
      <c r="AN60" s="110">
        <f t="shared" si="11"/>
        <v>0</v>
      </c>
      <c r="AO60" s="109">
        <f t="shared" si="12"/>
        <v>180000</v>
      </c>
      <c r="AP60" s="117" t="str">
        <f t="shared" si="8"/>
        <v>数据正确</v>
      </c>
    </row>
    <row r="61" s="37" customFormat="1" customHeight="1" spans="1:42">
      <c r="A61" s="37" t="str">
        <f t="shared" si="13"/>
        <v/>
      </c>
      <c r="B61" s="37" t="s">
        <v>83</v>
      </c>
      <c r="C61" s="37" t="s">
        <v>84</v>
      </c>
      <c r="D61" s="61">
        <v>174</v>
      </c>
      <c r="E61" s="62" t="s">
        <v>569</v>
      </c>
      <c r="F61" s="133" t="s">
        <v>23</v>
      </c>
      <c r="G61" s="63">
        <v>2017050064</v>
      </c>
      <c r="H61" s="64">
        <v>42942</v>
      </c>
      <c r="I61" s="184">
        <v>400000</v>
      </c>
      <c r="J61" s="62" t="s">
        <v>570</v>
      </c>
      <c r="K61" s="62" t="s">
        <v>571</v>
      </c>
      <c r="L61" s="62"/>
      <c r="M61" s="87" t="s">
        <v>547</v>
      </c>
      <c r="N61" s="88" t="s">
        <v>572</v>
      </c>
      <c r="O61" s="86">
        <f>I61*0.6</f>
        <v>240000</v>
      </c>
      <c r="P61" s="86"/>
      <c r="Q61" s="93" t="s">
        <v>505</v>
      </c>
      <c r="R61" s="86">
        <f>I61*0.3</f>
        <v>120000</v>
      </c>
      <c r="S61" s="86"/>
      <c r="T61" s="93" t="s">
        <v>540</v>
      </c>
      <c r="U61" s="86">
        <f>I61*0.1</f>
        <v>40000</v>
      </c>
      <c r="V61" s="86"/>
      <c r="W61" s="93"/>
      <c r="X61" s="86"/>
      <c r="Y61" s="86"/>
      <c r="Z61" s="93"/>
      <c r="AA61" s="86"/>
      <c r="AB61" s="86"/>
      <c r="AC61" s="93"/>
      <c r="AD61" s="86"/>
      <c r="AE61" s="86"/>
      <c r="AF61" s="93"/>
      <c r="AG61" s="86"/>
      <c r="AH61" s="86"/>
      <c r="AI61" s="93"/>
      <c r="AJ61" s="86"/>
      <c r="AK61" s="107"/>
      <c r="AL61" s="108">
        <f t="shared" si="9"/>
        <v>0</v>
      </c>
      <c r="AM61" s="109">
        <f t="shared" si="10"/>
        <v>400000</v>
      </c>
      <c r="AN61" s="110">
        <f t="shared" si="11"/>
        <v>0</v>
      </c>
      <c r="AO61" s="109">
        <f t="shared" si="12"/>
        <v>400000</v>
      </c>
      <c r="AP61" s="117" t="str">
        <f t="shared" si="8"/>
        <v>数据正确</v>
      </c>
    </row>
    <row r="62" s="37" customFormat="1" customHeight="1" spans="1:42">
      <c r="A62" s="37" t="str">
        <f t="shared" si="13"/>
        <v/>
      </c>
      <c r="B62" s="37" t="s">
        <v>83</v>
      </c>
      <c r="C62" s="37" t="s">
        <v>84</v>
      </c>
      <c r="D62" s="61">
        <v>175</v>
      </c>
      <c r="E62" s="62" t="s">
        <v>573</v>
      </c>
      <c r="F62" s="133" t="s">
        <v>23</v>
      </c>
      <c r="G62" s="63">
        <v>2017060027</v>
      </c>
      <c r="H62" s="64">
        <v>42906</v>
      </c>
      <c r="I62" s="184">
        <f>167000*7.9631</f>
        <v>1329837.7</v>
      </c>
      <c r="J62" s="62" t="s">
        <v>574</v>
      </c>
      <c r="K62" s="62" t="s">
        <v>575</v>
      </c>
      <c r="L62" s="62" t="s">
        <v>410</v>
      </c>
      <c r="M62" s="87" t="s">
        <v>576</v>
      </c>
      <c r="N62" s="88" t="s">
        <v>577</v>
      </c>
      <c r="O62" s="86">
        <f>I62*0.1</f>
        <v>132983.77</v>
      </c>
      <c r="P62" s="86">
        <f>O62</f>
        <v>132983.77</v>
      </c>
      <c r="Q62" s="93" t="s">
        <v>578</v>
      </c>
      <c r="R62" s="86">
        <f>I62*0.9</f>
        <v>1196853.93</v>
      </c>
      <c r="S62" s="86"/>
      <c r="T62" s="93"/>
      <c r="U62" s="86"/>
      <c r="V62" s="86"/>
      <c r="W62" s="93"/>
      <c r="X62" s="86"/>
      <c r="Y62" s="86"/>
      <c r="Z62" s="93"/>
      <c r="AA62" s="86"/>
      <c r="AB62" s="86"/>
      <c r="AC62" s="93"/>
      <c r="AD62" s="86"/>
      <c r="AE62" s="86"/>
      <c r="AF62" s="93"/>
      <c r="AG62" s="86"/>
      <c r="AH62" s="86"/>
      <c r="AI62" s="93"/>
      <c r="AJ62" s="86"/>
      <c r="AK62" s="107"/>
      <c r="AL62" s="108">
        <f t="shared" si="9"/>
        <v>132983.77</v>
      </c>
      <c r="AM62" s="109">
        <f t="shared" si="10"/>
        <v>1196853.93</v>
      </c>
      <c r="AN62" s="110">
        <f t="shared" si="11"/>
        <v>0.1</v>
      </c>
      <c r="AO62" s="109">
        <f t="shared" si="12"/>
        <v>1329837.7</v>
      </c>
      <c r="AP62" s="117" t="str">
        <f t="shared" si="8"/>
        <v>数据正确</v>
      </c>
    </row>
    <row r="63" s="37" customFormat="1" customHeight="1" spans="1:42">
      <c r="A63" s="37" t="str">
        <f t="shared" si="13"/>
        <v/>
      </c>
      <c r="B63" s="37" t="s">
        <v>83</v>
      </c>
      <c r="C63" s="37" t="s">
        <v>84</v>
      </c>
      <c r="D63" s="61">
        <v>176</v>
      </c>
      <c r="E63" s="62" t="s">
        <v>579</v>
      </c>
      <c r="F63" s="133" t="s">
        <v>23</v>
      </c>
      <c r="G63" s="63">
        <v>2017060086</v>
      </c>
      <c r="H63" s="64">
        <v>42943</v>
      </c>
      <c r="I63" s="184">
        <v>1750000</v>
      </c>
      <c r="J63" s="62" t="s">
        <v>580</v>
      </c>
      <c r="K63" s="62" t="s">
        <v>581</v>
      </c>
      <c r="L63" s="62"/>
      <c r="M63" s="87" t="s">
        <v>558</v>
      </c>
      <c r="N63" s="88" t="s">
        <v>559</v>
      </c>
      <c r="O63" s="86">
        <f>I63*0.2</f>
        <v>350000</v>
      </c>
      <c r="P63" s="86">
        <v>350000</v>
      </c>
      <c r="Q63" s="93" t="s">
        <v>439</v>
      </c>
      <c r="R63" s="86">
        <f>I63*0.4</f>
        <v>700000</v>
      </c>
      <c r="S63" s="86"/>
      <c r="T63" s="93" t="s">
        <v>492</v>
      </c>
      <c r="U63" s="86">
        <f>I63*0.3</f>
        <v>525000</v>
      </c>
      <c r="V63" s="86"/>
      <c r="W63" s="93" t="s">
        <v>376</v>
      </c>
      <c r="X63" s="86">
        <f>I63*0.1</f>
        <v>175000</v>
      </c>
      <c r="Y63" s="86"/>
      <c r="Z63" s="93"/>
      <c r="AA63" s="86"/>
      <c r="AB63" s="86"/>
      <c r="AC63" s="93"/>
      <c r="AD63" s="86"/>
      <c r="AE63" s="86"/>
      <c r="AF63" s="93"/>
      <c r="AG63" s="86"/>
      <c r="AH63" s="86"/>
      <c r="AI63" s="93"/>
      <c r="AJ63" s="86"/>
      <c r="AK63" s="107"/>
      <c r="AL63" s="108">
        <f t="shared" si="9"/>
        <v>350000</v>
      </c>
      <c r="AM63" s="109">
        <f t="shared" si="10"/>
        <v>1400000</v>
      </c>
      <c r="AN63" s="110">
        <f t="shared" si="11"/>
        <v>0.2</v>
      </c>
      <c r="AO63" s="109">
        <f t="shared" si="12"/>
        <v>1750000</v>
      </c>
      <c r="AP63" s="117" t="str">
        <f t="shared" si="8"/>
        <v>数据正确</v>
      </c>
    </row>
    <row r="64" s="37" customFormat="1" customHeight="1" spans="1:42">
      <c r="A64" s="37" t="str">
        <f t="shared" si="13"/>
        <v/>
      </c>
      <c r="B64" s="37" t="s">
        <v>83</v>
      </c>
      <c r="C64" s="37" t="s">
        <v>84</v>
      </c>
      <c r="D64" s="61">
        <v>188</v>
      </c>
      <c r="E64" s="62" t="s">
        <v>582</v>
      </c>
      <c r="F64" s="133" t="s">
        <v>23</v>
      </c>
      <c r="G64" s="63">
        <v>2017050050</v>
      </c>
      <c r="H64" s="64">
        <v>42909</v>
      </c>
      <c r="I64" s="184">
        <v>2530000</v>
      </c>
      <c r="J64" s="62" t="s">
        <v>583</v>
      </c>
      <c r="K64" s="62" t="s">
        <v>584</v>
      </c>
      <c r="L64" s="62"/>
      <c r="M64" s="87" t="s">
        <v>585</v>
      </c>
      <c r="N64" s="88" t="s">
        <v>586</v>
      </c>
      <c r="O64" s="86">
        <f>I64*0.2</f>
        <v>506000</v>
      </c>
      <c r="P64" s="86"/>
      <c r="Q64" s="93" t="s">
        <v>587</v>
      </c>
      <c r="R64" s="86">
        <f>I64*0.75</f>
        <v>1897500</v>
      </c>
      <c r="S64" s="86"/>
      <c r="T64" s="93" t="s">
        <v>588</v>
      </c>
      <c r="U64" s="86">
        <f>I64*0.03</f>
        <v>75900</v>
      </c>
      <c r="V64" s="86"/>
      <c r="W64" s="93" t="s">
        <v>589</v>
      </c>
      <c r="X64" s="86">
        <f>I64*0.02</f>
        <v>50600</v>
      </c>
      <c r="Y64" s="86"/>
      <c r="Z64" s="93"/>
      <c r="AA64" s="86"/>
      <c r="AB64" s="86"/>
      <c r="AC64" s="93"/>
      <c r="AD64" s="86"/>
      <c r="AE64" s="86"/>
      <c r="AF64" s="93"/>
      <c r="AG64" s="86"/>
      <c r="AH64" s="86"/>
      <c r="AI64" s="93"/>
      <c r="AJ64" s="86"/>
      <c r="AK64" s="107"/>
      <c r="AL64" s="108">
        <f t="shared" si="9"/>
        <v>0</v>
      </c>
      <c r="AM64" s="109">
        <f t="shared" si="10"/>
        <v>2530000</v>
      </c>
      <c r="AN64" s="110">
        <f t="shared" si="11"/>
        <v>0</v>
      </c>
      <c r="AO64" s="109">
        <f t="shared" si="12"/>
        <v>2530000</v>
      </c>
      <c r="AP64" s="117" t="str">
        <f t="shared" si="8"/>
        <v>数据正确</v>
      </c>
    </row>
    <row r="65" s="37" customFormat="1" customHeight="1" spans="1:42">
      <c r="A65" s="37" t="str">
        <f t="shared" si="13"/>
        <v/>
      </c>
      <c r="B65" s="37" t="s">
        <v>83</v>
      </c>
      <c r="C65" s="37" t="s">
        <v>84</v>
      </c>
      <c r="D65" s="61">
        <v>189</v>
      </c>
      <c r="E65" s="62" t="s">
        <v>590</v>
      </c>
      <c r="F65" s="133" t="s">
        <v>23</v>
      </c>
      <c r="G65" s="63">
        <v>2017060088</v>
      </c>
      <c r="H65" s="64">
        <v>42954</v>
      </c>
      <c r="I65" s="184">
        <v>1314000</v>
      </c>
      <c r="J65" s="62" t="s">
        <v>591</v>
      </c>
      <c r="K65" s="62" t="s">
        <v>592</v>
      </c>
      <c r="L65" s="62"/>
      <c r="M65" s="87" t="s">
        <v>593</v>
      </c>
      <c r="N65" s="88" t="s">
        <v>594</v>
      </c>
      <c r="O65" s="86">
        <f>I65*0.6</f>
        <v>788400</v>
      </c>
      <c r="P65" s="86"/>
      <c r="Q65" s="93" t="s">
        <v>595</v>
      </c>
      <c r="R65" s="86">
        <f>I65*0.3</f>
        <v>394200</v>
      </c>
      <c r="S65" s="86"/>
      <c r="T65" s="93" t="s">
        <v>596</v>
      </c>
      <c r="U65" s="86">
        <f>I65*0.1</f>
        <v>131400</v>
      </c>
      <c r="V65" s="86"/>
      <c r="W65" s="93"/>
      <c r="X65" s="86"/>
      <c r="Y65" s="86"/>
      <c r="Z65" s="93"/>
      <c r="AA65" s="86"/>
      <c r="AB65" s="86"/>
      <c r="AC65" s="93"/>
      <c r="AD65" s="86"/>
      <c r="AE65" s="86"/>
      <c r="AF65" s="93"/>
      <c r="AG65" s="86"/>
      <c r="AH65" s="86"/>
      <c r="AI65" s="93"/>
      <c r="AJ65" s="86"/>
      <c r="AK65" s="107"/>
      <c r="AL65" s="108">
        <f t="shared" si="9"/>
        <v>0</v>
      </c>
      <c r="AM65" s="109">
        <f t="shared" si="10"/>
        <v>1314000</v>
      </c>
      <c r="AN65" s="110">
        <f t="shared" si="11"/>
        <v>0</v>
      </c>
      <c r="AO65" s="109">
        <f t="shared" si="12"/>
        <v>1314000</v>
      </c>
      <c r="AP65" s="117" t="str">
        <f t="shared" si="8"/>
        <v>数据正确</v>
      </c>
    </row>
    <row r="66" s="37" customFormat="1" customHeight="1" spans="1:42">
      <c r="A66" s="37" t="str">
        <f t="shared" si="13"/>
        <v/>
      </c>
      <c r="B66" s="37" t="s">
        <v>83</v>
      </c>
      <c r="C66" s="37" t="s">
        <v>84</v>
      </c>
      <c r="D66" s="61">
        <v>190</v>
      </c>
      <c r="E66" s="62" t="s">
        <v>597</v>
      </c>
      <c r="F66" s="133" t="s">
        <v>23</v>
      </c>
      <c r="G66" s="63">
        <v>2017060040</v>
      </c>
      <c r="H66" s="64">
        <v>42956</v>
      </c>
      <c r="I66" s="184">
        <v>1379000</v>
      </c>
      <c r="J66" s="62" t="s">
        <v>598</v>
      </c>
      <c r="K66" s="62" t="s">
        <v>353</v>
      </c>
      <c r="L66" s="62" t="s">
        <v>410</v>
      </c>
      <c r="M66" s="87" t="s">
        <v>528</v>
      </c>
      <c r="N66" s="88" t="s">
        <v>599</v>
      </c>
      <c r="O66" s="86">
        <f>I66*0.2</f>
        <v>275800</v>
      </c>
      <c r="P66" s="86">
        <v>275800</v>
      </c>
      <c r="Q66" s="88" t="s">
        <v>600</v>
      </c>
      <c r="R66" s="86">
        <f>I66*0.4</f>
        <v>551600</v>
      </c>
      <c r="S66" s="86"/>
      <c r="T66" s="93" t="s">
        <v>601</v>
      </c>
      <c r="U66" s="86">
        <f>I66*0.3</f>
        <v>413700</v>
      </c>
      <c r="V66" s="86"/>
      <c r="W66" s="93" t="s">
        <v>596</v>
      </c>
      <c r="X66" s="86">
        <f>I66*0.1</f>
        <v>137900</v>
      </c>
      <c r="Y66" s="86"/>
      <c r="Z66" s="93"/>
      <c r="AA66" s="86"/>
      <c r="AB66" s="86"/>
      <c r="AC66" s="93"/>
      <c r="AD66" s="86"/>
      <c r="AE66" s="86"/>
      <c r="AF66" s="93"/>
      <c r="AG66" s="86"/>
      <c r="AH66" s="86"/>
      <c r="AI66" s="93"/>
      <c r="AJ66" s="86"/>
      <c r="AK66" s="107"/>
      <c r="AL66" s="108">
        <f t="shared" si="9"/>
        <v>275800</v>
      </c>
      <c r="AM66" s="109">
        <f t="shared" si="10"/>
        <v>1103200</v>
      </c>
      <c r="AN66" s="110">
        <f t="shared" si="11"/>
        <v>0.2</v>
      </c>
      <c r="AO66" s="109">
        <f t="shared" si="12"/>
        <v>1379000</v>
      </c>
      <c r="AP66" s="117" t="str">
        <f t="shared" si="8"/>
        <v>数据正确</v>
      </c>
    </row>
    <row r="67" s="37" customFormat="1" customHeight="1" spans="1:42">
      <c r="A67" s="37" t="str">
        <f t="shared" si="13"/>
        <v/>
      </c>
      <c r="B67" s="37" t="s">
        <v>83</v>
      </c>
      <c r="C67" s="37" t="s">
        <v>84</v>
      </c>
      <c r="D67" s="61">
        <v>191</v>
      </c>
      <c r="E67" s="62" t="s">
        <v>602</v>
      </c>
      <c r="F67" s="133" t="s">
        <v>23</v>
      </c>
      <c r="G67" s="63"/>
      <c r="H67" s="64">
        <v>42961</v>
      </c>
      <c r="I67" s="184">
        <v>4365000</v>
      </c>
      <c r="J67" s="62" t="s">
        <v>603</v>
      </c>
      <c r="K67" s="62" t="s">
        <v>604</v>
      </c>
      <c r="L67" s="62"/>
      <c r="M67" s="87" t="s">
        <v>76</v>
      </c>
      <c r="N67" s="88" t="s">
        <v>605</v>
      </c>
      <c r="O67" s="86">
        <f>I67*0.1</f>
        <v>436500</v>
      </c>
      <c r="P67" s="86"/>
      <c r="Q67" s="88" t="s">
        <v>606</v>
      </c>
      <c r="R67" s="86">
        <f>I67*0.5</f>
        <v>2182500</v>
      </c>
      <c r="S67" s="86"/>
      <c r="T67" s="93" t="s">
        <v>601</v>
      </c>
      <c r="U67" s="86">
        <f>I67*0.3</f>
        <v>1309500</v>
      </c>
      <c r="V67" s="86"/>
      <c r="W67" s="93" t="s">
        <v>596</v>
      </c>
      <c r="X67" s="86">
        <f>I67*0.1</f>
        <v>436500</v>
      </c>
      <c r="Y67" s="86"/>
      <c r="Z67" s="93"/>
      <c r="AA67" s="86"/>
      <c r="AB67" s="86"/>
      <c r="AC67" s="93"/>
      <c r="AD67" s="86"/>
      <c r="AE67" s="86"/>
      <c r="AF67" s="93"/>
      <c r="AG67" s="86"/>
      <c r="AH67" s="86"/>
      <c r="AI67" s="93"/>
      <c r="AJ67" s="86"/>
      <c r="AK67" s="107"/>
      <c r="AL67" s="108">
        <f t="shared" si="9"/>
        <v>0</v>
      </c>
      <c r="AM67" s="109">
        <f t="shared" si="10"/>
        <v>4365000</v>
      </c>
      <c r="AN67" s="110">
        <f t="shared" si="11"/>
        <v>0</v>
      </c>
      <c r="AO67" s="109">
        <f t="shared" si="12"/>
        <v>4365000</v>
      </c>
      <c r="AP67" s="117" t="str">
        <f t="shared" si="8"/>
        <v>数据正确</v>
      </c>
    </row>
    <row r="68" s="37" customFormat="1" customHeight="1" spans="1:42">
      <c r="A68" s="37" t="str">
        <f t="shared" si="13"/>
        <v/>
      </c>
      <c r="B68" s="37" t="s">
        <v>83</v>
      </c>
      <c r="C68" s="37" t="s">
        <v>84</v>
      </c>
      <c r="D68" s="61">
        <v>192</v>
      </c>
      <c r="E68" s="62" t="s">
        <v>607</v>
      </c>
      <c r="F68" s="133" t="s">
        <v>23</v>
      </c>
      <c r="G68" s="63">
        <v>2017050068</v>
      </c>
      <c r="H68" s="64">
        <v>42963</v>
      </c>
      <c r="I68" s="184">
        <v>376000</v>
      </c>
      <c r="J68" s="62" t="s">
        <v>608</v>
      </c>
      <c r="K68" s="62" t="s">
        <v>609</v>
      </c>
      <c r="L68" s="62"/>
      <c r="M68" s="87" t="s">
        <v>76</v>
      </c>
      <c r="N68" s="88" t="s">
        <v>594</v>
      </c>
      <c r="O68" s="86">
        <f>I68*0.6</f>
        <v>225600</v>
      </c>
      <c r="P68" s="86"/>
      <c r="Q68" s="93" t="s">
        <v>595</v>
      </c>
      <c r="R68" s="86">
        <f>I68*0.3</f>
        <v>112800</v>
      </c>
      <c r="S68" s="86"/>
      <c r="T68" s="93" t="s">
        <v>610</v>
      </c>
      <c r="U68" s="86">
        <f>I68*0.1</f>
        <v>37600</v>
      </c>
      <c r="V68" s="86"/>
      <c r="W68" s="93"/>
      <c r="X68" s="86"/>
      <c r="Y68" s="86"/>
      <c r="Z68" s="93"/>
      <c r="AA68" s="86"/>
      <c r="AB68" s="86"/>
      <c r="AC68" s="93"/>
      <c r="AD68" s="86"/>
      <c r="AE68" s="86"/>
      <c r="AF68" s="93"/>
      <c r="AG68" s="86"/>
      <c r="AH68" s="86"/>
      <c r="AI68" s="93"/>
      <c r="AJ68" s="86"/>
      <c r="AK68" s="107"/>
      <c r="AL68" s="108">
        <f t="shared" si="9"/>
        <v>0</v>
      </c>
      <c r="AM68" s="109">
        <f t="shared" si="10"/>
        <v>376000</v>
      </c>
      <c r="AN68" s="110">
        <f t="shared" si="11"/>
        <v>0</v>
      </c>
      <c r="AO68" s="109">
        <f t="shared" si="12"/>
        <v>376000</v>
      </c>
      <c r="AP68" s="117" t="str">
        <f t="shared" si="8"/>
        <v>数据正确</v>
      </c>
    </row>
    <row r="69" s="37" customFormat="1" customHeight="1" spans="1:42">
      <c r="A69" s="37" t="str">
        <f t="shared" ref="A69:A96" si="14">IF(AN69=100%,"已完毕","")</f>
        <v/>
      </c>
      <c r="B69" s="37" t="s">
        <v>83</v>
      </c>
      <c r="C69" s="37" t="s">
        <v>84</v>
      </c>
      <c r="D69" s="61">
        <v>193</v>
      </c>
      <c r="E69" s="62" t="s">
        <v>611</v>
      </c>
      <c r="F69" s="133" t="s">
        <v>23</v>
      </c>
      <c r="G69" s="63" t="s">
        <v>612</v>
      </c>
      <c r="H69" s="64">
        <v>42964</v>
      </c>
      <c r="I69" s="184">
        <v>17500000</v>
      </c>
      <c r="J69" s="62" t="s">
        <v>613</v>
      </c>
      <c r="K69" s="62" t="s">
        <v>614</v>
      </c>
      <c r="L69" s="62"/>
      <c r="M69" s="87" t="s">
        <v>76</v>
      </c>
      <c r="N69" s="88" t="s">
        <v>615</v>
      </c>
      <c r="O69" s="86">
        <f t="shared" ref="O69:O74" si="15">I69*0.2</f>
        <v>3500000</v>
      </c>
      <c r="P69" s="86"/>
      <c r="Q69" s="88" t="s">
        <v>616</v>
      </c>
      <c r="R69" s="86">
        <f>I69*0.6</f>
        <v>10500000</v>
      </c>
      <c r="S69" s="86"/>
      <c r="T69" s="93" t="s">
        <v>617</v>
      </c>
      <c r="U69" s="86">
        <f>I69*0.1</f>
        <v>1750000</v>
      </c>
      <c r="V69" s="86"/>
      <c r="W69" s="93" t="s">
        <v>596</v>
      </c>
      <c r="X69" s="86">
        <f>I69*0.1</f>
        <v>1750000</v>
      </c>
      <c r="Y69" s="86"/>
      <c r="Z69" s="93"/>
      <c r="AA69" s="86"/>
      <c r="AB69" s="86"/>
      <c r="AC69" s="93"/>
      <c r="AD69" s="86"/>
      <c r="AE69" s="86"/>
      <c r="AF69" s="93"/>
      <c r="AG69" s="86"/>
      <c r="AH69" s="86"/>
      <c r="AI69" s="93"/>
      <c r="AJ69" s="86"/>
      <c r="AK69" s="107"/>
      <c r="AL69" s="108">
        <f t="shared" ref="AL69:AL96" si="16">P69+S69+V69+Y69+AB69+AE69+AH69+AK69</f>
        <v>0</v>
      </c>
      <c r="AM69" s="109">
        <f t="shared" ref="AM69:AM96" si="17">I69-AL69</f>
        <v>17500000</v>
      </c>
      <c r="AN69" s="110">
        <f t="shared" ref="AN69:AN96" si="18">AL69/I69</f>
        <v>0</v>
      </c>
      <c r="AO69" s="109">
        <f t="shared" ref="AO69:AO96" si="19">O69+R69+U69+X69+AA69+AD69+AG69+AJ69</f>
        <v>17500000</v>
      </c>
      <c r="AP69" s="117" t="str">
        <f t="shared" ref="AP69:AP96" si="20">IF(AO69-I69=0,"数据正确","数据错误")</f>
        <v>数据正确</v>
      </c>
    </row>
    <row r="70" s="37" customFormat="1" customHeight="1" spans="1:42">
      <c r="A70" s="37" t="str">
        <f t="shared" si="14"/>
        <v/>
      </c>
      <c r="B70" s="37" t="s">
        <v>83</v>
      </c>
      <c r="C70" s="37" t="s">
        <v>84</v>
      </c>
      <c r="D70" s="61">
        <v>194</v>
      </c>
      <c r="E70" s="62" t="s">
        <v>618</v>
      </c>
      <c r="F70" s="133" t="s">
        <v>23</v>
      </c>
      <c r="G70" s="63">
        <v>2017070077</v>
      </c>
      <c r="H70" s="64">
        <v>42970</v>
      </c>
      <c r="I70" s="184">
        <v>9200000</v>
      </c>
      <c r="J70" s="62" t="s">
        <v>619</v>
      </c>
      <c r="K70" s="62" t="s">
        <v>620</v>
      </c>
      <c r="L70" s="62" t="s">
        <v>532</v>
      </c>
      <c r="M70" s="87" t="s">
        <v>76</v>
      </c>
      <c r="N70" s="88" t="s">
        <v>615</v>
      </c>
      <c r="O70" s="86">
        <f t="shared" si="15"/>
        <v>1840000</v>
      </c>
      <c r="P70" s="86">
        <v>1840000</v>
      </c>
      <c r="Q70" s="88" t="s">
        <v>621</v>
      </c>
      <c r="R70" s="86">
        <f>I70*0.6</f>
        <v>5520000</v>
      </c>
      <c r="S70" s="86"/>
      <c r="T70" s="93" t="s">
        <v>617</v>
      </c>
      <c r="U70" s="86">
        <f>I70*0.1</f>
        <v>920000</v>
      </c>
      <c r="V70" s="86"/>
      <c r="W70" s="93" t="s">
        <v>596</v>
      </c>
      <c r="X70" s="86">
        <f>I70*0.1</f>
        <v>920000</v>
      </c>
      <c r="Y70" s="86"/>
      <c r="Z70" s="93"/>
      <c r="AA70" s="86"/>
      <c r="AB70" s="86"/>
      <c r="AC70" s="93"/>
      <c r="AD70" s="86"/>
      <c r="AE70" s="86"/>
      <c r="AF70" s="93"/>
      <c r="AG70" s="86"/>
      <c r="AH70" s="86"/>
      <c r="AI70" s="93"/>
      <c r="AJ70" s="86"/>
      <c r="AK70" s="107"/>
      <c r="AL70" s="108">
        <f t="shared" si="16"/>
        <v>1840000</v>
      </c>
      <c r="AM70" s="109">
        <f t="shared" si="17"/>
        <v>7360000</v>
      </c>
      <c r="AN70" s="110">
        <f t="shared" si="18"/>
        <v>0.2</v>
      </c>
      <c r="AO70" s="109">
        <f t="shared" si="19"/>
        <v>9200000</v>
      </c>
      <c r="AP70" s="117" t="str">
        <f t="shared" si="20"/>
        <v>数据正确</v>
      </c>
    </row>
    <row r="71" s="37" customFormat="1" customHeight="1" spans="1:42">
      <c r="A71" s="37" t="str">
        <f t="shared" si="14"/>
        <v/>
      </c>
      <c r="B71" s="37" t="s">
        <v>83</v>
      </c>
      <c r="C71" s="37" t="s">
        <v>84</v>
      </c>
      <c r="D71" s="61">
        <v>198</v>
      </c>
      <c r="E71" s="62" t="s">
        <v>622</v>
      </c>
      <c r="F71" s="133" t="s">
        <v>23</v>
      </c>
      <c r="G71" s="63">
        <v>2017060068</v>
      </c>
      <c r="H71" s="64">
        <v>42926</v>
      </c>
      <c r="I71" s="184">
        <v>1350000</v>
      </c>
      <c r="J71" s="62" t="s">
        <v>623</v>
      </c>
      <c r="K71" s="62" t="s">
        <v>624</v>
      </c>
      <c r="L71" s="62"/>
      <c r="M71" s="87" t="s">
        <v>625</v>
      </c>
      <c r="N71" s="88" t="s">
        <v>626</v>
      </c>
      <c r="O71" s="86">
        <f t="shared" si="15"/>
        <v>270000</v>
      </c>
      <c r="P71" s="86">
        <v>270000</v>
      </c>
      <c r="Q71" s="88" t="s">
        <v>600</v>
      </c>
      <c r="R71" s="86">
        <f>I71*0.4</f>
        <v>540000</v>
      </c>
      <c r="S71" s="86"/>
      <c r="T71" s="93" t="s">
        <v>601</v>
      </c>
      <c r="U71" s="86">
        <f>I71*0.3</f>
        <v>405000</v>
      </c>
      <c r="V71" s="86"/>
      <c r="W71" s="93" t="s">
        <v>596</v>
      </c>
      <c r="X71" s="86">
        <f>I71*0.1</f>
        <v>135000</v>
      </c>
      <c r="Y71" s="86"/>
      <c r="Z71" s="93"/>
      <c r="AA71" s="86"/>
      <c r="AB71" s="86"/>
      <c r="AC71" s="93"/>
      <c r="AD71" s="86"/>
      <c r="AE71" s="86"/>
      <c r="AF71" s="93"/>
      <c r="AG71" s="86"/>
      <c r="AH71" s="86"/>
      <c r="AI71" s="93"/>
      <c r="AJ71" s="86"/>
      <c r="AK71" s="107"/>
      <c r="AL71" s="108">
        <f t="shared" si="16"/>
        <v>270000</v>
      </c>
      <c r="AM71" s="109">
        <f t="shared" si="17"/>
        <v>1080000</v>
      </c>
      <c r="AN71" s="110">
        <f t="shared" si="18"/>
        <v>0.2</v>
      </c>
      <c r="AO71" s="109">
        <f t="shared" si="19"/>
        <v>1350000</v>
      </c>
      <c r="AP71" s="117" t="str">
        <f t="shared" si="20"/>
        <v>数据正确</v>
      </c>
    </row>
    <row r="72" s="37" customFormat="1" customHeight="1" spans="1:42">
      <c r="A72" s="37" t="str">
        <f t="shared" si="14"/>
        <v/>
      </c>
      <c r="B72" s="37" t="s">
        <v>83</v>
      </c>
      <c r="C72" s="37" t="s">
        <v>84</v>
      </c>
      <c r="D72" s="61">
        <v>199</v>
      </c>
      <c r="E72" s="62" t="s">
        <v>627</v>
      </c>
      <c r="F72" s="133" t="s">
        <v>23</v>
      </c>
      <c r="G72" s="63">
        <v>2017060017</v>
      </c>
      <c r="H72" s="64">
        <v>42934</v>
      </c>
      <c r="I72" s="184">
        <v>2150000</v>
      </c>
      <c r="J72" s="62" t="s">
        <v>628</v>
      </c>
      <c r="K72" s="62" t="s">
        <v>342</v>
      </c>
      <c r="L72" s="62"/>
      <c r="M72" s="87" t="s">
        <v>537</v>
      </c>
      <c r="N72" s="88" t="s">
        <v>629</v>
      </c>
      <c r="O72" s="86">
        <f t="shared" si="15"/>
        <v>430000</v>
      </c>
      <c r="P72" s="86">
        <v>430000</v>
      </c>
      <c r="Q72" s="93" t="s">
        <v>630</v>
      </c>
      <c r="R72" s="86">
        <f>I72*0.4</f>
        <v>860000</v>
      </c>
      <c r="S72" s="86"/>
      <c r="T72" s="93" t="s">
        <v>440</v>
      </c>
      <c r="U72" s="86">
        <f>I72*0.3</f>
        <v>645000</v>
      </c>
      <c r="V72" s="86"/>
      <c r="W72" s="93" t="s">
        <v>596</v>
      </c>
      <c r="X72" s="86">
        <f>I72*0.1</f>
        <v>215000</v>
      </c>
      <c r="Y72" s="86"/>
      <c r="Z72" s="93"/>
      <c r="AA72" s="86"/>
      <c r="AB72" s="86"/>
      <c r="AC72" s="93"/>
      <c r="AD72" s="86"/>
      <c r="AE72" s="86"/>
      <c r="AF72" s="93"/>
      <c r="AG72" s="86"/>
      <c r="AH72" s="86"/>
      <c r="AI72" s="93"/>
      <c r="AJ72" s="86"/>
      <c r="AK72" s="107"/>
      <c r="AL72" s="108">
        <f t="shared" si="16"/>
        <v>430000</v>
      </c>
      <c r="AM72" s="109">
        <f t="shared" si="17"/>
        <v>1720000</v>
      </c>
      <c r="AN72" s="110">
        <f t="shared" si="18"/>
        <v>0.2</v>
      </c>
      <c r="AO72" s="109">
        <f t="shared" si="19"/>
        <v>2150000</v>
      </c>
      <c r="AP72" s="117" t="str">
        <f t="shared" si="20"/>
        <v>数据正确</v>
      </c>
    </row>
    <row r="73" s="37" customFormat="1" customHeight="1" spans="1:42">
      <c r="A73" s="37" t="str">
        <f t="shared" si="14"/>
        <v/>
      </c>
      <c r="B73" s="37" t="s">
        <v>83</v>
      </c>
      <c r="C73" s="37" t="s">
        <v>84</v>
      </c>
      <c r="D73" s="61">
        <v>200</v>
      </c>
      <c r="E73" s="62" t="s">
        <v>631</v>
      </c>
      <c r="F73" s="133" t="s">
        <v>23</v>
      </c>
      <c r="G73" s="63" t="s">
        <v>632</v>
      </c>
      <c r="H73" s="64">
        <v>42957</v>
      </c>
      <c r="I73" s="184">
        <v>1000000</v>
      </c>
      <c r="J73" s="62" t="s">
        <v>633</v>
      </c>
      <c r="K73" s="62" t="s">
        <v>634</v>
      </c>
      <c r="L73" s="62"/>
      <c r="M73" s="87" t="s">
        <v>528</v>
      </c>
      <c r="N73" s="88" t="s">
        <v>629</v>
      </c>
      <c r="O73" s="86">
        <f t="shared" si="15"/>
        <v>200000</v>
      </c>
      <c r="P73" s="86">
        <v>200000</v>
      </c>
      <c r="Q73" s="93" t="s">
        <v>635</v>
      </c>
      <c r="R73" s="86">
        <f>I73*0.6</f>
        <v>600000</v>
      </c>
      <c r="S73" s="86"/>
      <c r="T73" s="93" t="s">
        <v>636</v>
      </c>
      <c r="U73" s="86">
        <f>I73*0.1</f>
        <v>100000</v>
      </c>
      <c r="V73" s="86"/>
      <c r="W73" s="93" t="s">
        <v>596</v>
      </c>
      <c r="X73" s="86">
        <f>I73*0.1</f>
        <v>100000</v>
      </c>
      <c r="Y73" s="86"/>
      <c r="Z73" s="93"/>
      <c r="AA73" s="86"/>
      <c r="AB73" s="86"/>
      <c r="AC73" s="93"/>
      <c r="AD73" s="86"/>
      <c r="AE73" s="86"/>
      <c r="AF73" s="93"/>
      <c r="AG73" s="86"/>
      <c r="AH73" s="86"/>
      <c r="AI73" s="93"/>
      <c r="AJ73" s="86"/>
      <c r="AK73" s="107"/>
      <c r="AL73" s="108">
        <f t="shared" si="16"/>
        <v>200000</v>
      </c>
      <c r="AM73" s="109">
        <f t="shared" si="17"/>
        <v>800000</v>
      </c>
      <c r="AN73" s="110">
        <f t="shared" si="18"/>
        <v>0.2</v>
      </c>
      <c r="AO73" s="109">
        <f t="shared" si="19"/>
        <v>1000000</v>
      </c>
      <c r="AP73" s="117" t="str">
        <f t="shared" si="20"/>
        <v>数据正确</v>
      </c>
    </row>
    <row r="74" s="37" customFormat="1" customHeight="1" spans="1:42">
      <c r="A74" s="37" t="str">
        <f t="shared" si="14"/>
        <v/>
      </c>
      <c r="B74" s="37" t="s">
        <v>83</v>
      </c>
      <c r="C74" s="37" t="s">
        <v>84</v>
      </c>
      <c r="D74" s="61">
        <v>201</v>
      </c>
      <c r="E74" s="62" t="s">
        <v>637</v>
      </c>
      <c r="F74" s="133" t="s">
        <v>23</v>
      </c>
      <c r="G74" s="63"/>
      <c r="H74" s="64">
        <v>42963</v>
      </c>
      <c r="I74" s="184">
        <v>810000</v>
      </c>
      <c r="J74" s="62" t="s">
        <v>638</v>
      </c>
      <c r="K74" s="62" t="s">
        <v>584</v>
      </c>
      <c r="L74" s="62"/>
      <c r="M74" s="87" t="s">
        <v>76</v>
      </c>
      <c r="N74" s="88" t="s">
        <v>586</v>
      </c>
      <c r="O74" s="86">
        <f t="shared" si="15"/>
        <v>162000</v>
      </c>
      <c r="P74" s="86">
        <v>162000</v>
      </c>
      <c r="Q74" s="93" t="s">
        <v>587</v>
      </c>
      <c r="R74" s="86">
        <f>I74*0.75</f>
        <v>607500</v>
      </c>
      <c r="S74" s="86"/>
      <c r="T74" s="93" t="s">
        <v>588</v>
      </c>
      <c r="U74" s="86">
        <f>I74*0.03</f>
        <v>24300</v>
      </c>
      <c r="V74" s="86"/>
      <c r="W74" s="93" t="s">
        <v>589</v>
      </c>
      <c r="X74" s="86">
        <f>I74*0.02</f>
        <v>16200</v>
      </c>
      <c r="Y74" s="86"/>
      <c r="Z74" s="93"/>
      <c r="AA74" s="86"/>
      <c r="AB74" s="86"/>
      <c r="AC74" s="93"/>
      <c r="AD74" s="86"/>
      <c r="AE74" s="86"/>
      <c r="AF74" s="93"/>
      <c r="AG74" s="86"/>
      <c r="AH74" s="86"/>
      <c r="AI74" s="93"/>
      <c r="AJ74" s="86"/>
      <c r="AK74" s="107"/>
      <c r="AL74" s="108">
        <f t="shared" si="16"/>
        <v>162000</v>
      </c>
      <c r="AM74" s="109">
        <f t="shared" si="17"/>
        <v>648000</v>
      </c>
      <c r="AN74" s="110">
        <f t="shared" si="18"/>
        <v>0.2</v>
      </c>
      <c r="AO74" s="109">
        <f t="shared" si="19"/>
        <v>810000</v>
      </c>
      <c r="AP74" s="117" t="str">
        <f t="shared" si="20"/>
        <v>数据正确</v>
      </c>
    </row>
    <row r="75" s="37" customFormat="1" customHeight="1" spans="1:42">
      <c r="A75" s="37" t="str">
        <f t="shared" si="14"/>
        <v/>
      </c>
      <c r="B75" s="37" t="s">
        <v>83</v>
      </c>
      <c r="C75" s="37" t="s">
        <v>84</v>
      </c>
      <c r="D75" s="61">
        <v>212</v>
      </c>
      <c r="E75" s="132" t="s">
        <v>639</v>
      </c>
      <c r="F75" s="133" t="s">
        <v>23</v>
      </c>
      <c r="G75" s="133">
        <v>2017020025</v>
      </c>
      <c r="H75" s="135">
        <v>42833</v>
      </c>
      <c r="I75" s="185">
        <v>36000</v>
      </c>
      <c r="J75" s="62" t="s">
        <v>640</v>
      </c>
      <c r="K75" s="132" t="s">
        <v>342</v>
      </c>
      <c r="L75" s="62" t="s">
        <v>641</v>
      </c>
      <c r="M75" s="87" t="s">
        <v>344</v>
      </c>
      <c r="N75" s="88" t="s">
        <v>75</v>
      </c>
      <c r="O75" s="86">
        <v>36000</v>
      </c>
      <c r="P75" s="86"/>
      <c r="Q75" s="93"/>
      <c r="R75" s="86"/>
      <c r="S75" s="86"/>
      <c r="T75" s="93"/>
      <c r="U75" s="86"/>
      <c r="V75" s="86"/>
      <c r="W75" s="93"/>
      <c r="X75" s="86"/>
      <c r="Y75" s="86"/>
      <c r="Z75" s="93"/>
      <c r="AA75" s="86"/>
      <c r="AB75" s="86"/>
      <c r="AC75" s="93"/>
      <c r="AD75" s="86"/>
      <c r="AE75" s="86"/>
      <c r="AF75" s="93"/>
      <c r="AG75" s="86"/>
      <c r="AH75" s="86"/>
      <c r="AI75" s="93"/>
      <c r="AJ75" s="86"/>
      <c r="AK75" s="107"/>
      <c r="AL75" s="108">
        <f t="shared" si="16"/>
        <v>0</v>
      </c>
      <c r="AM75" s="109">
        <f t="shared" si="17"/>
        <v>36000</v>
      </c>
      <c r="AN75" s="110">
        <f t="shared" si="18"/>
        <v>0</v>
      </c>
      <c r="AO75" s="109">
        <f t="shared" si="19"/>
        <v>36000</v>
      </c>
      <c r="AP75" s="117" t="str">
        <f t="shared" si="20"/>
        <v>数据正确</v>
      </c>
    </row>
    <row r="76" s="37" customFormat="1" customHeight="1" spans="1:42">
      <c r="A76" s="37" t="str">
        <f t="shared" si="14"/>
        <v/>
      </c>
      <c r="B76" s="37" t="s">
        <v>83</v>
      </c>
      <c r="C76" s="37" t="s">
        <v>84</v>
      </c>
      <c r="D76" s="61">
        <v>213</v>
      </c>
      <c r="E76" s="62" t="s">
        <v>642</v>
      </c>
      <c r="F76" s="133" t="s">
        <v>23</v>
      </c>
      <c r="G76" s="63">
        <v>2017050012</v>
      </c>
      <c r="H76" s="64">
        <v>42906</v>
      </c>
      <c r="I76" s="184">
        <v>3980000</v>
      </c>
      <c r="J76" s="62" t="s">
        <v>643</v>
      </c>
      <c r="K76" s="62" t="s">
        <v>644</v>
      </c>
      <c r="L76" s="62" t="s">
        <v>410</v>
      </c>
      <c r="M76" s="87" t="s">
        <v>537</v>
      </c>
      <c r="N76" s="88" t="s">
        <v>645</v>
      </c>
      <c r="O76" s="86">
        <f>I76*0.2</f>
        <v>796000</v>
      </c>
      <c r="P76" s="86"/>
      <c r="Q76" s="93" t="s">
        <v>439</v>
      </c>
      <c r="R76" s="86">
        <f>I76*0.4</f>
        <v>1592000</v>
      </c>
      <c r="S76" s="86"/>
      <c r="T76" s="93" t="s">
        <v>646</v>
      </c>
      <c r="U76" s="86">
        <f>I76*0.3</f>
        <v>1194000</v>
      </c>
      <c r="V76" s="86"/>
      <c r="W76" s="93" t="s">
        <v>596</v>
      </c>
      <c r="X76" s="86">
        <f>I76*0.1</f>
        <v>398000</v>
      </c>
      <c r="Y76" s="86"/>
      <c r="Z76" s="93"/>
      <c r="AA76" s="86"/>
      <c r="AB76" s="86"/>
      <c r="AC76" s="93"/>
      <c r="AD76" s="86"/>
      <c r="AE76" s="86"/>
      <c r="AF76" s="93"/>
      <c r="AG76" s="86"/>
      <c r="AH76" s="86"/>
      <c r="AI76" s="93"/>
      <c r="AJ76" s="86"/>
      <c r="AK76" s="107"/>
      <c r="AL76" s="108">
        <f t="shared" si="16"/>
        <v>0</v>
      </c>
      <c r="AM76" s="109">
        <f t="shared" si="17"/>
        <v>3980000</v>
      </c>
      <c r="AN76" s="110">
        <f t="shared" si="18"/>
        <v>0</v>
      </c>
      <c r="AO76" s="109">
        <f t="shared" si="19"/>
        <v>3980000</v>
      </c>
      <c r="AP76" s="117" t="str">
        <f t="shared" si="20"/>
        <v>数据正确</v>
      </c>
    </row>
    <row r="77" s="37" customFormat="1" customHeight="1" spans="1:42">
      <c r="A77" s="37" t="str">
        <f t="shared" si="14"/>
        <v/>
      </c>
      <c r="B77" s="37" t="s">
        <v>83</v>
      </c>
      <c r="C77" s="37" t="s">
        <v>84</v>
      </c>
      <c r="D77" s="61">
        <v>214</v>
      </c>
      <c r="E77" s="62" t="s">
        <v>647</v>
      </c>
      <c r="F77" s="133" t="s">
        <v>23</v>
      </c>
      <c r="G77" s="63">
        <v>2017050044</v>
      </c>
      <c r="H77" s="64">
        <v>42909</v>
      </c>
      <c r="I77" s="184">
        <v>560000</v>
      </c>
      <c r="J77" s="62" t="s">
        <v>648</v>
      </c>
      <c r="K77" s="62" t="s">
        <v>649</v>
      </c>
      <c r="L77" s="62"/>
      <c r="M77" s="87" t="s">
        <v>537</v>
      </c>
      <c r="N77" s="88" t="s">
        <v>645</v>
      </c>
      <c r="O77" s="86">
        <f>I77*0.2</f>
        <v>112000</v>
      </c>
      <c r="P77" s="86"/>
      <c r="Q77" s="93" t="s">
        <v>439</v>
      </c>
      <c r="R77" s="86">
        <f>I77*0.4</f>
        <v>224000</v>
      </c>
      <c r="S77" s="86"/>
      <c r="T77" s="93" t="s">
        <v>646</v>
      </c>
      <c r="U77" s="86">
        <f>I77*0.3</f>
        <v>168000</v>
      </c>
      <c r="V77" s="86"/>
      <c r="W77" s="93" t="s">
        <v>596</v>
      </c>
      <c r="X77" s="86">
        <f>I77*0.1</f>
        <v>56000</v>
      </c>
      <c r="Y77" s="86"/>
      <c r="Z77" s="93"/>
      <c r="AA77" s="86"/>
      <c r="AB77" s="86"/>
      <c r="AC77" s="93"/>
      <c r="AD77" s="86"/>
      <c r="AE77" s="86"/>
      <c r="AF77" s="93"/>
      <c r="AG77" s="86"/>
      <c r="AH77" s="86"/>
      <c r="AI77" s="93"/>
      <c r="AJ77" s="86"/>
      <c r="AK77" s="107"/>
      <c r="AL77" s="108">
        <f t="shared" si="16"/>
        <v>0</v>
      </c>
      <c r="AM77" s="109">
        <f t="shared" si="17"/>
        <v>560000</v>
      </c>
      <c r="AN77" s="110">
        <f t="shared" si="18"/>
        <v>0</v>
      </c>
      <c r="AO77" s="109">
        <f t="shared" si="19"/>
        <v>560000</v>
      </c>
      <c r="AP77" s="117" t="str">
        <f t="shared" si="20"/>
        <v>数据正确</v>
      </c>
    </row>
    <row r="78" s="37" customFormat="1" customHeight="1" spans="1:42">
      <c r="A78" s="37" t="str">
        <f t="shared" si="14"/>
        <v/>
      </c>
      <c r="B78" s="37" t="s">
        <v>83</v>
      </c>
      <c r="C78" s="37" t="s">
        <v>84</v>
      </c>
      <c r="D78" s="61">
        <v>215</v>
      </c>
      <c r="E78" s="62" t="s">
        <v>650</v>
      </c>
      <c r="F78" s="133" t="s">
        <v>23</v>
      </c>
      <c r="G78" s="63">
        <v>2017060010</v>
      </c>
      <c r="H78" s="64">
        <v>42920</v>
      </c>
      <c r="I78" s="184">
        <v>85000</v>
      </c>
      <c r="J78" s="62" t="s">
        <v>651</v>
      </c>
      <c r="K78" s="62" t="s">
        <v>649</v>
      </c>
      <c r="L78" s="62"/>
      <c r="M78" s="87" t="s">
        <v>537</v>
      </c>
      <c r="N78" s="88" t="s">
        <v>652</v>
      </c>
      <c r="O78" s="86">
        <f>I78*0.2</f>
        <v>17000</v>
      </c>
      <c r="P78" s="86"/>
      <c r="Q78" s="93" t="s">
        <v>439</v>
      </c>
      <c r="R78" s="86">
        <f>I78*0.4</f>
        <v>34000</v>
      </c>
      <c r="S78" s="86"/>
      <c r="T78" s="93" t="s">
        <v>646</v>
      </c>
      <c r="U78" s="86">
        <f>I78*0.3</f>
        <v>25500</v>
      </c>
      <c r="V78" s="86"/>
      <c r="W78" s="93" t="s">
        <v>596</v>
      </c>
      <c r="X78" s="86">
        <f>I78*0.1</f>
        <v>8500</v>
      </c>
      <c r="Y78" s="86"/>
      <c r="Z78" s="93"/>
      <c r="AA78" s="86"/>
      <c r="AB78" s="86"/>
      <c r="AC78" s="93"/>
      <c r="AD78" s="86"/>
      <c r="AE78" s="86"/>
      <c r="AF78" s="93"/>
      <c r="AG78" s="86"/>
      <c r="AH78" s="86"/>
      <c r="AI78" s="93"/>
      <c r="AJ78" s="86"/>
      <c r="AK78" s="107"/>
      <c r="AL78" s="108">
        <f t="shared" si="16"/>
        <v>0</v>
      </c>
      <c r="AM78" s="109">
        <f t="shared" si="17"/>
        <v>85000</v>
      </c>
      <c r="AN78" s="110">
        <f t="shared" si="18"/>
        <v>0</v>
      </c>
      <c r="AO78" s="109">
        <f t="shared" si="19"/>
        <v>85000</v>
      </c>
      <c r="AP78" s="117" t="str">
        <f t="shared" si="20"/>
        <v>数据正确</v>
      </c>
    </row>
    <row r="79" s="37" customFormat="1" customHeight="1" spans="1:42">
      <c r="A79" s="37" t="str">
        <f t="shared" si="14"/>
        <v/>
      </c>
      <c r="B79" s="37" t="s">
        <v>83</v>
      </c>
      <c r="C79" s="37" t="s">
        <v>84</v>
      </c>
      <c r="D79" s="61">
        <v>216</v>
      </c>
      <c r="E79" s="62" t="s">
        <v>653</v>
      </c>
      <c r="F79" s="133" t="s">
        <v>23</v>
      </c>
      <c r="G79" s="63">
        <v>2017060074</v>
      </c>
      <c r="H79" s="64">
        <v>42942</v>
      </c>
      <c r="I79" s="184">
        <v>140000</v>
      </c>
      <c r="J79" s="62" t="s">
        <v>654</v>
      </c>
      <c r="K79" s="62" t="s">
        <v>551</v>
      </c>
      <c r="L79" s="62"/>
      <c r="M79" s="87" t="s">
        <v>537</v>
      </c>
      <c r="N79" s="88" t="s">
        <v>655</v>
      </c>
      <c r="O79" s="86">
        <f>I79*0.3</f>
        <v>42000</v>
      </c>
      <c r="P79" s="86">
        <f>I79*0.3</f>
        <v>42000</v>
      </c>
      <c r="Q79" s="93" t="s">
        <v>656</v>
      </c>
      <c r="R79" s="86">
        <f>I79*0.6</f>
        <v>84000</v>
      </c>
      <c r="S79" s="86"/>
      <c r="T79" s="93" t="s">
        <v>596</v>
      </c>
      <c r="U79" s="86">
        <f>I79*0.1</f>
        <v>14000</v>
      </c>
      <c r="V79" s="86"/>
      <c r="W79" s="93"/>
      <c r="X79" s="86"/>
      <c r="Y79" s="86"/>
      <c r="Z79" s="93"/>
      <c r="AA79" s="86"/>
      <c r="AB79" s="86"/>
      <c r="AC79" s="93"/>
      <c r="AD79" s="86"/>
      <c r="AE79" s="86"/>
      <c r="AF79" s="93"/>
      <c r="AG79" s="86"/>
      <c r="AH79" s="86"/>
      <c r="AI79" s="93"/>
      <c r="AJ79" s="86"/>
      <c r="AK79" s="107"/>
      <c r="AL79" s="108">
        <f t="shared" si="16"/>
        <v>42000</v>
      </c>
      <c r="AM79" s="109">
        <f t="shared" si="17"/>
        <v>98000</v>
      </c>
      <c r="AN79" s="110">
        <f t="shared" si="18"/>
        <v>0.3</v>
      </c>
      <c r="AO79" s="109">
        <f t="shared" si="19"/>
        <v>140000</v>
      </c>
      <c r="AP79" s="117" t="str">
        <f t="shared" si="20"/>
        <v>数据正确</v>
      </c>
    </row>
    <row r="80" s="37" customFormat="1" customHeight="1" spans="1:42">
      <c r="A80" s="37" t="str">
        <f t="shared" si="14"/>
        <v/>
      </c>
      <c r="B80" s="37" t="s">
        <v>83</v>
      </c>
      <c r="C80" s="37" t="s">
        <v>84</v>
      </c>
      <c r="D80" s="61">
        <v>217</v>
      </c>
      <c r="E80" s="62" t="s">
        <v>657</v>
      </c>
      <c r="F80" s="133" t="s">
        <v>23</v>
      </c>
      <c r="G80" s="63">
        <v>2017050009</v>
      </c>
      <c r="H80" s="64">
        <v>42975</v>
      </c>
      <c r="I80" s="184">
        <v>288000</v>
      </c>
      <c r="J80" s="62" t="s">
        <v>658</v>
      </c>
      <c r="K80" s="62" t="s">
        <v>659</v>
      </c>
      <c r="L80" s="62"/>
      <c r="M80" s="87" t="s">
        <v>660</v>
      </c>
      <c r="N80" s="93" t="s">
        <v>661</v>
      </c>
      <c r="O80" s="86">
        <f>I80*0.6</f>
        <v>172800</v>
      </c>
      <c r="P80" s="86"/>
      <c r="Q80" s="93" t="s">
        <v>595</v>
      </c>
      <c r="R80" s="86">
        <f>I80*0.3</f>
        <v>86400</v>
      </c>
      <c r="S80" s="86"/>
      <c r="T80" s="93" t="s">
        <v>596</v>
      </c>
      <c r="U80" s="86">
        <f>I80*0.1</f>
        <v>28800</v>
      </c>
      <c r="V80" s="86"/>
      <c r="W80" s="93"/>
      <c r="X80" s="86"/>
      <c r="Y80" s="86"/>
      <c r="Z80" s="93"/>
      <c r="AA80" s="86"/>
      <c r="AB80" s="86"/>
      <c r="AC80" s="93"/>
      <c r="AD80" s="86"/>
      <c r="AE80" s="86"/>
      <c r="AF80" s="93"/>
      <c r="AG80" s="86"/>
      <c r="AH80" s="86"/>
      <c r="AI80" s="93"/>
      <c r="AJ80" s="86"/>
      <c r="AK80" s="107"/>
      <c r="AL80" s="108">
        <f t="shared" si="16"/>
        <v>0</v>
      </c>
      <c r="AM80" s="109">
        <f t="shared" si="17"/>
        <v>288000</v>
      </c>
      <c r="AN80" s="110">
        <f t="shared" si="18"/>
        <v>0</v>
      </c>
      <c r="AO80" s="109">
        <f t="shared" si="19"/>
        <v>288000</v>
      </c>
      <c r="AP80" s="117" t="str">
        <f t="shared" si="20"/>
        <v>数据正确</v>
      </c>
    </row>
    <row r="81" s="37" customFormat="1" customHeight="1" spans="1:42">
      <c r="A81" s="37" t="str">
        <f t="shared" si="14"/>
        <v/>
      </c>
      <c r="B81" s="37" t="s">
        <v>83</v>
      </c>
      <c r="C81" s="37" t="s">
        <v>84</v>
      </c>
      <c r="D81" s="61">
        <v>218</v>
      </c>
      <c r="E81" s="62" t="s">
        <v>662</v>
      </c>
      <c r="F81" s="133" t="s">
        <v>23</v>
      </c>
      <c r="G81" s="63">
        <v>2017060079</v>
      </c>
      <c r="H81" s="64">
        <v>42948</v>
      </c>
      <c r="I81" s="184">
        <v>1500000</v>
      </c>
      <c r="J81" s="62" t="s">
        <v>663</v>
      </c>
      <c r="K81" s="62" t="s">
        <v>481</v>
      </c>
      <c r="L81" s="62"/>
      <c r="M81" s="87" t="s">
        <v>537</v>
      </c>
      <c r="N81" s="88" t="s">
        <v>664</v>
      </c>
      <c r="O81" s="86">
        <f>I81*0.2</f>
        <v>300000</v>
      </c>
      <c r="P81" s="86">
        <v>300000</v>
      </c>
      <c r="Q81" s="93" t="s">
        <v>439</v>
      </c>
      <c r="R81" s="86">
        <f>I81*0.4</f>
        <v>600000</v>
      </c>
      <c r="S81" s="86"/>
      <c r="T81" s="93" t="s">
        <v>595</v>
      </c>
      <c r="U81" s="86">
        <f>I81*0.3</f>
        <v>450000</v>
      </c>
      <c r="V81" s="86"/>
      <c r="W81" s="93" t="s">
        <v>596</v>
      </c>
      <c r="X81" s="86">
        <f t="shared" ref="X81:X86" si="21">I81*0.1</f>
        <v>150000</v>
      </c>
      <c r="Y81" s="86"/>
      <c r="Z81" s="93"/>
      <c r="AA81" s="86"/>
      <c r="AB81" s="86"/>
      <c r="AC81" s="93"/>
      <c r="AD81" s="86"/>
      <c r="AE81" s="86"/>
      <c r="AF81" s="93"/>
      <c r="AG81" s="86"/>
      <c r="AH81" s="86"/>
      <c r="AI81" s="93"/>
      <c r="AJ81" s="86"/>
      <c r="AK81" s="107"/>
      <c r="AL81" s="108">
        <f t="shared" si="16"/>
        <v>300000</v>
      </c>
      <c r="AM81" s="109">
        <f t="shared" si="17"/>
        <v>1200000</v>
      </c>
      <c r="AN81" s="110">
        <f t="shared" si="18"/>
        <v>0.2</v>
      </c>
      <c r="AO81" s="109">
        <f t="shared" si="19"/>
        <v>1500000</v>
      </c>
      <c r="AP81" s="117" t="str">
        <f t="shared" si="20"/>
        <v>数据正确</v>
      </c>
    </row>
    <row r="82" s="37" customFormat="1" customHeight="1" spans="1:42">
      <c r="A82" s="37" t="str">
        <f t="shared" si="14"/>
        <v/>
      </c>
      <c r="B82" s="37" t="s">
        <v>83</v>
      </c>
      <c r="C82" s="37" t="s">
        <v>84</v>
      </c>
      <c r="D82" s="61">
        <v>219</v>
      </c>
      <c r="E82" s="62" t="s">
        <v>665</v>
      </c>
      <c r="F82" s="133" t="s">
        <v>23</v>
      </c>
      <c r="G82" s="63">
        <v>2017060078</v>
      </c>
      <c r="H82" s="64">
        <v>42951</v>
      </c>
      <c r="I82" s="184">
        <v>220000</v>
      </c>
      <c r="J82" s="62" t="s">
        <v>666</v>
      </c>
      <c r="K82" s="62" t="s">
        <v>667</v>
      </c>
      <c r="L82" s="62" t="s">
        <v>410</v>
      </c>
      <c r="M82" s="87" t="s">
        <v>537</v>
      </c>
      <c r="N82" s="88" t="s">
        <v>668</v>
      </c>
      <c r="O82" s="86">
        <f>I82*0.2</f>
        <v>44000</v>
      </c>
      <c r="P82" s="86">
        <v>44000</v>
      </c>
      <c r="Q82" s="93" t="s">
        <v>439</v>
      </c>
      <c r="R82" s="86">
        <f>I82*0.4</f>
        <v>88000</v>
      </c>
      <c r="S82" s="86"/>
      <c r="T82" s="93" t="s">
        <v>595</v>
      </c>
      <c r="U82" s="86">
        <f>I82*0.3</f>
        <v>66000</v>
      </c>
      <c r="V82" s="86"/>
      <c r="W82" s="93" t="s">
        <v>596</v>
      </c>
      <c r="X82" s="86">
        <f t="shared" si="21"/>
        <v>22000</v>
      </c>
      <c r="Y82" s="86"/>
      <c r="Z82" s="93"/>
      <c r="AA82" s="86"/>
      <c r="AB82" s="86"/>
      <c r="AC82" s="93"/>
      <c r="AD82" s="86"/>
      <c r="AE82" s="86"/>
      <c r="AF82" s="93"/>
      <c r="AG82" s="86"/>
      <c r="AH82" s="86"/>
      <c r="AI82" s="93"/>
      <c r="AJ82" s="86"/>
      <c r="AK82" s="107"/>
      <c r="AL82" s="108">
        <f t="shared" si="16"/>
        <v>44000</v>
      </c>
      <c r="AM82" s="109">
        <f t="shared" si="17"/>
        <v>176000</v>
      </c>
      <c r="AN82" s="110">
        <f t="shared" si="18"/>
        <v>0.2</v>
      </c>
      <c r="AO82" s="109">
        <f t="shared" si="19"/>
        <v>220000</v>
      </c>
      <c r="AP82" s="117" t="str">
        <f t="shared" si="20"/>
        <v>数据正确</v>
      </c>
    </row>
    <row r="83" s="37" customFormat="1" customHeight="1" spans="1:42">
      <c r="A83" s="37" t="str">
        <f t="shared" si="14"/>
        <v/>
      </c>
      <c r="B83" s="37" t="s">
        <v>83</v>
      </c>
      <c r="C83" s="37" t="s">
        <v>84</v>
      </c>
      <c r="D83" s="61">
        <v>220</v>
      </c>
      <c r="E83" s="62" t="s">
        <v>669</v>
      </c>
      <c r="F83" s="133" t="s">
        <v>23</v>
      </c>
      <c r="G83" s="63">
        <v>2017070057</v>
      </c>
      <c r="H83" s="64">
        <v>42958</v>
      </c>
      <c r="I83" s="184">
        <v>5790000</v>
      </c>
      <c r="J83" s="62" t="s">
        <v>670</v>
      </c>
      <c r="K83" s="62" t="s">
        <v>671</v>
      </c>
      <c r="L83" s="62"/>
      <c r="M83" s="87" t="s">
        <v>76</v>
      </c>
      <c r="N83" s="88" t="s">
        <v>664</v>
      </c>
      <c r="O83" s="86">
        <f>I83*0.2</f>
        <v>1158000</v>
      </c>
      <c r="P83" s="86"/>
      <c r="Q83" s="93" t="s">
        <v>656</v>
      </c>
      <c r="R83" s="86">
        <f>I83*0.6</f>
        <v>3474000</v>
      </c>
      <c r="S83" s="86"/>
      <c r="T83" s="93" t="s">
        <v>672</v>
      </c>
      <c r="U83" s="86">
        <f>I83*0.1</f>
        <v>579000</v>
      </c>
      <c r="V83" s="86"/>
      <c r="W83" s="93" t="s">
        <v>596</v>
      </c>
      <c r="X83" s="86">
        <f t="shared" si="21"/>
        <v>579000</v>
      </c>
      <c r="Y83" s="86"/>
      <c r="Z83" s="93"/>
      <c r="AA83" s="86"/>
      <c r="AB83" s="86"/>
      <c r="AC83" s="93"/>
      <c r="AD83" s="86"/>
      <c r="AE83" s="86"/>
      <c r="AF83" s="93"/>
      <c r="AG83" s="86"/>
      <c r="AH83" s="86"/>
      <c r="AI83" s="93"/>
      <c r="AJ83" s="86"/>
      <c r="AK83" s="107"/>
      <c r="AL83" s="108">
        <f t="shared" si="16"/>
        <v>0</v>
      </c>
      <c r="AM83" s="109">
        <f t="shared" si="17"/>
        <v>5790000</v>
      </c>
      <c r="AN83" s="110">
        <f t="shared" si="18"/>
        <v>0</v>
      </c>
      <c r="AO83" s="109">
        <f t="shared" si="19"/>
        <v>5790000</v>
      </c>
      <c r="AP83" s="117" t="str">
        <f t="shared" si="20"/>
        <v>数据正确</v>
      </c>
    </row>
    <row r="84" s="37" customFormat="1" customHeight="1" spans="1:42">
      <c r="A84" s="37" t="str">
        <f t="shared" si="14"/>
        <v/>
      </c>
      <c r="B84" s="37" t="s">
        <v>83</v>
      </c>
      <c r="C84" s="37" t="s">
        <v>84</v>
      </c>
      <c r="D84" s="61">
        <v>221</v>
      </c>
      <c r="E84" s="62" t="s">
        <v>673</v>
      </c>
      <c r="F84" s="133" t="s">
        <v>23</v>
      </c>
      <c r="G84" s="63">
        <v>2017070065</v>
      </c>
      <c r="H84" s="64">
        <v>42973</v>
      </c>
      <c r="I84" s="184">
        <v>3366000</v>
      </c>
      <c r="J84" s="62" t="s">
        <v>674</v>
      </c>
      <c r="K84" s="62" t="s">
        <v>671</v>
      </c>
      <c r="L84" s="62"/>
      <c r="M84" s="87" t="s">
        <v>76</v>
      </c>
      <c r="N84" s="88" t="s">
        <v>664</v>
      </c>
      <c r="O84" s="86">
        <f>I84*0.2</f>
        <v>673200</v>
      </c>
      <c r="P84" s="86"/>
      <c r="Q84" s="93" t="s">
        <v>656</v>
      </c>
      <c r="R84" s="86">
        <f>I84*0.6</f>
        <v>2019600</v>
      </c>
      <c r="S84" s="86"/>
      <c r="T84" s="93" t="s">
        <v>672</v>
      </c>
      <c r="U84" s="86">
        <f>I84*0.1</f>
        <v>336600</v>
      </c>
      <c r="V84" s="86"/>
      <c r="W84" s="93" t="s">
        <v>596</v>
      </c>
      <c r="X84" s="86">
        <f t="shared" si="21"/>
        <v>336600</v>
      </c>
      <c r="Y84" s="86"/>
      <c r="Z84" s="93"/>
      <c r="AA84" s="86"/>
      <c r="AB84" s="86"/>
      <c r="AC84" s="93"/>
      <c r="AD84" s="86"/>
      <c r="AE84" s="86"/>
      <c r="AF84" s="93"/>
      <c r="AG84" s="86"/>
      <c r="AH84" s="86"/>
      <c r="AI84" s="93"/>
      <c r="AJ84" s="86"/>
      <c r="AK84" s="107"/>
      <c r="AL84" s="108">
        <f t="shared" si="16"/>
        <v>0</v>
      </c>
      <c r="AM84" s="109">
        <f t="shared" si="17"/>
        <v>3366000</v>
      </c>
      <c r="AN84" s="110">
        <f t="shared" si="18"/>
        <v>0</v>
      </c>
      <c r="AO84" s="109">
        <f t="shared" si="19"/>
        <v>3366000</v>
      </c>
      <c r="AP84" s="117" t="str">
        <f t="shared" si="20"/>
        <v>数据正确</v>
      </c>
    </row>
    <row r="85" s="37" customFormat="1" customHeight="1" spans="1:42">
      <c r="A85" s="37" t="str">
        <f t="shared" si="14"/>
        <v/>
      </c>
      <c r="B85" s="37" t="s">
        <v>83</v>
      </c>
      <c r="C85" s="37" t="s">
        <v>84</v>
      </c>
      <c r="D85" s="61">
        <v>222</v>
      </c>
      <c r="E85" s="62" t="s">
        <v>675</v>
      </c>
      <c r="F85" s="133" t="s">
        <v>23</v>
      </c>
      <c r="G85" s="63">
        <v>2017050023</v>
      </c>
      <c r="H85" s="64">
        <v>42979</v>
      </c>
      <c r="I85" s="184">
        <v>1280000</v>
      </c>
      <c r="J85" s="62" t="s">
        <v>676</v>
      </c>
      <c r="K85" s="62" t="s">
        <v>677</v>
      </c>
      <c r="L85" s="62"/>
      <c r="M85" s="87" t="s">
        <v>76</v>
      </c>
      <c r="N85" s="88" t="s">
        <v>664</v>
      </c>
      <c r="O85" s="86">
        <f>I85*0.2</f>
        <v>256000</v>
      </c>
      <c r="P85" s="86">
        <v>256000</v>
      </c>
      <c r="Q85" s="93" t="s">
        <v>656</v>
      </c>
      <c r="R85" s="86">
        <f>I85*0.6</f>
        <v>768000</v>
      </c>
      <c r="S85" s="86"/>
      <c r="T85" s="93" t="s">
        <v>672</v>
      </c>
      <c r="U85" s="86">
        <f>I85*0.1</f>
        <v>128000</v>
      </c>
      <c r="V85" s="86"/>
      <c r="W85" s="93" t="s">
        <v>596</v>
      </c>
      <c r="X85" s="86">
        <f t="shared" si="21"/>
        <v>128000</v>
      </c>
      <c r="Y85" s="86"/>
      <c r="Z85" s="93"/>
      <c r="AA85" s="86"/>
      <c r="AB85" s="86"/>
      <c r="AC85" s="93"/>
      <c r="AD85" s="86"/>
      <c r="AE85" s="86"/>
      <c r="AF85" s="93"/>
      <c r="AG85" s="86"/>
      <c r="AH85" s="86"/>
      <c r="AI85" s="93"/>
      <c r="AJ85" s="86"/>
      <c r="AK85" s="107"/>
      <c r="AL85" s="108">
        <f t="shared" si="16"/>
        <v>256000</v>
      </c>
      <c r="AM85" s="109">
        <f t="shared" si="17"/>
        <v>1024000</v>
      </c>
      <c r="AN85" s="110">
        <f t="shared" si="18"/>
        <v>0.2</v>
      </c>
      <c r="AO85" s="109">
        <f t="shared" si="19"/>
        <v>1280000</v>
      </c>
      <c r="AP85" s="117" t="str">
        <f t="shared" si="20"/>
        <v>数据正确</v>
      </c>
    </row>
    <row r="86" s="37" customFormat="1" customHeight="1" spans="1:42">
      <c r="A86" s="37" t="str">
        <f t="shared" si="14"/>
        <v/>
      </c>
      <c r="B86" s="37" t="s">
        <v>83</v>
      </c>
      <c r="C86" s="37" t="s">
        <v>84</v>
      </c>
      <c r="D86" s="61">
        <v>223</v>
      </c>
      <c r="E86" s="62" t="s">
        <v>678</v>
      </c>
      <c r="F86" s="133" t="s">
        <v>23</v>
      </c>
      <c r="G86" s="63">
        <v>2017070066</v>
      </c>
      <c r="H86" s="64">
        <v>42972</v>
      </c>
      <c r="I86" s="184">
        <v>7820000</v>
      </c>
      <c r="J86" s="62" t="s">
        <v>679</v>
      </c>
      <c r="K86" s="62" t="s">
        <v>680</v>
      </c>
      <c r="L86" s="62"/>
      <c r="M86" s="87" t="s">
        <v>625</v>
      </c>
      <c r="N86" s="88" t="s">
        <v>681</v>
      </c>
      <c r="O86" s="86">
        <f>I86*0.3</f>
        <v>2346000</v>
      </c>
      <c r="P86" s="86">
        <v>2346000</v>
      </c>
      <c r="Q86" s="93" t="s">
        <v>682</v>
      </c>
      <c r="R86" s="86">
        <f>I86*0.5</f>
        <v>3910000</v>
      </c>
      <c r="S86" s="86"/>
      <c r="T86" s="93" t="s">
        <v>672</v>
      </c>
      <c r="U86" s="86">
        <f>I86*0.1</f>
        <v>782000</v>
      </c>
      <c r="V86" s="86"/>
      <c r="W86" s="93" t="s">
        <v>596</v>
      </c>
      <c r="X86" s="86">
        <f t="shared" si="21"/>
        <v>782000</v>
      </c>
      <c r="Y86" s="86"/>
      <c r="Z86" s="93"/>
      <c r="AA86" s="86"/>
      <c r="AB86" s="86"/>
      <c r="AC86" s="93"/>
      <c r="AD86" s="86"/>
      <c r="AE86" s="86"/>
      <c r="AF86" s="93"/>
      <c r="AG86" s="86"/>
      <c r="AH86" s="86"/>
      <c r="AI86" s="93"/>
      <c r="AJ86" s="86"/>
      <c r="AK86" s="107"/>
      <c r="AL86" s="108">
        <f t="shared" si="16"/>
        <v>2346000</v>
      </c>
      <c r="AM86" s="109">
        <f t="shared" si="17"/>
        <v>5474000</v>
      </c>
      <c r="AN86" s="110">
        <f t="shared" si="18"/>
        <v>0.3</v>
      </c>
      <c r="AO86" s="109">
        <f t="shared" si="19"/>
        <v>7820000</v>
      </c>
      <c r="AP86" s="117" t="str">
        <f t="shared" si="20"/>
        <v>数据正确</v>
      </c>
    </row>
    <row r="87" s="37" customFormat="1" customHeight="1" spans="1:42">
      <c r="A87" s="37" t="str">
        <f t="shared" si="14"/>
        <v/>
      </c>
      <c r="C87" s="37" t="s">
        <v>84</v>
      </c>
      <c r="D87" s="61">
        <v>225</v>
      </c>
      <c r="E87" s="62" t="s">
        <v>683</v>
      </c>
      <c r="F87" s="133" t="s">
        <v>23</v>
      </c>
      <c r="G87" s="63"/>
      <c r="H87" s="64">
        <v>42962</v>
      </c>
      <c r="I87" s="184">
        <v>1150000</v>
      </c>
      <c r="J87" s="62" t="s">
        <v>684</v>
      </c>
      <c r="K87" s="62" t="s">
        <v>685</v>
      </c>
      <c r="L87" s="62" t="s">
        <v>686</v>
      </c>
      <c r="M87" s="87" t="s">
        <v>558</v>
      </c>
      <c r="N87" s="88" t="s">
        <v>687</v>
      </c>
      <c r="O87" s="86">
        <f>I87*0.6</f>
        <v>690000</v>
      </c>
      <c r="P87" s="86">
        <v>690000</v>
      </c>
      <c r="Q87" s="93" t="s">
        <v>595</v>
      </c>
      <c r="R87" s="86">
        <f>I87*0.3</f>
        <v>345000</v>
      </c>
      <c r="S87" s="86"/>
      <c r="T87" s="93" t="s">
        <v>596</v>
      </c>
      <c r="U87" s="86">
        <f>I87*0.1</f>
        <v>115000</v>
      </c>
      <c r="V87" s="86"/>
      <c r="W87" s="93"/>
      <c r="X87" s="86"/>
      <c r="Y87" s="86"/>
      <c r="Z87" s="93"/>
      <c r="AA87" s="86"/>
      <c r="AB87" s="86"/>
      <c r="AC87" s="93"/>
      <c r="AD87" s="86"/>
      <c r="AE87" s="86"/>
      <c r="AF87" s="93"/>
      <c r="AG87" s="86"/>
      <c r="AH87" s="86"/>
      <c r="AI87" s="93"/>
      <c r="AJ87" s="86"/>
      <c r="AK87" s="107"/>
      <c r="AL87" s="108">
        <f t="shared" si="16"/>
        <v>690000</v>
      </c>
      <c r="AM87" s="109">
        <f t="shared" si="17"/>
        <v>460000</v>
      </c>
      <c r="AN87" s="110">
        <f t="shared" si="18"/>
        <v>0.6</v>
      </c>
      <c r="AO87" s="109">
        <f t="shared" si="19"/>
        <v>1150000</v>
      </c>
      <c r="AP87" s="117" t="str">
        <f t="shared" si="20"/>
        <v>数据正确</v>
      </c>
    </row>
    <row r="88" s="37" customFormat="1" customHeight="1" spans="1:42">
      <c r="A88" s="37" t="str">
        <f t="shared" si="14"/>
        <v/>
      </c>
      <c r="C88" s="37" t="s">
        <v>84</v>
      </c>
      <c r="D88" s="61">
        <v>226</v>
      </c>
      <c r="E88" s="62" t="s">
        <v>688</v>
      </c>
      <c r="F88" s="133" t="s">
        <v>23</v>
      </c>
      <c r="G88" s="63">
        <v>2017060090</v>
      </c>
      <c r="H88" s="64">
        <v>42962</v>
      </c>
      <c r="I88" s="184">
        <v>1520000</v>
      </c>
      <c r="J88" s="62" t="s">
        <v>689</v>
      </c>
      <c r="K88" s="62" t="s">
        <v>690</v>
      </c>
      <c r="L88" s="62" t="s">
        <v>691</v>
      </c>
      <c r="M88" s="87" t="s">
        <v>558</v>
      </c>
      <c r="N88" s="88" t="s">
        <v>664</v>
      </c>
      <c r="O88" s="86">
        <f>I88*0.2</f>
        <v>304000</v>
      </c>
      <c r="P88" s="86">
        <v>304000</v>
      </c>
      <c r="Q88" s="93" t="s">
        <v>439</v>
      </c>
      <c r="R88" s="86">
        <f>I88*0.4</f>
        <v>608000</v>
      </c>
      <c r="S88" s="86"/>
      <c r="T88" s="93" t="s">
        <v>595</v>
      </c>
      <c r="U88" s="86">
        <f>I88*0.3</f>
        <v>456000</v>
      </c>
      <c r="V88" s="86"/>
      <c r="W88" s="93" t="s">
        <v>596</v>
      </c>
      <c r="X88" s="86">
        <f>I88*0.1</f>
        <v>152000</v>
      </c>
      <c r="Y88" s="86"/>
      <c r="Z88" s="93"/>
      <c r="AA88" s="86"/>
      <c r="AB88" s="86"/>
      <c r="AC88" s="93"/>
      <c r="AD88" s="86"/>
      <c r="AE88" s="86"/>
      <c r="AF88" s="93"/>
      <c r="AG88" s="86"/>
      <c r="AH88" s="86"/>
      <c r="AI88" s="93"/>
      <c r="AJ88" s="86"/>
      <c r="AK88" s="107"/>
      <c r="AL88" s="108">
        <f t="shared" si="16"/>
        <v>304000</v>
      </c>
      <c r="AM88" s="109">
        <f t="shared" si="17"/>
        <v>1216000</v>
      </c>
      <c r="AN88" s="110">
        <f t="shared" si="18"/>
        <v>0.2</v>
      </c>
      <c r="AO88" s="109">
        <f t="shared" si="19"/>
        <v>1520000</v>
      </c>
      <c r="AP88" s="117" t="str">
        <f t="shared" si="20"/>
        <v>数据正确</v>
      </c>
    </row>
    <row r="89" s="37" customFormat="1" customHeight="1" spans="1:42">
      <c r="A89" s="37" t="str">
        <f t="shared" si="14"/>
        <v/>
      </c>
      <c r="C89" s="37" t="s">
        <v>84</v>
      </c>
      <c r="D89" s="61">
        <v>227</v>
      </c>
      <c r="E89" s="62" t="s">
        <v>692</v>
      </c>
      <c r="F89" s="133" t="s">
        <v>23</v>
      </c>
      <c r="G89" s="63"/>
      <c r="H89" s="64">
        <v>42966</v>
      </c>
      <c r="I89" s="184">
        <v>350000</v>
      </c>
      <c r="J89" s="62" t="s">
        <v>693</v>
      </c>
      <c r="K89" s="62" t="s">
        <v>694</v>
      </c>
      <c r="L89" s="62"/>
      <c r="M89" s="87" t="s">
        <v>695</v>
      </c>
      <c r="N89" s="88" t="s">
        <v>696</v>
      </c>
      <c r="O89" s="86">
        <f>I89*0.8</f>
        <v>280000</v>
      </c>
      <c r="P89" s="86"/>
      <c r="Q89" s="93" t="s">
        <v>697</v>
      </c>
      <c r="R89" s="86">
        <f>I89*0.1</f>
        <v>35000</v>
      </c>
      <c r="S89" s="86"/>
      <c r="T89" s="93" t="s">
        <v>596</v>
      </c>
      <c r="U89" s="86">
        <f>I89*0.1</f>
        <v>35000</v>
      </c>
      <c r="V89" s="86"/>
      <c r="W89" s="93"/>
      <c r="X89" s="86"/>
      <c r="Y89" s="86"/>
      <c r="Z89" s="93"/>
      <c r="AA89" s="86"/>
      <c r="AB89" s="86"/>
      <c r="AC89" s="93"/>
      <c r="AD89" s="86"/>
      <c r="AE89" s="86"/>
      <c r="AF89" s="93"/>
      <c r="AG89" s="86"/>
      <c r="AH89" s="86"/>
      <c r="AI89" s="93"/>
      <c r="AJ89" s="86"/>
      <c r="AK89" s="107"/>
      <c r="AL89" s="108">
        <f t="shared" si="16"/>
        <v>0</v>
      </c>
      <c r="AM89" s="109">
        <f t="shared" si="17"/>
        <v>350000</v>
      </c>
      <c r="AN89" s="110">
        <f t="shared" si="18"/>
        <v>0</v>
      </c>
      <c r="AO89" s="109">
        <f t="shared" si="19"/>
        <v>350000</v>
      </c>
      <c r="AP89" s="117" t="str">
        <f t="shared" si="20"/>
        <v>数据正确</v>
      </c>
    </row>
    <row r="90" s="37" customFormat="1" customHeight="1" spans="1:42">
      <c r="A90" s="37" t="str">
        <f t="shared" si="14"/>
        <v/>
      </c>
      <c r="C90" s="37" t="s">
        <v>84</v>
      </c>
      <c r="D90" s="61">
        <v>232</v>
      </c>
      <c r="E90" s="62" t="s">
        <v>698</v>
      </c>
      <c r="F90" s="133" t="s">
        <v>23</v>
      </c>
      <c r="G90" s="63">
        <v>2017070075</v>
      </c>
      <c r="H90" s="64">
        <v>42982</v>
      </c>
      <c r="I90" s="184">
        <v>22300000</v>
      </c>
      <c r="J90" s="62" t="s">
        <v>699</v>
      </c>
      <c r="K90" s="62" t="s">
        <v>700</v>
      </c>
      <c r="L90" s="62" t="s">
        <v>701</v>
      </c>
      <c r="M90" s="87" t="s">
        <v>702</v>
      </c>
      <c r="N90" s="88" t="s">
        <v>703</v>
      </c>
      <c r="O90" s="86">
        <f>I90*0.2</f>
        <v>4460000</v>
      </c>
      <c r="P90" s="86">
        <v>4460000</v>
      </c>
      <c r="Q90" s="93" t="s">
        <v>656</v>
      </c>
      <c r="R90" s="86">
        <f>I90*0.6</f>
        <v>13380000</v>
      </c>
      <c r="S90" s="86"/>
      <c r="T90" s="93" t="s">
        <v>672</v>
      </c>
      <c r="U90" s="86">
        <f>I90*0.1</f>
        <v>2230000</v>
      </c>
      <c r="V90" s="86"/>
      <c r="W90" s="93" t="s">
        <v>596</v>
      </c>
      <c r="X90" s="86">
        <f>I90*0.1</f>
        <v>2230000</v>
      </c>
      <c r="Y90" s="86"/>
      <c r="Z90" s="93"/>
      <c r="AA90" s="86"/>
      <c r="AB90" s="86"/>
      <c r="AC90" s="93"/>
      <c r="AD90" s="86"/>
      <c r="AE90" s="86"/>
      <c r="AF90" s="93"/>
      <c r="AG90" s="86"/>
      <c r="AH90" s="86"/>
      <c r="AI90" s="93"/>
      <c r="AJ90" s="86"/>
      <c r="AK90" s="107"/>
      <c r="AL90" s="108">
        <f t="shared" si="16"/>
        <v>4460000</v>
      </c>
      <c r="AM90" s="109">
        <f t="shared" si="17"/>
        <v>17840000</v>
      </c>
      <c r="AN90" s="110">
        <f t="shared" si="18"/>
        <v>0.2</v>
      </c>
      <c r="AO90" s="109">
        <f t="shared" si="19"/>
        <v>22300000</v>
      </c>
      <c r="AP90" s="117" t="str">
        <f t="shared" si="20"/>
        <v>数据正确</v>
      </c>
    </row>
    <row r="91" customHeight="1" spans="1:42">
      <c r="A91" s="37" t="str">
        <f t="shared" si="14"/>
        <v/>
      </c>
      <c r="C91" s="37" t="s">
        <v>84</v>
      </c>
      <c r="D91" s="61">
        <v>234</v>
      </c>
      <c r="E91" s="62" t="s">
        <v>704</v>
      </c>
      <c r="F91" s="133" t="s">
        <v>23</v>
      </c>
      <c r="G91" s="63">
        <v>2017050007</v>
      </c>
      <c r="H91" s="64">
        <v>42893</v>
      </c>
      <c r="I91" s="184">
        <v>6980000</v>
      </c>
      <c r="J91" s="62" t="s">
        <v>705</v>
      </c>
      <c r="K91" s="62" t="s">
        <v>706</v>
      </c>
      <c r="L91" s="62" t="s">
        <v>707</v>
      </c>
      <c r="M91" s="87" t="s">
        <v>537</v>
      </c>
      <c r="N91" s="88" t="s">
        <v>703</v>
      </c>
      <c r="O91" s="86">
        <f>I91*0.2</f>
        <v>1396000</v>
      </c>
      <c r="P91" s="86">
        <v>1396000</v>
      </c>
      <c r="Q91" s="93" t="s">
        <v>439</v>
      </c>
      <c r="R91" s="86">
        <f>I91*0.4</f>
        <v>2792000</v>
      </c>
      <c r="S91" s="86"/>
      <c r="T91" s="93" t="s">
        <v>601</v>
      </c>
      <c r="U91" s="86">
        <f>I91*0.3</f>
        <v>2094000</v>
      </c>
      <c r="V91" s="86"/>
      <c r="W91" s="93" t="s">
        <v>596</v>
      </c>
      <c r="X91" s="86">
        <f>I91*0.1</f>
        <v>698000</v>
      </c>
      <c r="Y91" s="86"/>
      <c r="Z91" s="93"/>
      <c r="AA91" s="86"/>
      <c r="AB91" s="86"/>
      <c r="AC91" s="93"/>
      <c r="AD91" s="86"/>
      <c r="AE91" s="86"/>
      <c r="AF91" s="93"/>
      <c r="AG91" s="86"/>
      <c r="AH91" s="86"/>
      <c r="AI91" s="93"/>
      <c r="AJ91" s="86"/>
      <c r="AK91" s="107"/>
      <c r="AL91" s="108">
        <f t="shared" si="16"/>
        <v>1396000</v>
      </c>
      <c r="AM91" s="109">
        <f t="shared" si="17"/>
        <v>5584000</v>
      </c>
      <c r="AN91" s="110">
        <f t="shared" si="18"/>
        <v>0.2</v>
      </c>
      <c r="AO91" s="109">
        <f t="shared" si="19"/>
        <v>6980000</v>
      </c>
      <c r="AP91" s="117" t="str">
        <f t="shared" si="20"/>
        <v>数据正确</v>
      </c>
    </row>
    <row r="92" s="37" customFormat="1" customHeight="1" spans="1:42">
      <c r="A92" s="37" t="str">
        <f t="shared" si="14"/>
        <v/>
      </c>
      <c r="C92" s="37" t="s">
        <v>84</v>
      </c>
      <c r="D92" s="61">
        <v>235</v>
      </c>
      <c r="E92" s="62" t="s">
        <v>708</v>
      </c>
      <c r="F92" s="133" t="s">
        <v>23</v>
      </c>
      <c r="G92" s="63"/>
      <c r="H92" s="64">
        <v>42987</v>
      </c>
      <c r="I92" s="184">
        <v>5350000</v>
      </c>
      <c r="J92" s="62" t="s">
        <v>709</v>
      </c>
      <c r="K92" s="62" t="s">
        <v>614</v>
      </c>
      <c r="L92" s="62"/>
      <c r="M92" s="87" t="s">
        <v>558</v>
      </c>
      <c r="N92" s="88" t="s">
        <v>703</v>
      </c>
      <c r="O92" s="86">
        <f>I92*0.2</f>
        <v>1070000</v>
      </c>
      <c r="P92" s="86"/>
      <c r="Q92" s="93" t="s">
        <v>656</v>
      </c>
      <c r="R92" s="86">
        <f>I92*0.6</f>
        <v>3210000</v>
      </c>
      <c r="S92" s="86"/>
      <c r="T92" s="93" t="s">
        <v>672</v>
      </c>
      <c r="U92" s="86">
        <f>I92*0.1</f>
        <v>535000</v>
      </c>
      <c r="V92" s="86"/>
      <c r="W92" s="93" t="s">
        <v>596</v>
      </c>
      <c r="X92" s="86">
        <f>I92*0.1</f>
        <v>535000</v>
      </c>
      <c r="Y92" s="86"/>
      <c r="Z92" s="93"/>
      <c r="AA92" s="86"/>
      <c r="AB92" s="86"/>
      <c r="AC92" s="93"/>
      <c r="AD92" s="86"/>
      <c r="AE92" s="86"/>
      <c r="AF92" s="93"/>
      <c r="AG92" s="86"/>
      <c r="AH92" s="86"/>
      <c r="AI92" s="93"/>
      <c r="AJ92" s="86"/>
      <c r="AK92" s="107"/>
      <c r="AL92" s="108">
        <f t="shared" si="16"/>
        <v>0</v>
      </c>
      <c r="AM92" s="109">
        <f t="shared" si="17"/>
        <v>5350000</v>
      </c>
      <c r="AN92" s="110">
        <f t="shared" si="18"/>
        <v>0</v>
      </c>
      <c r="AO92" s="109">
        <f t="shared" si="19"/>
        <v>5350000</v>
      </c>
      <c r="AP92" s="117" t="str">
        <f t="shared" si="20"/>
        <v>数据正确</v>
      </c>
    </row>
    <row r="93" s="37" customFormat="1" customHeight="1" spans="1:42">
      <c r="A93" s="37" t="str">
        <f t="shared" si="14"/>
        <v/>
      </c>
      <c r="C93" s="37" t="s">
        <v>84</v>
      </c>
      <c r="D93" s="61">
        <v>236</v>
      </c>
      <c r="E93" s="62" t="s">
        <v>710</v>
      </c>
      <c r="F93" s="133" t="s">
        <v>23</v>
      </c>
      <c r="G93" s="63"/>
      <c r="H93" s="64">
        <v>42993</v>
      </c>
      <c r="I93" s="184">
        <v>7566000</v>
      </c>
      <c r="J93" s="62" t="s">
        <v>711</v>
      </c>
      <c r="K93" s="62" t="s">
        <v>712</v>
      </c>
      <c r="L93" s="62"/>
      <c r="M93" s="87" t="s">
        <v>713</v>
      </c>
      <c r="N93" s="88" t="s">
        <v>714</v>
      </c>
      <c r="O93" s="86">
        <f>1663380+1177956+1427818.09</f>
        <v>4269154.09</v>
      </c>
      <c r="P93" s="86"/>
      <c r="Q93" s="93" t="s">
        <v>715</v>
      </c>
      <c r="R93" s="86">
        <f>I93*0.8-O93</f>
        <v>1783645.91</v>
      </c>
      <c r="S93" s="86"/>
      <c r="T93" s="93" t="s">
        <v>617</v>
      </c>
      <c r="U93" s="86">
        <f>I93*0.1</f>
        <v>756600</v>
      </c>
      <c r="V93" s="86"/>
      <c r="W93" s="93" t="s">
        <v>596</v>
      </c>
      <c r="X93" s="86">
        <f>I93*0.1</f>
        <v>756600</v>
      </c>
      <c r="Y93" s="86"/>
      <c r="Z93" s="93"/>
      <c r="AA93" s="86"/>
      <c r="AB93" s="86"/>
      <c r="AC93" s="93"/>
      <c r="AD93" s="86"/>
      <c r="AE93" s="86"/>
      <c r="AF93" s="93"/>
      <c r="AG93" s="86"/>
      <c r="AH93" s="86"/>
      <c r="AI93" s="93"/>
      <c r="AJ93" s="86"/>
      <c r="AK93" s="107"/>
      <c r="AL93" s="108">
        <f t="shared" si="16"/>
        <v>0</v>
      </c>
      <c r="AM93" s="109">
        <f t="shared" si="17"/>
        <v>7566000</v>
      </c>
      <c r="AN93" s="110">
        <f t="shared" si="18"/>
        <v>0</v>
      </c>
      <c r="AO93" s="109">
        <f t="shared" si="19"/>
        <v>7566000</v>
      </c>
      <c r="AP93" s="117" t="str">
        <f t="shared" si="20"/>
        <v>数据正确</v>
      </c>
    </row>
    <row r="94" s="37" customFormat="1" customHeight="1" spans="1:42">
      <c r="A94" s="37" t="str">
        <f t="shared" si="14"/>
        <v/>
      </c>
      <c r="C94" s="37" t="s">
        <v>84</v>
      </c>
      <c r="D94" s="61">
        <v>237</v>
      </c>
      <c r="E94" s="62" t="s">
        <v>716</v>
      </c>
      <c r="F94" s="133" t="s">
        <v>23</v>
      </c>
      <c r="G94" s="63"/>
      <c r="H94" s="64">
        <v>42979</v>
      </c>
      <c r="I94" s="184">
        <v>142000</v>
      </c>
      <c r="J94" s="62" t="s">
        <v>717</v>
      </c>
      <c r="K94" s="62" t="s">
        <v>718</v>
      </c>
      <c r="L94" s="62"/>
      <c r="M94" s="87" t="s">
        <v>558</v>
      </c>
      <c r="N94" s="88" t="s">
        <v>719</v>
      </c>
      <c r="O94" s="86">
        <f>I94*0.6</f>
        <v>85200</v>
      </c>
      <c r="P94" s="86"/>
      <c r="Q94" s="93" t="s">
        <v>505</v>
      </c>
      <c r="R94" s="86">
        <f>I94*0.3</f>
        <v>42600</v>
      </c>
      <c r="S94" s="86"/>
      <c r="T94" s="93" t="s">
        <v>596</v>
      </c>
      <c r="U94" s="86">
        <f>I94*0.1</f>
        <v>14200</v>
      </c>
      <c r="V94" s="86"/>
      <c r="W94" s="93"/>
      <c r="X94" s="86"/>
      <c r="Y94" s="86"/>
      <c r="Z94" s="93"/>
      <c r="AA94" s="86"/>
      <c r="AB94" s="86"/>
      <c r="AC94" s="93"/>
      <c r="AD94" s="86"/>
      <c r="AE94" s="86"/>
      <c r="AF94" s="93"/>
      <c r="AG94" s="86"/>
      <c r="AH94" s="86"/>
      <c r="AI94" s="93"/>
      <c r="AJ94" s="86"/>
      <c r="AK94" s="107"/>
      <c r="AL94" s="108">
        <f t="shared" si="16"/>
        <v>0</v>
      </c>
      <c r="AM94" s="109">
        <f t="shared" si="17"/>
        <v>142000</v>
      </c>
      <c r="AN94" s="110">
        <f t="shared" si="18"/>
        <v>0</v>
      </c>
      <c r="AO94" s="109">
        <f t="shared" si="19"/>
        <v>142000</v>
      </c>
      <c r="AP94" s="117" t="str">
        <f t="shared" si="20"/>
        <v>数据正确</v>
      </c>
    </row>
    <row r="95" s="37" customFormat="1" customHeight="1" spans="1:42">
      <c r="A95" s="37" t="str">
        <f t="shared" si="14"/>
        <v/>
      </c>
      <c r="C95" s="37" t="s">
        <v>84</v>
      </c>
      <c r="D95" s="61">
        <v>238</v>
      </c>
      <c r="E95" s="62" t="s">
        <v>720</v>
      </c>
      <c r="F95" s="133" t="s">
        <v>23</v>
      </c>
      <c r="G95" s="63">
        <v>2017080046</v>
      </c>
      <c r="H95" s="64">
        <v>42985</v>
      </c>
      <c r="I95" s="184">
        <v>10900000</v>
      </c>
      <c r="J95" s="62" t="s">
        <v>721</v>
      </c>
      <c r="K95" s="62" t="s">
        <v>444</v>
      </c>
      <c r="L95" s="62"/>
      <c r="M95" s="87" t="s">
        <v>722</v>
      </c>
      <c r="N95" s="88" t="s">
        <v>723</v>
      </c>
      <c r="O95" s="86">
        <f>I95*0.2</f>
        <v>2180000</v>
      </c>
      <c r="P95" s="86">
        <v>2180000</v>
      </c>
      <c r="Q95" s="93" t="s">
        <v>656</v>
      </c>
      <c r="R95" s="86">
        <f>I95*0.6</f>
        <v>6540000</v>
      </c>
      <c r="S95" s="86"/>
      <c r="T95" s="93" t="s">
        <v>617</v>
      </c>
      <c r="U95" s="86">
        <f>I95*0.1</f>
        <v>1090000</v>
      </c>
      <c r="V95" s="86"/>
      <c r="W95" s="93" t="s">
        <v>596</v>
      </c>
      <c r="X95" s="86">
        <f>I95*0.1</f>
        <v>1090000</v>
      </c>
      <c r="Y95" s="86"/>
      <c r="Z95" s="93"/>
      <c r="AA95" s="86"/>
      <c r="AB95" s="86"/>
      <c r="AC95" s="93"/>
      <c r="AD95" s="86"/>
      <c r="AE95" s="86"/>
      <c r="AF95" s="93"/>
      <c r="AG95" s="86"/>
      <c r="AH95" s="86"/>
      <c r="AI95" s="93"/>
      <c r="AJ95" s="86"/>
      <c r="AK95" s="107"/>
      <c r="AL95" s="108">
        <f t="shared" si="16"/>
        <v>2180000</v>
      </c>
      <c r="AM95" s="109">
        <f t="shared" si="17"/>
        <v>8720000</v>
      </c>
      <c r="AN95" s="110">
        <f t="shared" si="18"/>
        <v>0.2</v>
      </c>
      <c r="AO95" s="109">
        <f t="shared" si="19"/>
        <v>10900000</v>
      </c>
      <c r="AP95" s="117" t="str">
        <f t="shared" si="20"/>
        <v>数据正确</v>
      </c>
    </row>
    <row r="96" s="37" customFormat="1" customHeight="1" spans="1:42">
      <c r="A96" s="37" t="str">
        <f t="shared" si="14"/>
        <v/>
      </c>
      <c r="C96" s="37" t="s">
        <v>84</v>
      </c>
      <c r="D96" s="61">
        <v>239</v>
      </c>
      <c r="E96" s="62" t="s">
        <v>724</v>
      </c>
      <c r="F96" s="133" t="s">
        <v>23</v>
      </c>
      <c r="G96" s="63"/>
      <c r="H96" s="64">
        <v>42992</v>
      </c>
      <c r="I96" s="184">
        <v>10400000</v>
      </c>
      <c r="J96" s="62" t="s">
        <v>725</v>
      </c>
      <c r="K96" s="62" t="s">
        <v>620</v>
      </c>
      <c r="L96" s="62"/>
      <c r="M96" s="87" t="s">
        <v>76</v>
      </c>
      <c r="N96" s="88" t="s">
        <v>703</v>
      </c>
      <c r="O96" s="86">
        <f>I96*0.2</f>
        <v>2080000</v>
      </c>
      <c r="P96" s="86"/>
      <c r="Q96" s="93" t="s">
        <v>656</v>
      </c>
      <c r="R96" s="86">
        <f>I96*0.6</f>
        <v>6240000</v>
      </c>
      <c r="S96" s="86"/>
      <c r="T96" s="93" t="s">
        <v>617</v>
      </c>
      <c r="U96" s="86">
        <f>I96*0.1</f>
        <v>1040000</v>
      </c>
      <c r="V96" s="86"/>
      <c r="W96" s="93" t="s">
        <v>596</v>
      </c>
      <c r="X96" s="86">
        <f>I96*0.1</f>
        <v>1040000</v>
      </c>
      <c r="Y96" s="86"/>
      <c r="Z96" s="93"/>
      <c r="AA96" s="86"/>
      <c r="AB96" s="86"/>
      <c r="AC96" s="93"/>
      <c r="AD96" s="86"/>
      <c r="AE96" s="86"/>
      <c r="AF96" s="93"/>
      <c r="AG96" s="86"/>
      <c r="AH96" s="86"/>
      <c r="AI96" s="93"/>
      <c r="AJ96" s="86"/>
      <c r="AK96" s="107"/>
      <c r="AL96" s="108">
        <f t="shared" si="16"/>
        <v>0</v>
      </c>
      <c r="AM96" s="109">
        <f t="shared" si="17"/>
        <v>10400000</v>
      </c>
      <c r="AN96" s="110">
        <f t="shared" si="18"/>
        <v>0</v>
      </c>
      <c r="AO96" s="109">
        <f t="shared" si="19"/>
        <v>10400000</v>
      </c>
      <c r="AP96" s="117" t="str">
        <f t="shared" si="20"/>
        <v>数据正确</v>
      </c>
    </row>
    <row r="97" s="37" customFormat="1" customHeight="1" spans="1:42">
      <c r="A97" s="37" t="str">
        <f t="shared" ref="A97:A141" si="22">IF(AN97=100%,"已完毕","")</f>
        <v/>
      </c>
      <c r="C97" s="37" t="s">
        <v>84</v>
      </c>
      <c r="D97" s="61">
        <v>244</v>
      </c>
      <c r="E97" s="62" t="s">
        <v>726</v>
      </c>
      <c r="F97" s="133" t="s">
        <v>23</v>
      </c>
      <c r="G97" s="63"/>
      <c r="H97" s="64">
        <v>42983</v>
      </c>
      <c r="I97" s="184">
        <v>3938</v>
      </c>
      <c r="J97" s="62" t="s">
        <v>727</v>
      </c>
      <c r="K97" s="62" t="s">
        <v>728</v>
      </c>
      <c r="L97" s="62"/>
      <c r="M97" s="87" t="s">
        <v>76</v>
      </c>
      <c r="N97" s="88" t="s">
        <v>729</v>
      </c>
      <c r="O97" s="86">
        <f>I97</f>
        <v>3938</v>
      </c>
      <c r="P97" s="86"/>
      <c r="Q97" s="93"/>
      <c r="R97" s="86"/>
      <c r="S97" s="86"/>
      <c r="T97" s="93"/>
      <c r="U97" s="86"/>
      <c r="V97" s="86"/>
      <c r="W97" s="93"/>
      <c r="X97" s="86"/>
      <c r="Y97" s="86"/>
      <c r="Z97" s="93"/>
      <c r="AA97" s="86"/>
      <c r="AB97" s="86"/>
      <c r="AC97" s="93"/>
      <c r="AD97" s="86"/>
      <c r="AE97" s="86"/>
      <c r="AF97" s="93"/>
      <c r="AG97" s="86"/>
      <c r="AH97" s="86"/>
      <c r="AI97" s="93"/>
      <c r="AJ97" s="86"/>
      <c r="AK97" s="107"/>
      <c r="AL97" s="108">
        <f t="shared" ref="AL97:AL141" si="23">P97+S97+V97+Y97+AB97+AE97+AH97+AK97</f>
        <v>0</v>
      </c>
      <c r="AM97" s="109">
        <f t="shared" ref="AM97:AM141" si="24">I97-AL97</f>
        <v>3938</v>
      </c>
      <c r="AN97" s="110">
        <f t="shared" ref="AN97:AN141" si="25">AL97/I97</f>
        <v>0</v>
      </c>
      <c r="AO97" s="109">
        <f t="shared" ref="AO97:AO141" si="26">O97+R97+U97+X97+AA97+AD97+AG97+AJ97</f>
        <v>3938</v>
      </c>
      <c r="AP97" s="117" t="str">
        <f t="shared" ref="AP97:AP141" si="27">IF(AO97-I97=0,"数据正确","数据错误")</f>
        <v>数据正确</v>
      </c>
    </row>
    <row r="98" s="37" customFormat="1" customHeight="1" spans="1:42">
      <c r="A98" s="37" t="str">
        <f t="shared" si="22"/>
        <v/>
      </c>
      <c r="C98" s="37" t="s">
        <v>84</v>
      </c>
      <c r="D98" s="61">
        <v>240</v>
      </c>
      <c r="E98" s="62" t="s">
        <v>730</v>
      </c>
      <c r="F98" s="133" t="s">
        <v>23</v>
      </c>
      <c r="G98" s="63">
        <v>2017050021</v>
      </c>
      <c r="H98" s="64">
        <v>42955</v>
      </c>
      <c r="I98" s="184">
        <f>O98+R98+U98+X98</f>
        <v>6262200</v>
      </c>
      <c r="J98" s="62" t="s">
        <v>731</v>
      </c>
      <c r="K98" s="62" t="s">
        <v>732</v>
      </c>
      <c r="L98" s="62"/>
      <c r="M98" s="87" t="s">
        <v>528</v>
      </c>
      <c r="N98" s="88" t="s">
        <v>733</v>
      </c>
      <c r="O98" s="86">
        <v>1222200</v>
      </c>
      <c r="P98" s="86">
        <v>1222200</v>
      </c>
      <c r="Q98" s="93" t="s">
        <v>734</v>
      </c>
      <c r="R98" s="86">
        <v>4095000</v>
      </c>
      <c r="S98" s="86"/>
      <c r="T98" s="93" t="s">
        <v>672</v>
      </c>
      <c r="U98" s="86">
        <v>630000</v>
      </c>
      <c r="V98" s="86"/>
      <c r="W98" s="93" t="s">
        <v>735</v>
      </c>
      <c r="X98" s="86">
        <v>315000</v>
      </c>
      <c r="Y98" s="86"/>
      <c r="Z98" s="93"/>
      <c r="AA98" s="86"/>
      <c r="AB98" s="86"/>
      <c r="AC98" s="93"/>
      <c r="AD98" s="86"/>
      <c r="AE98" s="86"/>
      <c r="AF98" s="93"/>
      <c r="AG98" s="86"/>
      <c r="AH98" s="86"/>
      <c r="AI98" s="93"/>
      <c r="AJ98" s="86"/>
      <c r="AK98" s="107"/>
      <c r="AL98" s="108">
        <f t="shared" si="23"/>
        <v>1222200</v>
      </c>
      <c r="AM98" s="109">
        <f t="shared" si="24"/>
        <v>5040000</v>
      </c>
      <c r="AN98" s="110">
        <f t="shared" si="25"/>
        <v>0.195171026156942</v>
      </c>
      <c r="AO98" s="109">
        <f t="shared" si="26"/>
        <v>6262200</v>
      </c>
      <c r="AP98" s="117" t="str">
        <f t="shared" si="27"/>
        <v>数据正确</v>
      </c>
    </row>
    <row r="99" customHeight="1" spans="1:42">
      <c r="A99" s="37" t="str">
        <f t="shared" si="22"/>
        <v/>
      </c>
      <c r="C99" s="37" t="s">
        <v>84</v>
      </c>
      <c r="D99" s="61">
        <v>247</v>
      </c>
      <c r="E99" s="62" t="s">
        <v>736</v>
      </c>
      <c r="F99" s="133" t="s">
        <v>23</v>
      </c>
      <c r="G99" s="63">
        <v>2017070056</v>
      </c>
      <c r="H99" s="64">
        <v>42986</v>
      </c>
      <c r="I99" s="184">
        <v>10500000</v>
      </c>
      <c r="J99" s="62" t="s">
        <v>737</v>
      </c>
      <c r="K99" s="62" t="s">
        <v>738</v>
      </c>
      <c r="L99" s="62"/>
      <c r="M99" s="87" t="s">
        <v>739</v>
      </c>
      <c r="N99" s="88" t="s">
        <v>740</v>
      </c>
      <c r="O99" s="86">
        <f t="shared" ref="O99:O107" si="28">I99*0.2</f>
        <v>2100000</v>
      </c>
      <c r="P99" s="86">
        <v>2100000</v>
      </c>
      <c r="Q99" s="93" t="s">
        <v>741</v>
      </c>
      <c r="R99" s="86">
        <f>I99*0.6</f>
        <v>6300000</v>
      </c>
      <c r="S99" s="86"/>
      <c r="T99" s="93" t="s">
        <v>742</v>
      </c>
      <c r="U99" s="86">
        <f>I99*0.1</f>
        <v>1050000</v>
      </c>
      <c r="V99" s="86"/>
      <c r="W99" s="93" t="s">
        <v>743</v>
      </c>
      <c r="X99" s="86">
        <f t="shared" ref="X99:X105" si="29">I99*0.1</f>
        <v>1050000</v>
      </c>
      <c r="Y99" s="86"/>
      <c r="Z99" s="93"/>
      <c r="AA99" s="86"/>
      <c r="AB99" s="86"/>
      <c r="AC99" s="93"/>
      <c r="AD99" s="86"/>
      <c r="AE99" s="86"/>
      <c r="AF99" s="93"/>
      <c r="AG99" s="86"/>
      <c r="AH99" s="86"/>
      <c r="AI99" s="93"/>
      <c r="AJ99" s="86"/>
      <c r="AK99" s="107"/>
      <c r="AL99" s="108">
        <f t="shared" si="23"/>
        <v>2100000</v>
      </c>
      <c r="AM99" s="109">
        <f t="shared" si="24"/>
        <v>8400000</v>
      </c>
      <c r="AN99" s="110">
        <f t="shared" si="25"/>
        <v>0.2</v>
      </c>
      <c r="AO99" s="109">
        <f t="shared" si="26"/>
        <v>10500000</v>
      </c>
      <c r="AP99" s="117" t="str">
        <f t="shared" si="27"/>
        <v>数据正确</v>
      </c>
    </row>
    <row r="100" s="37" customFormat="1" customHeight="1" spans="1:42">
      <c r="A100" s="37" t="str">
        <f t="shared" si="22"/>
        <v/>
      </c>
      <c r="C100" s="37" t="s">
        <v>84</v>
      </c>
      <c r="D100" s="61">
        <v>248</v>
      </c>
      <c r="E100" s="62" t="s">
        <v>744</v>
      </c>
      <c r="F100" s="133" t="s">
        <v>23</v>
      </c>
      <c r="G100" s="63">
        <v>2017060009</v>
      </c>
      <c r="H100" s="64">
        <v>42921</v>
      </c>
      <c r="I100" s="184">
        <v>350000</v>
      </c>
      <c r="J100" s="62" t="s">
        <v>745</v>
      </c>
      <c r="K100" s="62" t="s">
        <v>649</v>
      </c>
      <c r="L100" s="62"/>
      <c r="M100" s="87" t="s">
        <v>558</v>
      </c>
      <c r="N100" s="88" t="s">
        <v>703</v>
      </c>
      <c r="O100" s="86">
        <f t="shared" si="28"/>
        <v>70000</v>
      </c>
      <c r="P100" s="86"/>
      <c r="Q100" s="93" t="s">
        <v>746</v>
      </c>
      <c r="R100" s="86">
        <f>I100*0.4</f>
        <v>140000</v>
      </c>
      <c r="S100" s="86"/>
      <c r="T100" s="93" t="s">
        <v>595</v>
      </c>
      <c r="U100" s="86">
        <f>I100*0.3</f>
        <v>105000</v>
      </c>
      <c r="V100" s="86"/>
      <c r="W100" s="93" t="s">
        <v>743</v>
      </c>
      <c r="X100" s="86">
        <f t="shared" si="29"/>
        <v>35000</v>
      </c>
      <c r="Y100" s="86"/>
      <c r="Z100" s="93"/>
      <c r="AA100" s="86"/>
      <c r="AB100" s="86"/>
      <c r="AC100" s="93"/>
      <c r="AD100" s="86"/>
      <c r="AE100" s="86"/>
      <c r="AF100" s="93"/>
      <c r="AG100" s="86"/>
      <c r="AH100" s="86"/>
      <c r="AI100" s="93"/>
      <c r="AJ100" s="86"/>
      <c r="AK100" s="107"/>
      <c r="AL100" s="108">
        <f t="shared" si="23"/>
        <v>0</v>
      </c>
      <c r="AM100" s="109">
        <f t="shared" si="24"/>
        <v>350000</v>
      </c>
      <c r="AN100" s="110">
        <f t="shared" si="25"/>
        <v>0</v>
      </c>
      <c r="AO100" s="109">
        <f t="shared" si="26"/>
        <v>350000</v>
      </c>
      <c r="AP100" s="117" t="str">
        <f t="shared" si="27"/>
        <v>数据正确</v>
      </c>
    </row>
    <row r="101" s="37" customFormat="1" customHeight="1" spans="1:42">
      <c r="A101" s="37" t="str">
        <f t="shared" si="22"/>
        <v/>
      </c>
      <c r="D101" s="61">
        <v>249</v>
      </c>
      <c r="E101" s="62" t="s">
        <v>747</v>
      </c>
      <c r="F101" s="133" t="s">
        <v>23</v>
      </c>
      <c r="G101" s="63">
        <v>2017060043</v>
      </c>
      <c r="H101" s="64">
        <v>42929</v>
      </c>
      <c r="I101" s="184">
        <v>3395000</v>
      </c>
      <c r="J101" s="62" t="s">
        <v>748</v>
      </c>
      <c r="K101" s="62" t="s">
        <v>749</v>
      </c>
      <c r="L101" s="62"/>
      <c r="M101" s="87" t="s">
        <v>76</v>
      </c>
      <c r="N101" s="88" t="s">
        <v>664</v>
      </c>
      <c r="O101" s="86">
        <f t="shared" si="28"/>
        <v>679000</v>
      </c>
      <c r="P101" s="86"/>
      <c r="Q101" s="93" t="s">
        <v>746</v>
      </c>
      <c r="R101" s="86">
        <f>I101*0.4</f>
        <v>1358000</v>
      </c>
      <c r="S101" s="86"/>
      <c r="T101" s="93" t="s">
        <v>595</v>
      </c>
      <c r="U101" s="86">
        <f>I101*0.3</f>
        <v>1018500</v>
      </c>
      <c r="V101" s="86"/>
      <c r="W101" s="93" t="s">
        <v>743</v>
      </c>
      <c r="X101" s="86">
        <f t="shared" si="29"/>
        <v>339500</v>
      </c>
      <c r="Y101" s="86"/>
      <c r="Z101" s="93"/>
      <c r="AA101" s="86"/>
      <c r="AB101" s="86"/>
      <c r="AC101" s="93"/>
      <c r="AD101" s="86"/>
      <c r="AE101" s="86"/>
      <c r="AF101" s="93"/>
      <c r="AG101" s="86"/>
      <c r="AH101" s="86"/>
      <c r="AI101" s="93"/>
      <c r="AJ101" s="86"/>
      <c r="AK101" s="107"/>
      <c r="AL101" s="108">
        <f t="shared" si="23"/>
        <v>0</v>
      </c>
      <c r="AM101" s="109">
        <f t="shared" si="24"/>
        <v>3395000</v>
      </c>
      <c r="AN101" s="110">
        <f t="shared" si="25"/>
        <v>0</v>
      </c>
      <c r="AO101" s="109">
        <f t="shared" si="26"/>
        <v>3395000</v>
      </c>
      <c r="AP101" s="117" t="str">
        <f t="shared" si="27"/>
        <v>数据正确</v>
      </c>
    </row>
    <row r="102" s="37" customFormat="1" customHeight="1" spans="1:42">
      <c r="A102" s="37" t="str">
        <f t="shared" si="22"/>
        <v/>
      </c>
      <c r="C102" s="37" t="s">
        <v>84</v>
      </c>
      <c r="D102" s="61">
        <v>250</v>
      </c>
      <c r="E102" s="62" t="s">
        <v>750</v>
      </c>
      <c r="F102" s="133" t="s">
        <v>23</v>
      </c>
      <c r="G102" s="63">
        <v>2017070006</v>
      </c>
      <c r="H102" s="64">
        <v>42981</v>
      </c>
      <c r="I102" s="184">
        <v>11000000</v>
      </c>
      <c r="J102" s="62" t="s">
        <v>751</v>
      </c>
      <c r="K102" s="62" t="s">
        <v>752</v>
      </c>
      <c r="L102" s="62"/>
      <c r="M102" s="87" t="s">
        <v>537</v>
      </c>
      <c r="N102" s="88" t="s">
        <v>753</v>
      </c>
      <c r="O102" s="86">
        <f t="shared" si="28"/>
        <v>2200000</v>
      </c>
      <c r="P102" s="86"/>
      <c r="Q102" s="93" t="s">
        <v>746</v>
      </c>
      <c r="R102" s="86">
        <f>I102*0.4</f>
        <v>4400000</v>
      </c>
      <c r="S102" s="86"/>
      <c r="T102" s="93" t="s">
        <v>595</v>
      </c>
      <c r="U102" s="86">
        <f>I102*0.3</f>
        <v>3300000</v>
      </c>
      <c r="V102" s="86"/>
      <c r="W102" s="93" t="s">
        <v>743</v>
      </c>
      <c r="X102" s="86">
        <f t="shared" si="29"/>
        <v>1100000</v>
      </c>
      <c r="Y102" s="86"/>
      <c r="Z102" s="93"/>
      <c r="AA102" s="86"/>
      <c r="AB102" s="86"/>
      <c r="AC102" s="93"/>
      <c r="AD102" s="86"/>
      <c r="AE102" s="86"/>
      <c r="AF102" s="93"/>
      <c r="AG102" s="86"/>
      <c r="AH102" s="86"/>
      <c r="AI102" s="93"/>
      <c r="AJ102" s="86"/>
      <c r="AK102" s="107"/>
      <c r="AL102" s="108">
        <f t="shared" si="23"/>
        <v>0</v>
      </c>
      <c r="AM102" s="109">
        <f t="shared" si="24"/>
        <v>11000000</v>
      </c>
      <c r="AN102" s="110">
        <f t="shared" si="25"/>
        <v>0</v>
      </c>
      <c r="AO102" s="109">
        <f t="shared" si="26"/>
        <v>11000000</v>
      </c>
      <c r="AP102" s="117" t="str">
        <f t="shared" si="27"/>
        <v>数据正确</v>
      </c>
    </row>
    <row r="103" s="37" customFormat="1" customHeight="1" spans="1:42">
      <c r="A103" s="37" t="str">
        <f t="shared" si="22"/>
        <v/>
      </c>
      <c r="C103" s="37" t="s">
        <v>84</v>
      </c>
      <c r="D103" s="61">
        <v>251</v>
      </c>
      <c r="E103" s="62" t="s">
        <v>754</v>
      </c>
      <c r="F103" s="133" t="s">
        <v>23</v>
      </c>
      <c r="G103" s="63">
        <v>2017060070</v>
      </c>
      <c r="H103" s="64">
        <v>42963</v>
      </c>
      <c r="I103" s="184">
        <v>617800</v>
      </c>
      <c r="J103" s="62" t="s">
        <v>755</v>
      </c>
      <c r="K103" s="62" t="s">
        <v>756</v>
      </c>
      <c r="L103" s="62"/>
      <c r="M103" s="87" t="s">
        <v>537</v>
      </c>
      <c r="N103" s="88" t="s">
        <v>753</v>
      </c>
      <c r="O103" s="86">
        <f t="shared" si="28"/>
        <v>123560</v>
      </c>
      <c r="P103" s="86"/>
      <c r="Q103" s="93" t="s">
        <v>746</v>
      </c>
      <c r="R103" s="86">
        <f>I103*0.4</f>
        <v>247120</v>
      </c>
      <c r="S103" s="86"/>
      <c r="T103" s="93" t="s">
        <v>595</v>
      </c>
      <c r="U103" s="86">
        <f>I103*0.3</f>
        <v>185340</v>
      </c>
      <c r="V103" s="86"/>
      <c r="W103" s="93" t="s">
        <v>743</v>
      </c>
      <c r="X103" s="86">
        <f t="shared" si="29"/>
        <v>61780</v>
      </c>
      <c r="Y103" s="86"/>
      <c r="Z103" s="93"/>
      <c r="AA103" s="86"/>
      <c r="AB103" s="86"/>
      <c r="AC103" s="93"/>
      <c r="AD103" s="86"/>
      <c r="AE103" s="86"/>
      <c r="AF103" s="93"/>
      <c r="AG103" s="86"/>
      <c r="AH103" s="86"/>
      <c r="AI103" s="93"/>
      <c r="AJ103" s="86"/>
      <c r="AK103" s="107"/>
      <c r="AL103" s="108">
        <f t="shared" si="23"/>
        <v>0</v>
      </c>
      <c r="AM103" s="109">
        <f t="shared" si="24"/>
        <v>617800</v>
      </c>
      <c r="AN103" s="110">
        <f t="shared" si="25"/>
        <v>0</v>
      </c>
      <c r="AO103" s="109">
        <f t="shared" si="26"/>
        <v>617800</v>
      </c>
      <c r="AP103" s="117" t="str">
        <f t="shared" si="27"/>
        <v>数据正确</v>
      </c>
    </row>
    <row r="104" s="37" customFormat="1" customHeight="1" spans="1:42">
      <c r="A104" s="37" t="str">
        <f t="shared" si="22"/>
        <v/>
      </c>
      <c r="C104" s="37" t="s">
        <v>84</v>
      </c>
      <c r="D104" s="61">
        <v>252</v>
      </c>
      <c r="E104" s="62" t="s">
        <v>757</v>
      </c>
      <c r="F104" s="133" t="s">
        <v>23</v>
      </c>
      <c r="G104" s="63">
        <v>2017070049</v>
      </c>
      <c r="H104" s="64">
        <v>42965</v>
      </c>
      <c r="I104" s="184">
        <v>1346000</v>
      </c>
      <c r="J104" s="62" t="s">
        <v>758</v>
      </c>
      <c r="K104" s="62" t="s">
        <v>467</v>
      </c>
      <c r="L104" s="62"/>
      <c r="M104" s="87" t="s">
        <v>558</v>
      </c>
      <c r="N104" s="88" t="s">
        <v>753</v>
      </c>
      <c r="O104" s="86">
        <f t="shared" si="28"/>
        <v>269200</v>
      </c>
      <c r="P104" s="86"/>
      <c r="Q104" s="93" t="s">
        <v>746</v>
      </c>
      <c r="R104" s="86">
        <f>I104*0.4</f>
        <v>538400</v>
      </c>
      <c r="S104" s="86"/>
      <c r="T104" s="93" t="s">
        <v>595</v>
      </c>
      <c r="U104" s="86">
        <f>I104*0.3</f>
        <v>403800</v>
      </c>
      <c r="V104" s="86"/>
      <c r="W104" s="93" t="s">
        <v>743</v>
      </c>
      <c r="X104" s="86">
        <f t="shared" si="29"/>
        <v>134600</v>
      </c>
      <c r="Y104" s="86"/>
      <c r="Z104" s="93"/>
      <c r="AA104" s="86"/>
      <c r="AB104" s="86"/>
      <c r="AC104" s="93"/>
      <c r="AD104" s="86"/>
      <c r="AE104" s="86"/>
      <c r="AF104" s="93"/>
      <c r="AG104" s="86"/>
      <c r="AH104" s="86"/>
      <c r="AI104" s="93"/>
      <c r="AJ104" s="86"/>
      <c r="AK104" s="107"/>
      <c r="AL104" s="108">
        <f t="shared" si="23"/>
        <v>0</v>
      </c>
      <c r="AM104" s="109">
        <f t="shared" si="24"/>
        <v>1346000</v>
      </c>
      <c r="AN104" s="110">
        <f t="shared" si="25"/>
        <v>0</v>
      </c>
      <c r="AO104" s="109">
        <f t="shared" si="26"/>
        <v>1346000</v>
      </c>
      <c r="AP104" s="117" t="str">
        <f t="shared" si="27"/>
        <v>数据正确</v>
      </c>
    </row>
    <row r="105" s="37" customFormat="1" customHeight="1" spans="1:42">
      <c r="A105" s="37" t="str">
        <f t="shared" si="22"/>
        <v/>
      </c>
      <c r="C105" s="37" t="s">
        <v>84</v>
      </c>
      <c r="D105" s="61">
        <v>253</v>
      </c>
      <c r="E105" s="62" t="s">
        <v>759</v>
      </c>
      <c r="F105" s="133" t="s">
        <v>23</v>
      </c>
      <c r="G105" s="63">
        <v>2017080045</v>
      </c>
      <c r="H105" s="64">
        <v>42983</v>
      </c>
      <c r="I105" s="184">
        <v>6000000</v>
      </c>
      <c r="J105" s="62" t="s">
        <v>760</v>
      </c>
      <c r="K105" s="62" t="s">
        <v>614</v>
      </c>
      <c r="L105" s="62"/>
      <c r="M105" s="87" t="s">
        <v>76</v>
      </c>
      <c r="N105" s="88" t="s">
        <v>753</v>
      </c>
      <c r="O105" s="86">
        <f t="shared" si="28"/>
        <v>1200000</v>
      </c>
      <c r="P105" s="86"/>
      <c r="Q105" s="93" t="s">
        <v>761</v>
      </c>
      <c r="R105" s="86">
        <f>I105*0.6</f>
        <v>3600000</v>
      </c>
      <c r="S105" s="86"/>
      <c r="T105" s="93" t="s">
        <v>672</v>
      </c>
      <c r="U105" s="86">
        <f>I105*0.1</f>
        <v>600000</v>
      </c>
      <c r="V105" s="86"/>
      <c r="W105" s="93" t="s">
        <v>743</v>
      </c>
      <c r="X105" s="86">
        <f t="shared" si="29"/>
        <v>600000</v>
      </c>
      <c r="Y105" s="86"/>
      <c r="Z105" s="93"/>
      <c r="AA105" s="86"/>
      <c r="AB105" s="86"/>
      <c r="AC105" s="93"/>
      <c r="AD105" s="86"/>
      <c r="AE105" s="86"/>
      <c r="AF105" s="93"/>
      <c r="AG105" s="86"/>
      <c r="AH105" s="86"/>
      <c r="AI105" s="93"/>
      <c r="AJ105" s="86"/>
      <c r="AK105" s="107"/>
      <c r="AL105" s="108">
        <f t="shared" si="23"/>
        <v>0</v>
      </c>
      <c r="AM105" s="109">
        <f t="shared" si="24"/>
        <v>6000000</v>
      </c>
      <c r="AN105" s="110">
        <f t="shared" si="25"/>
        <v>0</v>
      </c>
      <c r="AO105" s="109">
        <f t="shared" si="26"/>
        <v>6000000</v>
      </c>
      <c r="AP105" s="117" t="str">
        <f t="shared" si="27"/>
        <v>数据正确</v>
      </c>
    </row>
    <row r="106" s="37" customFormat="1" customHeight="1" spans="1:42">
      <c r="A106" s="37" t="str">
        <f t="shared" si="22"/>
        <v/>
      </c>
      <c r="C106" s="37" t="s">
        <v>84</v>
      </c>
      <c r="D106" s="61">
        <v>254</v>
      </c>
      <c r="E106" s="62" t="s">
        <v>762</v>
      </c>
      <c r="F106" s="133" t="s">
        <v>23</v>
      </c>
      <c r="G106" s="63">
        <v>2017080008</v>
      </c>
      <c r="H106" s="64">
        <v>42993</v>
      </c>
      <c r="I106" s="184">
        <v>970000</v>
      </c>
      <c r="J106" s="62" t="s">
        <v>763</v>
      </c>
      <c r="K106" s="62" t="s">
        <v>764</v>
      </c>
      <c r="L106" s="62"/>
      <c r="M106" s="87" t="s">
        <v>76</v>
      </c>
      <c r="N106" s="88" t="s">
        <v>753</v>
      </c>
      <c r="O106" s="86">
        <f t="shared" si="28"/>
        <v>194000</v>
      </c>
      <c r="P106" s="86"/>
      <c r="Q106" s="93" t="s">
        <v>761</v>
      </c>
      <c r="R106" s="86">
        <f>I106*0.6</f>
        <v>582000</v>
      </c>
      <c r="S106" s="86"/>
      <c r="T106" s="93" t="s">
        <v>765</v>
      </c>
      <c r="U106" s="86">
        <f>I106*0.2</f>
        <v>194000</v>
      </c>
      <c r="V106" s="86"/>
      <c r="W106" s="93"/>
      <c r="X106" s="86"/>
      <c r="Y106" s="86"/>
      <c r="Z106" s="93"/>
      <c r="AA106" s="86"/>
      <c r="AB106" s="86"/>
      <c r="AC106" s="93"/>
      <c r="AD106" s="86"/>
      <c r="AE106" s="86"/>
      <c r="AF106" s="93"/>
      <c r="AG106" s="86"/>
      <c r="AH106" s="86"/>
      <c r="AI106" s="93"/>
      <c r="AJ106" s="86"/>
      <c r="AK106" s="107"/>
      <c r="AL106" s="108">
        <f t="shared" si="23"/>
        <v>0</v>
      </c>
      <c r="AM106" s="109">
        <f t="shared" si="24"/>
        <v>970000</v>
      </c>
      <c r="AN106" s="110">
        <f t="shared" si="25"/>
        <v>0</v>
      </c>
      <c r="AO106" s="109">
        <f t="shared" si="26"/>
        <v>970000</v>
      </c>
      <c r="AP106" s="117" t="str">
        <f t="shared" si="27"/>
        <v>数据正确</v>
      </c>
    </row>
    <row r="107" s="37" customFormat="1" customHeight="1" spans="1:42">
      <c r="A107" s="37" t="str">
        <f t="shared" si="22"/>
        <v/>
      </c>
      <c r="C107" s="37" t="s">
        <v>84</v>
      </c>
      <c r="D107" s="61">
        <v>255</v>
      </c>
      <c r="E107" s="62" t="s">
        <v>766</v>
      </c>
      <c r="F107" s="133" t="s">
        <v>23</v>
      </c>
      <c r="G107" s="63">
        <v>2017080051</v>
      </c>
      <c r="H107" s="64">
        <v>42991</v>
      </c>
      <c r="I107" s="184">
        <v>760000</v>
      </c>
      <c r="J107" s="62" t="s">
        <v>767</v>
      </c>
      <c r="K107" s="62" t="s">
        <v>768</v>
      </c>
      <c r="L107" s="62"/>
      <c r="M107" s="87" t="s">
        <v>76</v>
      </c>
      <c r="N107" s="88" t="s">
        <v>753</v>
      </c>
      <c r="O107" s="86">
        <f t="shared" si="28"/>
        <v>152000</v>
      </c>
      <c r="P107" s="86"/>
      <c r="Q107" s="93" t="s">
        <v>746</v>
      </c>
      <c r="R107" s="86">
        <f>I107*0.4</f>
        <v>304000</v>
      </c>
      <c r="S107" s="86"/>
      <c r="T107" s="93" t="s">
        <v>595</v>
      </c>
      <c r="U107" s="86">
        <f>I107*0.3</f>
        <v>228000</v>
      </c>
      <c r="V107" s="86"/>
      <c r="W107" s="93" t="s">
        <v>743</v>
      </c>
      <c r="X107" s="86">
        <f>I107*0.1</f>
        <v>76000</v>
      </c>
      <c r="Y107" s="86"/>
      <c r="Z107" s="93"/>
      <c r="AA107" s="86"/>
      <c r="AB107" s="86"/>
      <c r="AC107" s="93"/>
      <c r="AD107" s="86"/>
      <c r="AE107" s="86"/>
      <c r="AF107" s="93"/>
      <c r="AG107" s="86"/>
      <c r="AH107" s="86"/>
      <c r="AI107" s="93"/>
      <c r="AJ107" s="86"/>
      <c r="AK107" s="107"/>
      <c r="AL107" s="108">
        <f t="shared" si="23"/>
        <v>0</v>
      </c>
      <c r="AM107" s="109">
        <f t="shared" si="24"/>
        <v>760000</v>
      </c>
      <c r="AN107" s="110">
        <f t="shared" si="25"/>
        <v>0</v>
      </c>
      <c r="AO107" s="109">
        <f t="shared" si="26"/>
        <v>760000</v>
      </c>
      <c r="AP107" s="117" t="str">
        <f t="shared" si="27"/>
        <v>数据正确</v>
      </c>
    </row>
    <row r="108" customHeight="1" spans="1:42">
      <c r="A108" s="37" t="e">
        <f t="shared" si="22"/>
        <v>#DIV/0!</v>
      </c>
      <c r="D108" s="61"/>
      <c r="E108" s="62"/>
      <c r="F108" s="133"/>
      <c r="G108" s="63"/>
      <c r="H108" s="64"/>
      <c r="I108" s="184"/>
      <c r="J108" s="62"/>
      <c r="K108" s="62"/>
      <c r="L108" s="62"/>
      <c r="M108" s="87"/>
      <c r="N108" s="88"/>
      <c r="O108" s="86"/>
      <c r="P108" s="86"/>
      <c r="Q108" s="93"/>
      <c r="R108" s="86"/>
      <c r="S108" s="86"/>
      <c r="T108" s="93"/>
      <c r="U108" s="86"/>
      <c r="V108" s="86"/>
      <c r="W108" s="93"/>
      <c r="X108" s="86"/>
      <c r="Y108" s="86"/>
      <c r="Z108" s="93"/>
      <c r="AA108" s="86"/>
      <c r="AB108" s="86"/>
      <c r="AC108" s="93"/>
      <c r="AD108" s="86"/>
      <c r="AE108" s="86"/>
      <c r="AF108" s="93"/>
      <c r="AG108" s="86"/>
      <c r="AH108" s="86"/>
      <c r="AI108" s="93"/>
      <c r="AJ108" s="86"/>
      <c r="AK108" s="107"/>
      <c r="AL108" s="108">
        <f t="shared" si="23"/>
        <v>0</v>
      </c>
      <c r="AM108" s="109">
        <f t="shared" si="24"/>
        <v>0</v>
      </c>
      <c r="AN108" s="110" t="e">
        <f t="shared" si="25"/>
        <v>#DIV/0!</v>
      </c>
      <c r="AO108" s="109">
        <f t="shared" si="26"/>
        <v>0</v>
      </c>
      <c r="AP108" s="117" t="str">
        <f t="shared" si="27"/>
        <v>数据正确</v>
      </c>
    </row>
    <row r="109" customHeight="1" spans="1:42">
      <c r="A109" s="37" t="e">
        <f t="shared" si="22"/>
        <v>#DIV/0!</v>
      </c>
      <c r="D109" s="61"/>
      <c r="E109" s="62"/>
      <c r="F109" s="133"/>
      <c r="G109" s="63"/>
      <c r="H109" s="64"/>
      <c r="I109" s="184"/>
      <c r="J109" s="62"/>
      <c r="K109" s="62"/>
      <c r="L109" s="62"/>
      <c r="M109" s="87"/>
      <c r="N109" s="88"/>
      <c r="O109" s="86"/>
      <c r="P109" s="86"/>
      <c r="Q109" s="93"/>
      <c r="R109" s="86"/>
      <c r="S109" s="86"/>
      <c r="T109" s="93"/>
      <c r="U109" s="86"/>
      <c r="V109" s="86"/>
      <c r="W109" s="93"/>
      <c r="X109" s="86"/>
      <c r="Y109" s="86"/>
      <c r="Z109" s="93"/>
      <c r="AA109" s="86"/>
      <c r="AB109" s="86"/>
      <c r="AC109" s="93"/>
      <c r="AD109" s="86"/>
      <c r="AE109" s="86"/>
      <c r="AF109" s="93"/>
      <c r="AG109" s="86"/>
      <c r="AH109" s="86"/>
      <c r="AI109" s="93"/>
      <c r="AJ109" s="86"/>
      <c r="AK109" s="107"/>
      <c r="AL109" s="108">
        <f t="shared" si="23"/>
        <v>0</v>
      </c>
      <c r="AM109" s="109">
        <f t="shared" si="24"/>
        <v>0</v>
      </c>
      <c r="AN109" s="110" t="e">
        <f t="shared" si="25"/>
        <v>#DIV/0!</v>
      </c>
      <c r="AO109" s="109">
        <f t="shared" si="26"/>
        <v>0</v>
      </c>
      <c r="AP109" s="117" t="str">
        <f t="shared" si="27"/>
        <v>数据正确</v>
      </c>
    </row>
    <row r="110" customHeight="1" spans="1:42">
      <c r="A110" s="37" t="e">
        <f t="shared" si="22"/>
        <v>#DIV/0!</v>
      </c>
      <c r="D110" s="61"/>
      <c r="E110" s="62"/>
      <c r="F110" s="133"/>
      <c r="G110" s="63"/>
      <c r="H110" s="64"/>
      <c r="I110" s="184"/>
      <c r="J110" s="62"/>
      <c r="K110" s="62"/>
      <c r="L110" s="62"/>
      <c r="M110" s="87"/>
      <c r="N110" s="88"/>
      <c r="O110" s="86"/>
      <c r="P110" s="86"/>
      <c r="Q110" s="93"/>
      <c r="R110" s="86"/>
      <c r="S110" s="86"/>
      <c r="T110" s="93"/>
      <c r="U110" s="86"/>
      <c r="V110" s="86"/>
      <c r="W110" s="93"/>
      <c r="X110" s="86"/>
      <c r="Y110" s="86"/>
      <c r="Z110" s="93"/>
      <c r="AA110" s="86"/>
      <c r="AB110" s="86"/>
      <c r="AC110" s="93"/>
      <c r="AD110" s="86"/>
      <c r="AE110" s="86"/>
      <c r="AF110" s="93"/>
      <c r="AG110" s="86"/>
      <c r="AH110" s="86"/>
      <c r="AI110" s="93"/>
      <c r="AJ110" s="86"/>
      <c r="AK110" s="107"/>
      <c r="AL110" s="108">
        <f t="shared" si="23"/>
        <v>0</v>
      </c>
      <c r="AM110" s="109">
        <f t="shared" si="24"/>
        <v>0</v>
      </c>
      <c r="AN110" s="110" t="e">
        <f t="shared" si="25"/>
        <v>#DIV/0!</v>
      </c>
      <c r="AO110" s="109">
        <f t="shared" si="26"/>
        <v>0</v>
      </c>
      <c r="AP110" s="117" t="str">
        <f t="shared" si="27"/>
        <v>数据正确</v>
      </c>
    </row>
    <row r="111" customHeight="1" spans="1:42">
      <c r="A111" s="37" t="e">
        <f t="shared" si="22"/>
        <v>#DIV/0!</v>
      </c>
      <c r="D111" s="61"/>
      <c r="E111" s="62"/>
      <c r="F111" s="133"/>
      <c r="G111" s="63"/>
      <c r="H111" s="64"/>
      <c r="I111" s="184"/>
      <c r="J111" s="62"/>
      <c r="K111" s="62"/>
      <c r="L111" s="62"/>
      <c r="M111" s="87"/>
      <c r="N111" s="88"/>
      <c r="O111" s="86"/>
      <c r="P111" s="86"/>
      <c r="Q111" s="93"/>
      <c r="R111" s="86"/>
      <c r="S111" s="86"/>
      <c r="T111" s="93"/>
      <c r="U111" s="86"/>
      <c r="V111" s="86"/>
      <c r="W111" s="93"/>
      <c r="X111" s="86"/>
      <c r="Y111" s="86"/>
      <c r="Z111" s="93"/>
      <c r="AA111" s="86"/>
      <c r="AB111" s="86"/>
      <c r="AC111" s="93"/>
      <c r="AD111" s="86"/>
      <c r="AE111" s="86"/>
      <c r="AF111" s="93"/>
      <c r="AG111" s="86"/>
      <c r="AH111" s="86"/>
      <c r="AI111" s="93"/>
      <c r="AJ111" s="86"/>
      <c r="AK111" s="107"/>
      <c r="AL111" s="108">
        <f t="shared" si="23"/>
        <v>0</v>
      </c>
      <c r="AM111" s="109">
        <f t="shared" si="24"/>
        <v>0</v>
      </c>
      <c r="AN111" s="110" t="e">
        <f t="shared" si="25"/>
        <v>#DIV/0!</v>
      </c>
      <c r="AO111" s="109">
        <f t="shared" si="26"/>
        <v>0</v>
      </c>
      <c r="AP111" s="117" t="str">
        <f t="shared" si="27"/>
        <v>数据正确</v>
      </c>
    </row>
    <row r="112" customHeight="1" spans="1:42">
      <c r="A112" s="37" t="e">
        <f t="shared" si="22"/>
        <v>#DIV/0!</v>
      </c>
      <c r="D112" s="61"/>
      <c r="E112" s="62"/>
      <c r="F112" s="63"/>
      <c r="G112" s="63"/>
      <c r="H112" s="64"/>
      <c r="I112" s="184"/>
      <c r="J112" s="62"/>
      <c r="K112" s="62"/>
      <c r="L112" s="62"/>
      <c r="M112" s="87"/>
      <c r="N112" s="88"/>
      <c r="O112" s="86"/>
      <c r="P112" s="86"/>
      <c r="Q112" s="93"/>
      <c r="R112" s="86"/>
      <c r="S112" s="86"/>
      <c r="T112" s="93"/>
      <c r="U112" s="86"/>
      <c r="V112" s="86"/>
      <c r="W112" s="93"/>
      <c r="X112" s="86"/>
      <c r="Y112" s="86"/>
      <c r="Z112" s="93"/>
      <c r="AA112" s="86"/>
      <c r="AB112" s="86"/>
      <c r="AC112" s="93"/>
      <c r="AD112" s="86"/>
      <c r="AE112" s="86"/>
      <c r="AF112" s="93"/>
      <c r="AG112" s="86"/>
      <c r="AH112" s="86"/>
      <c r="AI112" s="93"/>
      <c r="AJ112" s="86"/>
      <c r="AK112" s="107"/>
      <c r="AL112" s="108">
        <f t="shared" si="23"/>
        <v>0</v>
      </c>
      <c r="AM112" s="109">
        <f t="shared" si="24"/>
        <v>0</v>
      </c>
      <c r="AN112" s="110" t="e">
        <f t="shared" si="25"/>
        <v>#DIV/0!</v>
      </c>
      <c r="AO112" s="109">
        <f t="shared" si="26"/>
        <v>0</v>
      </c>
      <c r="AP112" s="117" t="str">
        <f t="shared" si="27"/>
        <v>数据正确</v>
      </c>
    </row>
    <row r="113" customHeight="1" spans="1:42">
      <c r="A113" s="37" t="e">
        <f t="shared" si="22"/>
        <v>#DIV/0!</v>
      </c>
      <c r="D113" s="61"/>
      <c r="E113" s="62"/>
      <c r="F113" s="63"/>
      <c r="G113" s="63"/>
      <c r="H113" s="64"/>
      <c r="I113" s="184"/>
      <c r="J113" s="62"/>
      <c r="K113" s="62"/>
      <c r="L113" s="62"/>
      <c r="M113" s="87"/>
      <c r="N113" s="88"/>
      <c r="O113" s="86"/>
      <c r="P113" s="86"/>
      <c r="Q113" s="93"/>
      <c r="R113" s="86"/>
      <c r="S113" s="86"/>
      <c r="T113" s="93"/>
      <c r="U113" s="86"/>
      <c r="V113" s="86"/>
      <c r="W113" s="93"/>
      <c r="X113" s="86"/>
      <c r="Y113" s="86"/>
      <c r="Z113" s="93"/>
      <c r="AA113" s="86"/>
      <c r="AB113" s="86"/>
      <c r="AC113" s="93"/>
      <c r="AD113" s="86"/>
      <c r="AE113" s="86"/>
      <c r="AF113" s="93"/>
      <c r="AG113" s="86"/>
      <c r="AH113" s="86"/>
      <c r="AI113" s="93"/>
      <c r="AJ113" s="86"/>
      <c r="AK113" s="107"/>
      <c r="AL113" s="108">
        <f t="shared" si="23"/>
        <v>0</v>
      </c>
      <c r="AM113" s="109">
        <f t="shared" si="24"/>
        <v>0</v>
      </c>
      <c r="AN113" s="110" t="e">
        <f t="shared" si="25"/>
        <v>#DIV/0!</v>
      </c>
      <c r="AO113" s="109">
        <f t="shared" si="26"/>
        <v>0</v>
      </c>
      <c r="AP113" s="117" t="str">
        <f t="shared" si="27"/>
        <v>数据正确</v>
      </c>
    </row>
    <row r="114" customHeight="1" spans="1:42">
      <c r="A114" s="37" t="e">
        <f t="shared" si="22"/>
        <v>#DIV/0!</v>
      </c>
      <c r="D114" s="61"/>
      <c r="E114" s="62"/>
      <c r="F114" s="63"/>
      <c r="G114" s="63"/>
      <c r="H114" s="64"/>
      <c r="I114" s="184"/>
      <c r="J114" s="62"/>
      <c r="K114" s="62"/>
      <c r="L114" s="62"/>
      <c r="M114" s="87"/>
      <c r="N114" s="88"/>
      <c r="O114" s="86"/>
      <c r="P114" s="86"/>
      <c r="Q114" s="93"/>
      <c r="R114" s="86"/>
      <c r="S114" s="86"/>
      <c r="T114" s="93"/>
      <c r="U114" s="86"/>
      <c r="V114" s="86"/>
      <c r="W114" s="93"/>
      <c r="X114" s="86"/>
      <c r="Y114" s="86"/>
      <c r="Z114" s="93"/>
      <c r="AA114" s="86"/>
      <c r="AB114" s="86"/>
      <c r="AC114" s="93"/>
      <c r="AD114" s="86"/>
      <c r="AE114" s="86"/>
      <c r="AF114" s="93"/>
      <c r="AG114" s="86"/>
      <c r="AH114" s="86"/>
      <c r="AI114" s="93"/>
      <c r="AJ114" s="86"/>
      <c r="AK114" s="107"/>
      <c r="AL114" s="108">
        <f t="shared" si="23"/>
        <v>0</v>
      </c>
      <c r="AM114" s="109">
        <f t="shared" si="24"/>
        <v>0</v>
      </c>
      <c r="AN114" s="110" t="e">
        <f t="shared" si="25"/>
        <v>#DIV/0!</v>
      </c>
      <c r="AO114" s="109">
        <f t="shared" si="26"/>
        <v>0</v>
      </c>
      <c r="AP114" s="117" t="str">
        <f t="shared" si="27"/>
        <v>数据正确</v>
      </c>
    </row>
  </sheetData>
  <mergeCells count="29">
    <mergeCell ref="E2:M2"/>
    <mergeCell ref="N2:AK2"/>
    <mergeCell ref="AL2:AP2"/>
    <mergeCell ref="N3:P3"/>
    <mergeCell ref="Q3:S3"/>
    <mergeCell ref="T3:V3"/>
    <mergeCell ref="W3:Y3"/>
    <mergeCell ref="Z3:AB3"/>
    <mergeCell ref="AC3:AE3"/>
    <mergeCell ref="AF3:AH3"/>
    <mergeCell ref="AI3:AK3"/>
    <mergeCell ref="A2:A5"/>
    <mergeCell ref="B2:B5"/>
    <mergeCell ref="C2:C5"/>
    <mergeCell ref="D2:D4"/>
    <mergeCell ref="E3:E4"/>
    <mergeCell ref="F3:F4"/>
    <mergeCell ref="G3:G4"/>
    <mergeCell ref="H3:H4"/>
    <mergeCell ref="I3:I4"/>
    <mergeCell ref="J3:J4"/>
    <mergeCell ref="K3:K4"/>
    <mergeCell ref="L3:L4"/>
    <mergeCell ref="M3:M4"/>
    <mergeCell ref="AL3:AL4"/>
    <mergeCell ref="AM3:AM4"/>
    <mergeCell ref="AN3:AN4"/>
    <mergeCell ref="AO3:AO4"/>
    <mergeCell ref="AP3:AP4"/>
  </mergeCells>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98"/>
  <sheetViews>
    <sheetView workbookViewId="0">
      <pane xSplit="10" ySplit="5" topLeftCell="K6" activePane="bottomRight" state="frozen"/>
      <selection/>
      <selection pane="topRight"/>
      <selection pane="bottomLeft"/>
      <selection pane="bottomRight" activeCell="G11" sqref="G11"/>
    </sheetView>
  </sheetViews>
  <sheetFormatPr defaultColWidth="9" defaultRowHeight="18" customHeight="1"/>
  <cols>
    <col min="1" max="3" width="5.125" style="37" customWidth="1"/>
    <col min="4" max="4" width="5.75" style="42" customWidth="1"/>
    <col min="5" max="5" width="16.25" style="37" customWidth="1"/>
    <col min="6" max="7" width="10.375" style="42" customWidth="1"/>
    <col min="8" max="8" width="12.125" style="42" customWidth="1"/>
    <col min="9" max="9" width="14" style="121" customWidth="1"/>
    <col min="10" max="10" width="22" style="37" customWidth="1"/>
    <col min="11" max="11" width="25.375" style="37" customWidth="1"/>
    <col min="12" max="12" width="9" style="37"/>
    <col min="13" max="13" width="10.375" style="37" customWidth="1"/>
    <col min="14" max="14" width="21.5" style="44" customWidth="1"/>
    <col min="15" max="15" width="13.125" style="43" customWidth="1"/>
    <col min="16" max="16" width="12.125" style="43" customWidth="1"/>
    <col min="17" max="17" width="12.625" style="44" customWidth="1"/>
    <col min="18" max="19" width="12.125" style="43" customWidth="1"/>
    <col min="20" max="20" width="8.375" style="44" customWidth="1"/>
    <col min="21" max="21" width="11.25" style="43" customWidth="1"/>
    <col min="22" max="22" width="11.125" style="43" customWidth="1"/>
    <col min="23" max="23" width="9.25" style="44" customWidth="1"/>
    <col min="24" max="24" width="12.125" style="43" customWidth="1"/>
    <col min="25" max="25" width="11.125" style="43" customWidth="1"/>
    <col min="26" max="26" width="9.75" style="44" customWidth="1"/>
    <col min="27" max="27" width="12.125" style="43" customWidth="1"/>
    <col min="28" max="28" width="8.875" style="43" customWidth="1"/>
    <col min="29" max="29" width="6.25" style="44" customWidth="1"/>
    <col min="30" max="30" width="10.375" style="43" customWidth="1"/>
    <col min="31" max="31" width="6.25" style="43" customWidth="1"/>
    <col min="32" max="32" width="6.25" style="44" customWidth="1"/>
    <col min="33" max="33" width="10.375" style="43" customWidth="1"/>
    <col min="34" max="34" width="6.25" style="43" customWidth="1"/>
    <col min="35" max="35" width="6.25" style="44" customWidth="1"/>
    <col min="36" max="36" width="13.125" style="43" customWidth="1"/>
    <col min="37" max="37" width="9.5" style="43" customWidth="1"/>
    <col min="38" max="39" width="13.125" style="43" customWidth="1"/>
    <col min="40" max="40" width="8.5" style="45" customWidth="1"/>
    <col min="41" max="41" width="18.875" style="43" customWidth="1"/>
    <col min="42" max="42" width="11.375" style="43" customWidth="1"/>
    <col min="43" max="43" width="8.125" style="37" customWidth="1"/>
    <col min="44" max="44" width="9.625" style="37"/>
    <col min="45" max="16384" width="9" style="37"/>
  </cols>
  <sheetData>
    <row r="1" s="37" customFormat="1" ht="5" customHeight="1" spans="4:42">
      <c r="D1" s="42"/>
      <c r="F1" s="42"/>
      <c r="G1" s="42"/>
      <c r="H1" s="42"/>
      <c r="I1" s="121"/>
      <c r="N1" s="44"/>
      <c r="O1" s="43"/>
      <c r="P1" s="43"/>
      <c r="Q1" s="44"/>
      <c r="R1" s="43"/>
      <c r="S1" s="43"/>
      <c r="T1" s="44"/>
      <c r="U1" s="43"/>
      <c r="V1" s="43"/>
      <c r="W1" s="44"/>
      <c r="X1" s="43"/>
      <c r="Y1" s="43"/>
      <c r="Z1" s="44"/>
      <c r="AA1" s="43"/>
      <c r="AB1" s="43"/>
      <c r="AC1" s="44"/>
      <c r="AD1" s="43"/>
      <c r="AE1" s="43"/>
      <c r="AF1" s="44"/>
      <c r="AG1" s="43"/>
      <c r="AH1" s="43"/>
      <c r="AI1" s="44"/>
      <c r="AJ1" s="43"/>
      <c r="AK1" s="43"/>
      <c r="AL1" s="43"/>
      <c r="AM1" s="43"/>
      <c r="AN1" s="45"/>
      <c r="AO1" s="43"/>
      <c r="AP1" s="43"/>
    </row>
    <row r="2" s="38" customFormat="1" ht="24" customHeight="1" spans="1:42">
      <c r="A2" s="46" t="s">
        <v>47</v>
      </c>
      <c r="B2" s="46" t="s">
        <v>77</v>
      </c>
      <c r="C2" s="46" t="s">
        <v>78</v>
      </c>
      <c r="D2" s="47" t="s">
        <v>48</v>
      </c>
      <c r="E2" s="48" t="s">
        <v>769</v>
      </c>
      <c r="F2" s="48"/>
      <c r="G2" s="48"/>
      <c r="H2" s="48"/>
      <c r="I2" s="139"/>
      <c r="J2" s="48"/>
      <c r="K2" s="48"/>
      <c r="L2" s="48"/>
      <c r="M2" s="72"/>
      <c r="N2" s="73" t="s">
        <v>770</v>
      </c>
      <c r="O2" s="74"/>
      <c r="P2" s="74"/>
      <c r="Q2" s="74"/>
      <c r="R2" s="74"/>
      <c r="S2" s="74"/>
      <c r="T2" s="74"/>
      <c r="U2" s="74"/>
      <c r="V2" s="74"/>
      <c r="W2" s="74"/>
      <c r="X2" s="74"/>
      <c r="Y2" s="74"/>
      <c r="Z2" s="74"/>
      <c r="AA2" s="74"/>
      <c r="AB2" s="74"/>
      <c r="AC2" s="74"/>
      <c r="AD2" s="74"/>
      <c r="AE2" s="74"/>
      <c r="AF2" s="74"/>
      <c r="AG2" s="74"/>
      <c r="AH2" s="74"/>
      <c r="AI2" s="74"/>
      <c r="AJ2" s="74"/>
      <c r="AK2" s="95"/>
      <c r="AL2" s="73" t="s">
        <v>51</v>
      </c>
      <c r="AM2" s="74"/>
      <c r="AN2" s="96"/>
      <c r="AO2" s="74"/>
      <c r="AP2" s="95"/>
    </row>
    <row r="3" s="39" customFormat="1" customHeight="1" spans="1:42">
      <c r="A3" s="46"/>
      <c r="B3" s="46"/>
      <c r="C3" s="46"/>
      <c r="D3" s="49"/>
      <c r="E3" s="50" t="s">
        <v>52</v>
      </c>
      <c r="F3" s="50" t="s">
        <v>13</v>
      </c>
      <c r="G3" s="50" t="s">
        <v>53</v>
      </c>
      <c r="H3" s="51" t="s">
        <v>54</v>
      </c>
      <c r="I3" s="75" t="s">
        <v>39</v>
      </c>
      <c r="J3" s="50" t="s">
        <v>55</v>
      </c>
      <c r="K3" s="50" t="s">
        <v>56</v>
      </c>
      <c r="L3" s="50" t="s">
        <v>57</v>
      </c>
      <c r="M3" s="76" t="s">
        <v>58</v>
      </c>
      <c r="N3" s="77" t="s">
        <v>59</v>
      </c>
      <c r="O3" s="75"/>
      <c r="P3" s="75"/>
      <c r="Q3" s="75" t="s">
        <v>60</v>
      </c>
      <c r="R3" s="75"/>
      <c r="S3" s="75"/>
      <c r="T3" s="75" t="s">
        <v>61</v>
      </c>
      <c r="U3" s="75"/>
      <c r="V3" s="75"/>
      <c r="W3" s="75" t="s">
        <v>62</v>
      </c>
      <c r="X3" s="75"/>
      <c r="Y3" s="75"/>
      <c r="Z3" s="75" t="s">
        <v>63</v>
      </c>
      <c r="AA3" s="75"/>
      <c r="AB3" s="75"/>
      <c r="AC3" s="75" t="s">
        <v>64</v>
      </c>
      <c r="AD3" s="75"/>
      <c r="AE3" s="75"/>
      <c r="AF3" s="75" t="s">
        <v>65</v>
      </c>
      <c r="AG3" s="75"/>
      <c r="AH3" s="75"/>
      <c r="AI3" s="75" t="s">
        <v>66</v>
      </c>
      <c r="AJ3" s="75"/>
      <c r="AK3" s="97"/>
      <c r="AL3" s="77" t="s">
        <v>67</v>
      </c>
      <c r="AM3" s="75" t="s">
        <v>68</v>
      </c>
      <c r="AN3" s="98" t="s">
        <v>18</v>
      </c>
      <c r="AO3" s="79" t="s">
        <v>69</v>
      </c>
      <c r="AP3" s="99" t="s">
        <v>70</v>
      </c>
    </row>
    <row r="4" s="39" customFormat="1" ht="26" customHeight="1" spans="1:42">
      <c r="A4" s="46"/>
      <c r="B4" s="46"/>
      <c r="C4" s="46"/>
      <c r="D4" s="49"/>
      <c r="E4" s="50"/>
      <c r="F4" s="50"/>
      <c r="G4" s="50"/>
      <c r="H4" s="51"/>
      <c r="I4" s="75"/>
      <c r="J4" s="50"/>
      <c r="K4" s="50"/>
      <c r="L4" s="50"/>
      <c r="M4" s="76"/>
      <c r="N4" s="78" t="s">
        <v>71</v>
      </c>
      <c r="O4" s="79" t="s">
        <v>72</v>
      </c>
      <c r="P4" s="79" t="s">
        <v>73</v>
      </c>
      <c r="Q4" s="79" t="s">
        <v>71</v>
      </c>
      <c r="R4" s="79" t="s">
        <v>72</v>
      </c>
      <c r="S4" s="79" t="s">
        <v>73</v>
      </c>
      <c r="T4" s="79" t="s">
        <v>71</v>
      </c>
      <c r="U4" s="79" t="s">
        <v>72</v>
      </c>
      <c r="V4" s="79" t="s">
        <v>73</v>
      </c>
      <c r="W4" s="79" t="s">
        <v>71</v>
      </c>
      <c r="X4" s="79" t="s">
        <v>72</v>
      </c>
      <c r="Y4" s="79" t="s">
        <v>73</v>
      </c>
      <c r="Z4" s="79" t="s">
        <v>71</v>
      </c>
      <c r="AA4" s="79" t="s">
        <v>72</v>
      </c>
      <c r="AB4" s="79" t="s">
        <v>73</v>
      </c>
      <c r="AC4" s="79" t="s">
        <v>71</v>
      </c>
      <c r="AD4" s="79" t="s">
        <v>72</v>
      </c>
      <c r="AE4" s="79" t="s">
        <v>73</v>
      </c>
      <c r="AF4" s="79" t="s">
        <v>71</v>
      </c>
      <c r="AG4" s="79" t="s">
        <v>72</v>
      </c>
      <c r="AH4" s="79" t="s">
        <v>73</v>
      </c>
      <c r="AI4" s="79" t="s">
        <v>71</v>
      </c>
      <c r="AJ4" s="79" t="s">
        <v>72</v>
      </c>
      <c r="AK4" s="99" t="s">
        <v>73</v>
      </c>
      <c r="AL4" s="77"/>
      <c r="AM4" s="75"/>
      <c r="AN4" s="98"/>
      <c r="AO4" s="79"/>
      <c r="AP4" s="99"/>
    </row>
    <row r="5" s="40" customFormat="1" ht="26" customHeight="1" spans="1:44">
      <c r="A5" s="46"/>
      <c r="B5" s="46"/>
      <c r="C5" s="46"/>
      <c r="D5" s="52" t="s">
        <v>26</v>
      </c>
      <c r="E5" s="53" t="s">
        <v>74</v>
      </c>
      <c r="F5" s="54" t="s">
        <v>75</v>
      </c>
      <c r="G5" s="54" t="s">
        <v>75</v>
      </c>
      <c r="H5" s="55" t="s">
        <v>75</v>
      </c>
      <c r="I5" s="140">
        <f>SUM(I6:I1832)-I16-I51-I58-I101-I117-I159-I154-I144-I150</f>
        <v>1023167250.00118</v>
      </c>
      <c r="J5" s="140" t="s">
        <v>75</v>
      </c>
      <c r="K5" s="140" t="s">
        <v>75</v>
      </c>
      <c r="L5" s="140">
        <f t="shared" ref="J5:AK5" si="0">SUM(L6:L1832)-L16-L51-L58-L101-L117-L159-L154-L144-L150</f>
        <v>0</v>
      </c>
      <c r="M5" s="140" t="s">
        <v>75</v>
      </c>
      <c r="N5" s="140" t="s">
        <v>75</v>
      </c>
      <c r="O5" s="140">
        <f t="shared" si="0"/>
        <v>658309832.121344</v>
      </c>
      <c r="P5" s="140">
        <f t="shared" si="0"/>
        <v>486098500.665</v>
      </c>
      <c r="Q5" s="140" t="e">
        <f t="shared" si="0"/>
        <v>#VALUE!</v>
      </c>
      <c r="R5" s="140">
        <f t="shared" si="0"/>
        <v>116484363.200427</v>
      </c>
      <c r="S5" s="140">
        <f t="shared" si="0"/>
        <v>43570845.1</v>
      </c>
      <c r="T5" s="140" t="s">
        <v>75</v>
      </c>
      <c r="U5" s="140">
        <f t="shared" si="0"/>
        <v>23323126.137909</v>
      </c>
      <c r="V5" s="140">
        <f t="shared" si="0"/>
        <v>1590000</v>
      </c>
      <c r="W5" s="140" t="s">
        <v>75</v>
      </c>
      <c r="X5" s="140">
        <f t="shared" si="0"/>
        <v>9789188.9215</v>
      </c>
      <c r="Y5" s="140">
        <f t="shared" si="0"/>
        <v>1590000</v>
      </c>
      <c r="Z5" s="140" t="s">
        <v>75</v>
      </c>
      <c r="AA5" s="140">
        <f t="shared" si="0"/>
        <v>11597250.94</v>
      </c>
      <c r="AB5" s="140">
        <f t="shared" si="0"/>
        <v>0</v>
      </c>
      <c r="AC5" s="140" t="s">
        <v>75</v>
      </c>
      <c r="AD5" s="140">
        <f t="shared" si="0"/>
        <v>6650439.22</v>
      </c>
      <c r="AE5" s="140">
        <f t="shared" si="0"/>
        <v>0</v>
      </c>
      <c r="AF5" s="140" t="s">
        <v>75</v>
      </c>
      <c r="AG5" s="140">
        <f t="shared" si="0"/>
        <v>10027973.86</v>
      </c>
      <c r="AH5" s="140">
        <f t="shared" si="0"/>
        <v>0</v>
      </c>
      <c r="AI5" s="140" t="s">
        <v>75</v>
      </c>
      <c r="AJ5" s="140">
        <f t="shared" si="0"/>
        <v>186985075.6</v>
      </c>
      <c r="AK5" s="140">
        <f t="shared" si="0"/>
        <v>0</v>
      </c>
      <c r="AL5" s="100">
        <f>P5+S5+V5+Y5+AB5+AE5+AH5+AK5</f>
        <v>532849345.765</v>
      </c>
      <c r="AM5" s="101">
        <f>I5-AL5</f>
        <v>490317904.23618</v>
      </c>
      <c r="AN5" s="102">
        <f>AL5/I5</f>
        <v>0.520784207825637</v>
      </c>
      <c r="AO5" s="164">
        <f>O5+R5+U5+X5+AA5+AD5+AG5+AJ5</f>
        <v>1023167250.00118</v>
      </c>
      <c r="AP5" s="165" t="str">
        <f>IF(AO5-I5=0,"数据正确","数据错误")</f>
        <v>数据正确</v>
      </c>
      <c r="AQ5" s="40" t="s">
        <v>81</v>
      </c>
      <c r="AR5" s="40" t="s">
        <v>82</v>
      </c>
    </row>
    <row r="6" s="41" customFormat="1" customHeight="1" spans="1:42">
      <c r="A6" s="41" t="str">
        <f>IF(AN6=100%,"已完毕","")</f>
        <v>已完毕</v>
      </c>
      <c r="B6" s="41" t="s">
        <v>83</v>
      </c>
      <c r="C6" s="41" t="s">
        <v>84</v>
      </c>
      <c r="D6" s="122">
        <v>87</v>
      </c>
      <c r="E6" s="123" t="s">
        <v>771</v>
      </c>
      <c r="F6" s="119" t="s">
        <v>24</v>
      </c>
      <c r="G6" s="119" t="s">
        <v>75</v>
      </c>
      <c r="H6" s="124">
        <v>42073</v>
      </c>
      <c r="I6" s="141">
        <v>55683141</v>
      </c>
      <c r="J6" s="123" t="s">
        <v>772</v>
      </c>
      <c r="K6" s="123" t="s">
        <v>773</v>
      </c>
      <c r="L6" s="123" t="s">
        <v>774</v>
      </c>
      <c r="M6" s="142" t="s">
        <v>775</v>
      </c>
      <c r="N6" s="143" t="s">
        <v>776</v>
      </c>
      <c r="O6" s="141">
        <f>I6*0.9</f>
        <v>50114826.9</v>
      </c>
      <c r="P6" s="141">
        <f>5000000+23240000+21800000+5643141</f>
        <v>55683141</v>
      </c>
      <c r="Q6" s="156" t="s">
        <v>777</v>
      </c>
      <c r="R6" s="141">
        <f>I6*0.1</f>
        <v>5568314.1</v>
      </c>
      <c r="S6" s="141"/>
      <c r="T6" s="156"/>
      <c r="U6" s="141"/>
      <c r="V6" s="141"/>
      <c r="W6" s="156"/>
      <c r="X6" s="141"/>
      <c r="Y6" s="141"/>
      <c r="Z6" s="156"/>
      <c r="AA6" s="141"/>
      <c r="AB6" s="141"/>
      <c r="AC6" s="156"/>
      <c r="AD6" s="141"/>
      <c r="AE6" s="141"/>
      <c r="AF6" s="156"/>
      <c r="AG6" s="141"/>
      <c r="AH6" s="141"/>
      <c r="AI6" s="156"/>
      <c r="AJ6" s="141"/>
      <c r="AK6" s="157"/>
      <c r="AL6" s="158">
        <f>P6+S6+V6+Y6+AB6+AE6+AH6+AK6</f>
        <v>55683141</v>
      </c>
      <c r="AM6" s="159">
        <f>I6-AL6</f>
        <v>0</v>
      </c>
      <c r="AN6" s="160">
        <f>AL6/I6</f>
        <v>1</v>
      </c>
      <c r="AO6" s="159">
        <f>O6+R6+U6+X6+AA6+AD6+AG6+AJ6</f>
        <v>55683141</v>
      </c>
      <c r="AP6" s="166" t="str">
        <f>IF(AO6-I6=0,"数据正确","数据错误")</f>
        <v>数据正确</v>
      </c>
    </row>
    <row r="7" s="37" customFormat="1" customHeight="1" spans="1:42">
      <c r="A7" s="37" t="str">
        <f t="shared" ref="A7:A12" si="1">IF(AN7=100%,"已完毕","")</f>
        <v/>
      </c>
      <c r="B7" s="37" t="s">
        <v>83</v>
      </c>
      <c r="C7" s="37" t="s">
        <v>84</v>
      </c>
      <c r="D7" s="61">
        <v>91</v>
      </c>
      <c r="E7" s="62" t="s">
        <v>778</v>
      </c>
      <c r="F7" s="63" t="s">
        <v>24</v>
      </c>
      <c r="G7" s="63" t="s">
        <v>75</v>
      </c>
      <c r="H7" s="64">
        <v>42073</v>
      </c>
      <c r="I7" s="144">
        <v>54425</v>
      </c>
      <c r="J7" s="62" t="s">
        <v>779</v>
      </c>
      <c r="K7" s="62" t="s">
        <v>780</v>
      </c>
      <c r="L7" s="62"/>
      <c r="M7" s="87" t="s">
        <v>781</v>
      </c>
      <c r="N7" s="88" t="s">
        <v>782</v>
      </c>
      <c r="O7" s="86">
        <f>I7*0.8</f>
        <v>43540</v>
      </c>
      <c r="P7" s="86">
        <f>32000</f>
        <v>32000</v>
      </c>
      <c r="Q7" s="93" t="s">
        <v>783</v>
      </c>
      <c r="R7" s="86">
        <f t="shared" ref="R7:R12" si="2">I7*0.1</f>
        <v>5442.5</v>
      </c>
      <c r="S7" s="86">
        <v>49000</v>
      </c>
      <c r="T7" s="93" t="s">
        <v>784</v>
      </c>
      <c r="U7" s="86">
        <f>I7*0.1</f>
        <v>5442.5</v>
      </c>
      <c r="V7" s="86"/>
      <c r="W7" s="93"/>
      <c r="X7" s="86"/>
      <c r="Y7" s="86"/>
      <c r="Z7" s="93"/>
      <c r="AA7" s="86"/>
      <c r="AB7" s="86"/>
      <c r="AC7" s="93"/>
      <c r="AD7" s="86"/>
      <c r="AE7" s="86"/>
      <c r="AF7" s="93"/>
      <c r="AG7" s="86"/>
      <c r="AH7" s="86"/>
      <c r="AI7" s="93"/>
      <c r="AJ7" s="86"/>
      <c r="AK7" s="107"/>
      <c r="AL7" s="108">
        <f t="shared" ref="AL7:AL12" si="3">P7+S7+V7+Y7+AB7+AE7+AH7+AK7</f>
        <v>81000</v>
      </c>
      <c r="AM7" s="109">
        <f t="shared" ref="AM7:AM12" si="4">I7-AL7</f>
        <v>-26575</v>
      </c>
      <c r="AN7" s="110">
        <f t="shared" ref="AN7:AN12" si="5">AL7/I7</f>
        <v>1.48828663298117</v>
      </c>
      <c r="AO7" s="109">
        <f t="shared" ref="AO7:AO12" si="6">O7+R7+U7+X7+AA7+AD7+AG7+AJ7</f>
        <v>54425</v>
      </c>
      <c r="AP7" s="117" t="str">
        <f t="shared" ref="AP7:AP12" si="7">IF(AO7-I7=0,"数据正确","数据错误")</f>
        <v>数据正确</v>
      </c>
    </row>
    <row r="8" s="41" customFormat="1" customHeight="1" spans="1:44">
      <c r="A8" s="41" t="str">
        <f t="shared" si="1"/>
        <v>已完毕</v>
      </c>
      <c r="B8" s="41" t="s">
        <v>83</v>
      </c>
      <c r="C8" s="41" t="s">
        <v>84</v>
      </c>
      <c r="D8" s="66">
        <v>102</v>
      </c>
      <c r="E8" s="67" t="s">
        <v>785</v>
      </c>
      <c r="F8" s="68" t="s">
        <v>24</v>
      </c>
      <c r="G8" s="68" t="s">
        <v>75</v>
      </c>
      <c r="H8" s="69">
        <v>42073</v>
      </c>
      <c r="I8" s="89">
        <f>256*196578.4-28160.08</f>
        <v>50295910.32</v>
      </c>
      <c r="J8" s="67" t="s">
        <v>786</v>
      </c>
      <c r="K8" s="67" t="s">
        <v>787</v>
      </c>
      <c r="L8" s="123" t="s">
        <v>774</v>
      </c>
      <c r="M8" s="90" t="s">
        <v>775</v>
      </c>
      <c r="N8" s="91" t="s">
        <v>776</v>
      </c>
      <c r="O8" s="89">
        <f t="shared" ref="O8:O12" si="8">I8*0.9</f>
        <v>45266319.288</v>
      </c>
      <c r="P8" s="89">
        <f>12000000+4000000+21920000+6086000+5702970.32+586940</f>
        <v>50295910.32</v>
      </c>
      <c r="Q8" s="94" t="s">
        <v>777</v>
      </c>
      <c r="R8" s="89">
        <f t="shared" si="2"/>
        <v>5029591.032</v>
      </c>
      <c r="S8" s="89"/>
      <c r="T8" s="94"/>
      <c r="U8" s="89"/>
      <c r="V8" s="89"/>
      <c r="W8" s="94"/>
      <c r="X8" s="89"/>
      <c r="Y8" s="89"/>
      <c r="Z8" s="94"/>
      <c r="AA8" s="89"/>
      <c r="AB8" s="89"/>
      <c r="AC8" s="94"/>
      <c r="AD8" s="89"/>
      <c r="AE8" s="89"/>
      <c r="AF8" s="94"/>
      <c r="AG8" s="89"/>
      <c r="AH8" s="89"/>
      <c r="AI8" s="94"/>
      <c r="AJ8" s="89"/>
      <c r="AK8" s="111"/>
      <c r="AL8" s="112">
        <f t="shared" si="3"/>
        <v>50295910.32</v>
      </c>
      <c r="AM8" s="113">
        <f t="shared" si="4"/>
        <v>0</v>
      </c>
      <c r="AN8" s="114">
        <f t="shared" si="5"/>
        <v>1</v>
      </c>
      <c r="AO8" s="113">
        <f t="shared" si="6"/>
        <v>50295910.32</v>
      </c>
      <c r="AP8" s="118" t="str">
        <f t="shared" si="7"/>
        <v>数据正确</v>
      </c>
      <c r="AR8" s="167"/>
    </row>
    <row r="9" s="37" customFormat="1" customHeight="1" spans="1:42">
      <c r="A9" s="37" t="str">
        <f t="shared" si="1"/>
        <v>已完毕</v>
      </c>
      <c r="B9" s="37" t="s">
        <v>83</v>
      </c>
      <c r="C9" s="37" t="s">
        <v>84</v>
      </c>
      <c r="D9" s="61">
        <v>92</v>
      </c>
      <c r="E9" s="62" t="s">
        <v>788</v>
      </c>
      <c r="F9" s="63" t="s">
        <v>24</v>
      </c>
      <c r="G9" s="63" t="s">
        <v>75</v>
      </c>
      <c r="H9" s="64">
        <v>42076</v>
      </c>
      <c r="I9" s="86">
        <v>154000</v>
      </c>
      <c r="J9" s="62" t="s">
        <v>789</v>
      </c>
      <c r="K9" s="62" t="s">
        <v>790</v>
      </c>
      <c r="L9" s="62"/>
      <c r="M9" s="87" t="s">
        <v>76</v>
      </c>
      <c r="N9" s="88" t="s">
        <v>791</v>
      </c>
      <c r="O9" s="86">
        <f>70000+48000+36000</f>
        <v>154000</v>
      </c>
      <c r="P9" s="86">
        <f>70000+48000+36000</f>
        <v>154000</v>
      </c>
      <c r="Q9" s="93"/>
      <c r="R9" s="86"/>
      <c r="S9" s="86"/>
      <c r="T9" s="93"/>
      <c r="U9" s="86"/>
      <c r="V9" s="86"/>
      <c r="W9" s="93"/>
      <c r="X9" s="86"/>
      <c r="Y9" s="86"/>
      <c r="Z9" s="93"/>
      <c r="AA9" s="86"/>
      <c r="AB9" s="86"/>
      <c r="AC9" s="93"/>
      <c r="AD9" s="86"/>
      <c r="AE9" s="86"/>
      <c r="AF9" s="93"/>
      <c r="AG9" s="86"/>
      <c r="AH9" s="86"/>
      <c r="AI9" s="93"/>
      <c r="AJ9" s="86"/>
      <c r="AK9" s="107"/>
      <c r="AL9" s="108">
        <f t="shared" si="3"/>
        <v>154000</v>
      </c>
      <c r="AM9" s="109">
        <f t="shared" si="4"/>
        <v>0</v>
      </c>
      <c r="AN9" s="110">
        <f t="shared" si="5"/>
        <v>1</v>
      </c>
      <c r="AO9" s="109">
        <f t="shared" si="6"/>
        <v>154000</v>
      </c>
      <c r="AP9" s="117" t="str">
        <f t="shared" si="7"/>
        <v>数据正确</v>
      </c>
    </row>
    <row r="10" s="41" customFormat="1" customHeight="1" spans="1:42">
      <c r="A10" s="41" t="str">
        <f t="shared" si="1"/>
        <v>已完毕</v>
      </c>
      <c r="B10" s="41" t="s">
        <v>83</v>
      </c>
      <c r="C10" s="41" t="s">
        <v>84</v>
      </c>
      <c r="D10" s="66">
        <v>93</v>
      </c>
      <c r="E10" s="67" t="s">
        <v>792</v>
      </c>
      <c r="F10" s="68" t="s">
        <v>24</v>
      </c>
      <c r="G10" s="68" t="s">
        <v>793</v>
      </c>
      <c r="H10" s="69">
        <v>42109</v>
      </c>
      <c r="I10" s="89">
        <f>140676350-0.2</f>
        <v>140676349.8</v>
      </c>
      <c r="J10" s="67" t="s">
        <v>794</v>
      </c>
      <c r="K10" s="67" t="s">
        <v>795</v>
      </c>
      <c r="L10" s="123" t="s">
        <v>774</v>
      </c>
      <c r="M10" s="90" t="s">
        <v>775</v>
      </c>
      <c r="N10" s="91" t="s">
        <v>796</v>
      </c>
      <c r="O10" s="89">
        <f>I10</f>
        <v>140676349.8</v>
      </c>
      <c r="P10" s="89">
        <f>54000000+50000000+3482770.29+18517229.71+9426239.8+5250110</f>
        <v>140676349.8</v>
      </c>
      <c r="Q10" s="94"/>
      <c r="R10" s="89"/>
      <c r="S10" s="89"/>
      <c r="T10" s="94"/>
      <c r="U10" s="89"/>
      <c r="V10" s="89"/>
      <c r="W10" s="94"/>
      <c r="X10" s="89"/>
      <c r="Y10" s="89"/>
      <c r="Z10" s="94"/>
      <c r="AA10" s="89"/>
      <c r="AB10" s="89"/>
      <c r="AC10" s="94"/>
      <c r="AD10" s="89"/>
      <c r="AE10" s="89"/>
      <c r="AF10" s="94"/>
      <c r="AG10" s="89"/>
      <c r="AH10" s="89"/>
      <c r="AI10" s="94"/>
      <c r="AJ10" s="89"/>
      <c r="AK10" s="111"/>
      <c r="AL10" s="112">
        <f t="shared" si="3"/>
        <v>140676349.8</v>
      </c>
      <c r="AM10" s="113">
        <f t="shared" si="4"/>
        <v>0</v>
      </c>
      <c r="AN10" s="114">
        <f t="shared" si="5"/>
        <v>1</v>
      </c>
      <c r="AO10" s="113">
        <f t="shared" si="6"/>
        <v>140676349.8</v>
      </c>
      <c r="AP10" s="118" t="str">
        <f t="shared" si="7"/>
        <v>数据正确</v>
      </c>
    </row>
    <row r="11" s="41" customFormat="1" customHeight="1" spans="1:42">
      <c r="A11" s="41" t="str">
        <f t="shared" si="1"/>
        <v>已完毕</v>
      </c>
      <c r="B11" s="41" t="s">
        <v>83</v>
      </c>
      <c r="C11" s="41" t="s">
        <v>84</v>
      </c>
      <c r="D11" s="66">
        <v>96</v>
      </c>
      <c r="E11" s="67" t="s">
        <v>797</v>
      </c>
      <c r="F11" s="68" t="s">
        <v>24</v>
      </c>
      <c r="G11" s="68" t="s">
        <v>75</v>
      </c>
      <c r="H11" s="69">
        <v>42136</v>
      </c>
      <c r="I11" s="89">
        <f>181500*358</f>
        <v>64977000</v>
      </c>
      <c r="J11" s="67" t="s">
        <v>798</v>
      </c>
      <c r="K11" s="67" t="s">
        <v>787</v>
      </c>
      <c r="L11" s="123" t="s">
        <v>774</v>
      </c>
      <c r="M11" s="90" t="s">
        <v>775</v>
      </c>
      <c r="N11" s="91" t="s">
        <v>776</v>
      </c>
      <c r="O11" s="89">
        <f t="shared" si="8"/>
        <v>58479300</v>
      </c>
      <c r="P11" s="89">
        <f>26000000+32000000+6977000</f>
        <v>64977000</v>
      </c>
      <c r="Q11" s="94" t="s">
        <v>777</v>
      </c>
      <c r="R11" s="89">
        <f t="shared" si="2"/>
        <v>6497700</v>
      </c>
      <c r="S11" s="89"/>
      <c r="T11" s="94"/>
      <c r="U11" s="89"/>
      <c r="V11" s="89"/>
      <c r="W11" s="94"/>
      <c r="X11" s="89"/>
      <c r="Y11" s="89"/>
      <c r="Z11" s="94"/>
      <c r="AA11" s="89"/>
      <c r="AB11" s="89"/>
      <c r="AC11" s="94"/>
      <c r="AD11" s="89"/>
      <c r="AE11" s="89"/>
      <c r="AF11" s="94"/>
      <c r="AG11" s="89"/>
      <c r="AH11" s="89"/>
      <c r="AI11" s="94"/>
      <c r="AJ11" s="89"/>
      <c r="AK11" s="111"/>
      <c r="AL11" s="112">
        <f t="shared" si="3"/>
        <v>64977000</v>
      </c>
      <c r="AM11" s="113">
        <f t="shared" si="4"/>
        <v>0</v>
      </c>
      <c r="AN11" s="114">
        <f t="shared" si="5"/>
        <v>1</v>
      </c>
      <c r="AO11" s="113">
        <f t="shared" si="6"/>
        <v>64977000</v>
      </c>
      <c r="AP11" s="118" t="str">
        <f t="shared" si="7"/>
        <v>数据正确</v>
      </c>
    </row>
    <row r="12" s="41" customFormat="1" customHeight="1" spans="1:42">
      <c r="A12" s="41" t="e">
        <f t="shared" si="1"/>
        <v>#DIV/0!</v>
      </c>
      <c r="B12" s="41" t="s">
        <v>83</v>
      </c>
      <c r="C12" s="41" t="s">
        <v>84</v>
      </c>
      <c r="D12" s="66">
        <v>257</v>
      </c>
      <c r="E12" s="67" t="s">
        <v>797</v>
      </c>
      <c r="F12" s="68" t="s">
        <v>24</v>
      </c>
      <c r="G12" s="68" t="s">
        <v>75</v>
      </c>
      <c r="H12" s="69">
        <v>42136</v>
      </c>
      <c r="I12" s="89">
        <v>0</v>
      </c>
      <c r="J12" s="67" t="s">
        <v>799</v>
      </c>
      <c r="K12" s="67" t="s">
        <v>75</v>
      </c>
      <c r="L12" s="123" t="s">
        <v>774</v>
      </c>
      <c r="M12" s="90" t="s">
        <v>775</v>
      </c>
      <c r="N12" s="91" t="s">
        <v>75</v>
      </c>
      <c r="O12" s="89">
        <f>I12</f>
        <v>0</v>
      </c>
      <c r="P12" s="89">
        <f>O12</f>
        <v>0</v>
      </c>
      <c r="Q12" s="94"/>
      <c r="R12" s="89"/>
      <c r="S12" s="89"/>
      <c r="T12" s="94"/>
      <c r="U12" s="89"/>
      <c r="V12" s="89"/>
      <c r="W12" s="94"/>
      <c r="X12" s="89"/>
      <c r="Y12" s="89"/>
      <c r="Z12" s="94"/>
      <c r="AA12" s="89"/>
      <c r="AB12" s="89"/>
      <c r="AC12" s="94"/>
      <c r="AD12" s="89"/>
      <c r="AE12" s="89"/>
      <c r="AF12" s="94"/>
      <c r="AG12" s="89"/>
      <c r="AH12" s="89"/>
      <c r="AI12" s="94"/>
      <c r="AJ12" s="89"/>
      <c r="AK12" s="111"/>
      <c r="AL12" s="112">
        <f t="shared" si="3"/>
        <v>0</v>
      </c>
      <c r="AM12" s="113">
        <f t="shared" si="4"/>
        <v>0</v>
      </c>
      <c r="AN12" s="114" t="e">
        <f t="shared" si="5"/>
        <v>#DIV/0!</v>
      </c>
      <c r="AO12" s="113">
        <f t="shared" si="6"/>
        <v>0</v>
      </c>
      <c r="AP12" s="118" t="str">
        <f t="shared" si="7"/>
        <v>数据正确</v>
      </c>
    </row>
    <row r="13" s="37" customFormat="1" customHeight="1" spans="1:42">
      <c r="A13" s="37" t="str">
        <f t="shared" ref="A13:A70" si="9">IF(AN13=100%,"已完毕","")</f>
        <v/>
      </c>
      <c r="B13" s="37" t="s">
        <v>83</v>
      </c>
      <c r="C13" s="37" t="s">
        <v>84</v>
      </c>
      <c r="D13" s="61">
        <v>95</v>
      </c>
      <c r="E13" s="62" t="s">
        <v>800</v>
      </c>
      <c r="F13" s="63" t="s">
        <v>24</v>
      </c>
      <c r="G13" s="63" t="s">
        <v>75</v>
      </c>
      <c r="H13" s="64">
        <v>42191</v>
      </c>
      <c r="I13" s="144">
        <v>64025</v>
      </c>
      <c r="J13" s="62" t="s">
        <v>801</v>
      </c>
      <c r="K13" s="62" t="s">
        <v>802</v>
      </c>
      <c r="L13" s="62"/>
      <c r="M13" s="87" t="s">
        <v>254</v>
      </c>
      <c r="N13" s="88" t="s">
        <v>803</v>
      </c>
      <c r="O13" s="86">
        <f>I13*0.1</f>
        <v>6402.5</v>
      </c>
      <c r="P13" s="86"/>
      <c r="Q13" s="93" t="s">
        <v>804</v>
      </c>
      <c r="R13" s="86">
        <f>I13*0.85</f>
        <v>54421.25</v>
      </c>
      <c r="S13" s="86"/>
      <c r="T13" s="93" t="s">
        <v>256</v>
      </c>
      <c r="U13" s="86">
        <f>I13*0.05</f>
        <v>3201.25</v>
      </c>
      <c r="V13" s="86"/>
      <c r="W13" s="93"/>
      <c r="X13" s="86"/>
      <c r="Y13" s="86"/>
      <c r="Z13" s="93"/>
      <c r="AA13" s="86"/>
      <c r="AB13" s="86"/>
      <c r="AC13" s="93"/>
      <c r="AD13" s="86"/>
      <c r="AE13" s="86"/>
      <c r="AF13" s="93"/>
      <c r="AG13" s="86"/>
      <c r="AH13" s="86"/>
      <c r="AI13" s="93"/>
      <c r="AJ13" s="86"/>
      <c r="AK13" s="107"/>
      <c r="AL13" s="108">
        <f t="shared" ref="AL13:AL69" si="10">P13+S13+V13+Y13+AB13+AE13+AH13+AK13</f>
        <v>0</v>
      </c>
      <c r="AM13" s="109">
        <f t="shared" ref="AM13:AM69" si="11">I13-AL13</f>
        <v>64025</v>
      </c>
      <c r="AN13" s="110">
        <f t="shared" ref="AN13:AN69" si="12">AL13/I13</f>
        <v>0</v>
      </c>
      <c r="AO13" s="109">
        <f t="shared" ref="AO13:AO69" si="13">O13+R13+U13+X13+AA13+AD13+AG13+AJ13</f>
        <v>64025</v>
      </c>
      <c r="AP13" s="117" t="str">
        <f t="shared" ref="AP13:AP70" si="14">IF(AO13-I13=0,"数据正确","数据错误")</f>
        <v>数据正确</v>
      </c>
    </row>
    <row r="14" s="37" customFormat="1" customHeight="1" outlineLevel="1" spans="1:42">
      <c r="A14" s="37" t="str">
        <f t="shared" si="9"/>
        <v/>
      </c>
      <c r="B14" s="37" t="s">
        <v>83</v>
      </c>
      <c r="C14" s="37" t="s">
        <v>84</v>
      </c>
      <c r="D14" s="61">
        <v>94.1</v>
      </c>
      <c r="E14" s="62" t="s">
        <v>800</v>
      </c>
      <c r="F14" s="63" t="s">
        <v>24</v>
      </c>
      <c r="G14" s="63" t="s">
        <v>75</v>
      </c>
      <c r="H14" s="64">
        <v>42247</v>
      </c>
      <c r="I14" s="144">
        <v>2068800</v>
      </c>
      <c r="J14" s="62" t="s">
        <v>805</v>
      </c>
      <c r="K14" s="62" t="s">
        <v>806</v>
      </c>
      <c r="L14" s="62"/>
      <c r="M14" s="87" t="s">
        <v>254</v>
      </c>
      <c r="N14" s="88" t="s">
        <v>807</v>
      </c>
      <c r="O14" s="86">
        <f>I14</f>
        <v>2068800</v>
      </c>
      <c r="P14" s="86">
        <f>1090000</f>
        <v>1090000</v>
      </c>
      <c r="Q14" s="93"/>
      <c r="R14" s="86"/>
      <c r="S14" s="86"/>
      <c r="T14" s="93"/>
      <c r="U14" s="86"/>
      <c r="V14" s="86"/>
      <c r="W14" s="93"/>
      <c r="X14" s="86"/>
      <c r="Y14" s="86"/>
      <c r="Z14" s="93"/>
      <c r="AA14" s="86"/>
      <c r="AB14" s="86"/>
      <c r="AC14" s="93"/>
      <c r="AD14" s="86"/>
      <c r="AE14" s="86"/>
      <c r="AF14" s="93"/>
      <c r="AG14" s="86"/>
      <c r="AH14" s="86"/>
      <c r="AI14" s="93"/>
      <c r="AJ14" s="86"/>
      <c r="AK14" s="107"/>
      <c r="AL14" s="108">
        <f t="shared" si="10"/>
        <v>1090000</v>
      </c>
      <c r="AM14" s="109">
        <f t="shared" si="11"/>
        <v>978800</v>
      </c>
      <c r="AN14" s="110">
        <f t="shared" si="12"/>
        <v>0.526875483372003</v>
      </c>
      <c r="AO14" s="109">
        <f t="shared" si="13"/>
        <v>2068800</v>
      </c>
      <c r="AP14" s="117" t="str">
        <f t="shared" si="14"/>
        <v>数据正确</v>
      </c>
    </row>
    <row r="15" s="37" customFormat="1" customHeight="1" outlineLevel="1" spans="1:42">
      <c r="A15" s="37" t="str">
        <f t="shared" si="9"/>
        <v/>
      </c>
      <c r="B15" s="37" t="s">
        <v>83</v>
      </c>
      <c r="C15" s="37" t="s">
        <v>84</v>
      </c>
      <c r="D15" s="61">
        <v>94.2</v>
      </c>
      <c r="E15" s="62" t="s">
        <v>800</v>
      </c>
      <c r="F15" s="63" t="s">
        <v>24</v>
      </c>
      <c r="G15" s="63" t="s">
        <v>75</v>
      </c>
      <c r="H15" s="64">
        <v>42826</v>
      </c>
      <c r="I15" s="144">
        <f>107758.2</f>
        <v>107758.2</v>
      </c>
      <c r="J15" s="62" t="s">
        <v>808</v>
      </c>
      <c r="K15" s="62" t="s">
        <v>809</v>
      </c>
      <c r="L15" s="62"/>
      <c r="M15" s="87" t="s">
        <v>254</v>
      </c>
      <c r="N15" s="88" t="s">
        <v>810</v>
      </c>
      <c r="O15" s="86">
        <f>I15*0.8</f>
        <v>86206.56</v>
      </c>
      <c r="P15" s="86">
        <f>80000</f>
        <v>80000</v>
      </c>
      <c r="Q15" s="93" t="s">
        <v>811</v>
      </c>
      <c r="R15" s="86">
        <f>I15*0.15</f>
        <v>16163.73</v>
      </c>
      <c r="S15" s="86"/>
      <c r="T15" s="93" t="s">
        <v>812</v>
      </c>
      <c r="U15" s="86">
        <f>I15*0.05</f>
        <v>5387.91</v>
      </c>
      <c r="V15" s="86"/>
      <c r="W15" s="93"/>
      <c r="X15" s="86"/>
      <c r="Y15" s="86"/>
      <c r="Z15" s="93"/>
      <c r="AA15" s="86"/>
      <c r="AB15" s="86"/>
      <c r="AC15" s="93"/>
      <c r="AD15" s="86"/>
      <c r="AE15" s="86"/>
      <c r="AF15" s="93"/>
      <c r="AG15" s="86"/>
      <c r="AH15" s="86"/>
      <c r="AI15" s="93"/>
      <c r="AJ15" s="86"/>
      <c r="AK15" s="107"/>
      <c r="AL15" s="108">
        <f t="shared" si="10"/>
        <v>80000</v>
      </c>
      <c r="AM15" s="109">
        <f t="shared" si="11"/>
        <v>27758.2</v>
      </c>
      <c r="AN15" s="110">
        <f t="shared" si="12"/>
        <v>0.742402898340915</v>
      </c>
      <c r="AO15" s="109">
        <f t="shared" si="13"/>
        <v>107758.2</v>
      </c>
      <c r="AP15" s="117" t="str">
        <f t="shared" si="14"/>
        <v>数据正确</v>
      </c>
    </row>
    <row r="16" s="37" customFormat="1" customHeight="1" spans="1:46">
      <c r="A16" s="120" t="str">
        <f t="shared" si="9"/>
        <v/>
      </c>
      <c r="B16" s="120" t="s">
        <v>83</v>
      </c>
      <c r="C16" s="120" t="s">
        <v>84</v>
      </c>
      <c r="D16" s="125">
        <v>94</v>
      </c>
      <c r="E16" s="126" t="s">
        <v>800</v>
      </c>
      <c r="F16" s="127" t="s">
        <v>24</v>
      </c>
      <c r="G16" s="127" t="s">
        <v>75</v>
      </c>
      <c r="H16" s="128">
        <v>42247</v>
      </c>
      <c r="I16" s="145">
        <f>I14+I15</f>
        <v>2176558.2</v>
      </c>
      <c r="J16" s="126" t="s">
        <v>805</v>
      </c>
      <c r="K16" s="126" t="s">
        <v>813</v>
      </c>
      <c r="L16" s="126"/>
      <c r="M16" s="146" t="s">
        <v>254</v>
      </c>
      <c r="N16" s="147" t="s">
        <v>75</v>
      </c>
      <c r="O16" s="148">
        <f>O14+O15</f>
        <v>2155006.56</v>
      </c>
      <c r="P16" s="148">
        <f t="shared" ref="P16:AK16" si="15">P14+P15</f>
        <v>1170000</v>
      </c>
      <c r="Q16" s="148" t="s">
        <v>75</v>
      </c>
      <c r="R16" s="148">
        <f t="shared" si="15"/>
        <v>16163.73</v>
      </c>
      <c r="S16" s="148">
        <f t="shared" si="15"/>
        <v>0</v>
      </c>
      <c r="T16" s="148" t="s">
        <v>75</v>
      </c>
      <c r="U16" s="148">
        <f t="shared" si="15"/>
        <v>5387.91</v>
      </c>
      <c r="V16" s="148">
        <f t="shared" si="15"/>
        <v>0</v>
      </c>
      <c r="W16" s="148">
        <f t="shared" si="15"/>
        <v>0</v>
      </c>
      <c r="X16" s="148">
        <f t="shared" si="15"/>
        <v>0</v>
      </c>
      <c r="Y16" s="148">
        <f t="shared" si="15"/>
        <v>0</v>
      </c>
      <c r="Z16" s="148">
        <f t="shared" si="15"/>
        <v>0</v>
      </c>
      <c r="AA16" s="148">
        <f t="shared" si="15"/>
        <v>0</v>
      </c>
      <c r="AB16" s="148">
        <f t="shared" si="15"/>
        <v>0</v>
      </c>
      <c r="AC16" s="148">
        <f t="shared" si="15"/>
        <v>0</v>
      </c>
      <c r="AD16" s="148">
        <f t="shared" si="15"/>
        <v>0</v>
      </c>
      <c r="AE16" s="148">
        <f t="shared" si="15"/>
        <v>0</v>
      </c>
      <c r="AF16" s="148">
        <f t="shared" si="15"/>
        <v>0</v>
      </c>
      <c r="AG16" s="148">
        <f t="shared" si="15"/>
        <v>0</v>
      </c>
      <c r="AH16" s="148">
        <f t="shared" si="15"/>
        <v>0</v>
      </c>
      <c r="AI16" s="148">
        <f t="shared" si="15"/>
        <v>0</v>
      </c>
      <c r="AJ16" s="148">
        <f t="shared" si="15"/>
        <v>0</v>
      </c>
      <c r="AK16" s="161">
        <f t="shared" si="15"/>
        <v>0</v>
      </c>
      <c r="AL16" s="162">
        <f t="shared" si="10"/>
        <v>1170000</v>
      </c>
      <c r="AM16" s="155">
        <f t="shared" si="11"/>
        <v>1006558.2</v>
      </c>
      <c r="AN16" s="163">
        <f t="shared" si="12"/>
        <v>0.537545929164678</v>
      </c>
      <c r="AO16" s="155">
        <f t="shared" si="13"/>
        <v>2176558.2</v>
      </c>
      <c r="AP16" s="168" t="str">
        <f t="shared" si="14"/>
        <v>数据正确</v>
      </c>
      <c r="AQ16" s="120"/>
      <c r="AR16" s="120"/>
      <c r="AS16" s="120"/>
      <c r="AT16" s="120"/>
    </row>
    <row r="17" s="120" customFormat="1" customHeight="1" spans="1:46">
      <c r="A17" s="37" t="str">
        <f t="shared" si="9"/>
        <v>已完毕</v>
      </c>
      <c r="B17" s="37" t="s">
        <v>83</v>
      </c>
      <c r="C17" s="37" t="s">
        <v>84</v>
      </c>
      <c r="D17" s="61">
        <v>103</v>
      </c>
      <c r="E17" s="62" t="s">
        <v>814</v>
      </c>
      <c r="F17" s="63" t="s">
        <v>24</v>
      </c>
      <c r="G17" s="63" t="s">
        <v>75</v>
      </c>
      <c r="H17" s="64">
        <v>42299</v>
      </c>
      <c r="I17" s="86">
        <v>527700</v>
      </c>
      <c r="J17" s="62" t="s">
        <v>815</v>
      </c>
      <c r="K17" s="62" t="s">
        <v>816</v>
      </c>
      <c r="L17" s="62"/>
      <c r="M17" s="87" t="s">
        <v>254</v>
      </c>
      <c r="N17" s="88" t="s">
        <v>817</v>
      </c>
      <c r="O17" s="86">
        <v>527700</v>
      </c>
      <c r="P17" s="86">
        <f>125000+125000+130000+122500+2500+27700-5000</f>
        <v>527700</v>
      </c>
      <c r="Q17" s="93"/>
      <c r="R17" s="86"/>
      <c r="S17" s="86"/>
      <c r="T17" s="93"/>
      <c r="U17" s="86"/>
      <c r="V17" s="86"/>
      <c r="W17" s="93"/>
      <c r="X17" s="86"/>
      <c r="Y17" s="86"/>
      <c r="Z17" s="93"/>
      <c r="AA17" s="86"/>
      <c r="AB17" s="86"/>
      <c r="AC17" s="93"/>
      <c r="AD17" s="86"/>
      <c r="AE17" s="86"/>
      <c r="AF17" s="93"/>
      <c r="AG17" s="86"/>
      <c r="AH17" s="86"/>
      <c r="AI17" s="93"/>
      <c r="AJ17" s="86"/>
      <c r="AK17" s="107"/>
      <c r="AL17" s="108">
        <f t="shared" si="10"/>
        <v>527700</v>
      </c>
      <c r="AM17" s="109">
        <f t="shared" si="11"/>
        <v>0</v>
      </c>
      <c r="AN17" s="110">
        <f t="shared" si="12"/>
        <v>1</v>
      </c>
      <c r="AO17" s="109">
        <f t="shared" si="13"/>
        <v>527700</v>
      </c>
      <c r="AP17" s="117" t="str">
        <f t="shared" si="14"/>
        <v>数据正确</v>
      </c>
      <c r="AQ17" s="37"/>
      <c r="AR17" s="37"/>
      <c r="AS17" s="37"/>
      <c r="AT17" s="37"/>
    </row>
    <row r="18" s="37" customFormat="1" customHeight="1" spans="1:42">
      <c r="A18" s="37" t="str">
        <f t="shared" si="9"/>
        <v/>
      </c>
      <c r="B18" s="37" t="s">
        <v>83</v>
      </c>
      <c r="C18" s="37" t="s">
        <v>84</v>
      </c>
      <c r="D18" s="61">
        <v>132</v>
      </c>
      <c r="E18" s="62" t="s">
        <v>818</v>
      </c>
      <c r="F18" s="63" t="s">
        <v>24</v>
      </c>
      <c r="G18" s="63" t="s">
        <v>75</v>
      </c>
      <c r="H18" s="64">
        <v>42299</v>
      </c>
      <c r="I18" s="86">
        <v>265000</v>
      </c>
      <c r="J18" s="62" t="s">
        <v>819</v>
      </c>
      <c r="K18" s="62" t="s">
        <v>787</v>
      </c>
      <c r="L18" s="62"/>
      <c r="M18" s="87" t="s">
        <v>278</v>
      </c>
      <c r="N18" s="88" t="s">
        <v>820</v>
      </c>
      <c r="O18" s="86">
        <f>I18*0.8</f>
        <v>212000</v>
      </c>
      <c r="P18" s="86">
        <f>92000+76000</f>
        <v>168000</v>
      </c>
      <c r="Q18" s="93" t="s">
        <v>821</v>
      </c>
      <c r="R18" s="86">
        <f>I18*0.15</f>
        <v>39750</v>
      </c>
      <c r="S18" s="86"/>
      <c r="T18" s="93" t="s">
        <v>822</v>
      </c>
      <c r="U18" s="86">
        <f>I18*0.05</f>
        <v>13250</v>
      </c>
      <c r="V18" s="86"/>
      <c r="W18" s="93"/>
      <c r="X18" s="86"/>
      <c r="Y18" s="86"/>
      <c r="Z18" s="93"/>
      <c r="AA18" s="86"/>
      <c r="AB18" s="86"/>
      <c r="AC18" s="93"/>
      <c r="AD18" s="86"/>
      <c r="AE18" s="86"/>
      <c r="AF18" s="93"/>
      <c r="AG18" s="86"/>
      <c r="AH18" s="86"/>
      <c r="AI18" s="93"/>
      <c r="AJ18" s="86"/>
      <c r="AK18" s="107"/>
      <c r="AL18" s="108">
        <f t="shared" si="10"/>
        <v>168000</v>
      </c>
      <c r="AM18" s="109">
        <f t="shared" si="11"/>
        <v>97000</v>
      </c>
      <c r="AN18" s="110">
        <f t="shared" si="12"/>
        <v>0.633962264150943</v>
      </c>
      <c r="AO18" s="109">
        <f t="shared" si="13"/>
        <v>265000</v>
      </c>
      <c r="AP18" s="117" t="str">
        <f t="shared" si="14"/>
        <v>数据正确</v>
      </c>
    </row>
    <row r="19" s="37" customFormat="1" customHeight="1" spans="1:42">
      <c r="A19" s="37" t="str">
        <f t="shared" si="9"/>
        <v>已完毕</v>
      </c>
      <c r="B19" s="37" t="s">
        <v>83</v>
      </c>
      <c r="C19" s="37" t="s">
        <v>84</v>
      </c>
      <c r="D19" s="61">
        <v>88</v>
      </c>
      <c r="E19" s="62" t="s">
        <v>823</v>
      </c>
      <c r="F19" s="63" t="s">
        <v>24</v>
      </c>
      <c r="G19" s="63" t="s">
        <v>75</v>
      </c>
      <c r="H19" s="64">
        <v>42302</v>
      </c>
      <c r="I19" s="86">
        <v>65880000</v>
      </c>
      <c r="J19" s="62" t="s">
        <v>824</v>
      </c>
      <c r="K19" s="62" t="s">
        <v>825</v>
      </c>
      <c r="L19" s="62"/>
      <c r="M19" s="87" t="s">
        <v>775</v>
      </c>
      <c r="N19" s="88" t="s">
        <v>776</v>
      </c>
      <c r="O19" s="86">
        <f>I19*0.9</f>
        <v>59292000</v>
      </c>
      <c r="P19" s="86">
        <f>2975400+27000000+35904600</f>
        <v>65880000</v>
      </c>
      <c r="Q19" s="93" t="s">
        <v>777</v>
      </c>
      <c r="R19" s="86">
        <f>I19*0.1</f>
        <v>6588000</v>
      </c>
      <c r="S19" s="86"/>
      <c r="T19" s="93"/>
      <c r="U19" s="86"/>
      <c r="V19" s="86"/>
      <c r="W19" s="93"/>
      <c r="X19" s="86"/>
      <c r="Y19" s="86"/>
      <c r="Z19" s="93"/>
      <c r="AA19" s="86"/>
      <c r="AB19" s="86"/>
      <c r="AC19" s="93"/>
      <c r="AD19" s="86"/>
      <c r="AE19" s="86"/>
      <c r="AF19" s="93"/>
      <c r="AG19" s="86"/>
      <c r="AH19" s="86"/>
      <c r="AI19" s="93"/>
      <c r="AJ19" s="86"/>
      <c r="AK19" s="107"/>
      <c r="AL19" s="108">
        <f t="shared" si="10"/>
        <v>65880000</v>
      </c>
      <c r="AM19" s="109">
        <f t="shared" si="11"/>
        <v>0</v>
      </c>
      <c r="AN19" s="110">
        <f t="shared" si="12"/>
        <v>1</v>
      </c>
      <c r="AO19" s="109">
        <f t="shared" si="13"/>
        <v>65880000</v>
      </c>
      <c r="AP19" s="117" t="str">
        <f t="shared" si="14"/>
        <v>数据正确</v>
      </c>
    </row>
    <row r="20" s="37" customFormat="1" customHeight="1" spans="1:42">
      <c r="A20" s="37" t="str">
        <f t="shared" si="9"/>
        <v/>
      </c>
      <c r="B20" s="37" t="s">
        <v>83</v>
      </c>
      <c r="C20" s="37" t="s">
        <v>84</v>
      </c>
      <c r="D20" s="61">
        <v>104</v>
      </c>
      <c r="E20" s="62" t="s">
        <v>797</v>
      </c>
      <c r="F20" s="63" t="s">
        <v>24</v>
      </c>
      <c r="G20" s="63" t="s">
        <v>75</v>
      </c>
      <c r="H20" s="64">
        <v>42302</v>
      </c>
      <c r="I20" s="144">
        <v>37329838</v>
      </c>
      <c r="J20" s="62" t="s">
        <v>826</v>
      </c>
      <c r="K20" s="62" t="s">
        <v>827</v>
      </c>
      <c r="L20" s="62"/>
      <c r="M20" s="87" t="s">
        <v>278</v>
      </c>
      <c r="N20" s="88" t="s">
        <v>828</v>
      </c>
      <c r="O20" s="86">
        <f>I20*0.8</f>
        <v>29863870.4</v>
      </c>
      <c r="P20" s="86">
        <f>2610000+1980000+2560000+1670000+1718000+413000</f>
        <v>10951000</v>
      </c>
      <c r="Q20" s="93" t="s">
        <v>829</v>
      </c>
      <c r="R20" s="86">
        <f>I20*0.15</f>
        <v>5599475.7</v>
      </c>
      <c r="S20" s="86"/>
      <c r="T20" s="93" t="s">
        <v>260</v>
      </c>
      <c r="U20" s="86">
        <f>I20*0.05</f>
        <v>1866491.9</v>
      </c>
      <c r="V20" s="86"/>
      <c r="W20" s="93"/>
      <c r="X20" s="86"/>
      <c r="Y20" s="86"/>
      <c r="Z20" s="93"/>
      <c r="AA20" s="86"/>
      <c r="AB20" s="86"/>
      <c r="AC20" s="93"/>
      <c r="AD20" s="86"/>
      <c r="AE20" s="86"/>
      <c r="AF20" s="93"/>
      <c r="AG20" s="86"/>
      <c r="AH20" s="86"/>
      <c r="AI20" s="93"/>
      <c r="AJ20" s="86"/>
      <c r="AK20" s="107"/>
      <c r="AL20" s="108">
        <f t="shared" si="10"/>
        <v>10951000</v>
      </c>
      <c r="AM20" s="109">
        <f t="shared" si="11"/>
        <v>26378838</v>
      </c>
      <c r="AN20" s="110">
        <f t="shared" si="12"/>
        <v>0.293357822769014</v>
      </c>
      <c r="AO20" s="109">
        <f t="shared" si="13"/>
        <v>37329838</v>
      </c>
      <c r="AP20" s="117" t="str">
        <f t="shared" si="14"/>
        <v>数据正确</v>
      </c>
    </row>
    <row r="21" s="37" customFormat="1" customHeight="1" spans="1:42">
      <c r="A21" s="37" t="str">
        <f t="shared" si="9"/>
        <v/>
      </c>
      <c r="B21" s="37" t="s">
        <v>83</v>
      </c>
      <c r="C21" s="37" t="s">
        <v>84</v>
      </c>
      <c r="D21" s="61">
        <v>86</v>
      </c>
      <c r="E21" s="62" t="s">
        <v>771</v>
      </c>
      <c r="F21" s="63" t="s">
        <v>24</v>
      </c>
      <c r="G21" s="63" t="s">
        <v>75</v>
      </c>
      <c r="H21" s="64">
        <v>42318</v>
      </c>
      <c r="I21" s="144">
        <v>2400000</v>
      </c>
      <c r="J21" s="62" t="s">
        <v>830</v>
      </c>
      <c r="K21" s="62" t="s">
        <v>831</v>
      </c>
      <c r="L21" s="62"/>
      <c r="M21" s="87" t="s">
        <v>254</v>
      </c>
      <c r="N21" s="88" t="s">
        <v>832</v>
      </c>
      <c r="O21" s="86">
        <f>I21*0.2</f>
        <v>480000</v>
      </c>
      <c r="P21" s="86">
        <f>400000</f>
        <v>400000</v>
      </c>
      <c r="Q21" s="93" t="s">
        <v>833</v>
      </c>
      <c r="R21" s="86">
        <f>I21*0.3</f>
        <v>720000</v>
      </c>
      <c r="S21" s="86"/>
      <c r="T21" s="93" t="s">
        <v>834</v>
      </c>
      <c r="U21" s="86">
        <f>I21*0.3</f>
        <v>720000</v>
      </c>
      <c r="V21" s="86"/>
      <c r="W21" s="93" t="s">
        <v>835</v>
      </c>
      <c r="X21" s="86">
        <f>I21*0.2</f>
        <v>480000</v>
      </c>
      <c r="Y21" s="86"/>
      <c r="Z21" s="93"/>
      <c r="AA21" s="86"/>
      <c r="AB21" s="86"/>
      <c r="AC21" s="93"/>
      <c r="AD21" s="86"/>
      <c r="AE21" s="86"/>
      <c r="AF21" s="93"/>
      <c r="AG21" s="86"/>
      <c r="AH21" s="86"/>
      <c r="AI21" s="93"/>
      <c r="AJ21" s="86"/>
      <c r="AK21" s="107"/>
      <c r="AL21" s="108">
        <f t="shared" si="10"/>
        <v>400000</v>
      </c>
      <c r="AM21" s="109">
        <f t="shared" si="11"/>
        <v>2000000</v>
      </c>
      <c r="AN21" s="110">
        <f t="shared" si="12"/>
        <v>0.166666666666667</v>
      </c>
      <c r="AO21" s="109">
        <f t="shared" si="13"/>
        <v>2400000</v>
      </c>
      <c r="AP21" s="117" t="str">
        <f t="shared" si="14"/>
        <v>数据正确</v>
      </c>
    </row>
    <row r="22" s="37" customFormat="1" customHeight="1" spans="1:42">
      <c r="A22" s="37" t="str">
        <f t="shared" si="9"/>
        <v/>
      </c>
      <c r="B22" s="37" t="s">
        <v>83</v>
      </c>
      <c r="C22" s="37" t="s">
        <v>84</v>
      </c>
      <c r="D22" s="61">
        <v>90</v>
      </c>
      <c r="E22" s="62" t="s">
        <v>778</v>
      </c>
      <c r="F22" s="63" t="s">
        <v>24</v>
      </c>
      <c r="G22" s="63" t="s">
        <v>75</v>
      </c>
      <c r="H22" s="64">
        <v>42369</v>
      </c>
      <c r="I22" s="144">
        <f>233000+134979</f>
        <v>367979</v>
      </c>
      <c r="J22" s="62" t="s">
        <v>836</v>
      </c>
      <c r="K22" s="62" t="s">
        <v>837</v>
      </c>
      <c r="L22" s="62"/>
      <c r="M22" s="87" t="s">
        <v>838</v>
      </c>
      <c r="N22" s="88" t="s">
        <v>839</v>
      </c>
      <c r="O22" s="86">
        <f>I22</f>
        <v>367979</v>
      </c>
      <c r="P22" s="86">
        <f>100000+127675.4+30706.55</f>
        <v>258381.95</v>
      </c>
      <c r="Q22" s="93"/>
      <c r="R22" s="86"/>
      <c r="S22" s="86"/>
      <c r="T22" s="93"/>
      <c r="U22" s="86"/>
      <c r="V22" s="86"/>
      <c r="W22" s="93"/>
      <c r="X22" s="86"/>
      <c r="Y22" s="86"/>
      <c r="Z22" s="93"/>
      <c r="AA22" s="86"/>
      <c r="AB22" s="86"/>
      <c r="AC22" s="93"/>
      <c r="AD22" s="86"/>
      <c r="AE22" s="86"/>
      <c r="AF22" s="93"/>
      <c r="AG22" s="86"/>
      <c r="AH22" s="86"/>
      <c r="AI22" s="93"/>
      <c r="AJ22" s="86"/>
      <c r="AK22" s="107"/>
      <c r="AL22" s="108">
        <f t="shared" si="10"/>
        <v>258381.95</v>
      </c>
      <c r="AM22" s="109">
        <f t="shared" si="11"/>
        <v>109597.05</v>
      </c>
      <c r="AN22" s="110">
        <f t="shared" si="12"/>
        <v>0.702164933325</v>
      </c>
      <c r="AO22" s="109">
        <f t="shared" si="13"/>
        <v>367979</v>
      </c>
      <c r="AP22" s="117" t="str">
        <f t="shared" si="14"/>
        <v>数据正确</v>
      </c>
    </row>
    <row r="23" s="37" customFormat="1" customHeight="1" spans="1:42">
      <c r="A23" s="37" t="str">
        <f t="shared" si="9"/>
        <v/>
      </c>
      <c r="B23" s="37" t="s">
        <v>83</v>
      </c>
      <c r="C23" s="37" t="s">
        <v>84</v>
      </c>
      <c r="D23" s="61">
        <v>89</v>
      </c>
      <c r="E23" s="62" t="s">
        <v>785</v>
      </c>
      <c r="F23" s="63" t="s">
        <v>24</v>
      </c>
      <c r="G23" s="63" t="s">
        <v>75</v>
      </c>
      <c r="H23" s="64">
        <v>42397</v>
      </c>
      <c r="I23" s="86">
        <v>10836000</v>
      </c>
      <c r="J23" s="62" t="s">
        <v>840</v>
      </c>
      <c r="K23" s="62" t="s">
        <v>841</v>
      </c>
      <c r="L23" s="62"/>
      <c r="M23" s="87" t="s">
        <v>775</v>
      </c>
      <c r="N23" s="88" t="s">
        <v>842</v>
      </c>
      <c r="O23" s="86">
        <f>I23*0.8</f>
        <v>8668800</v>
      </c>
      <c r="P23" s="86">
        <f>4268000+4370000</f>
        <v>8638000</v>
      </c>
      <c r="Q23" s="93" t="s">
        <v>843</v>
      </c>
      <c r="R23" s="86">
        <f>I23*0.15</f>
        <v>1625400</v>
      </c>
      <c r="S23" s="86">
        <v>2081600</v>
      </c>
      <c r="T23" s="93" t="s">
        <v>844</v>
      </c>
      <c r="U23" s="86">
        <f>I23*0.05</f>
        <v>541800</v>
      </c>
      <c r="V23" s="86"/>
      <c r="W23" s="93"/>
      <c r="X23" s="86"/>
      <c r="Y23" s="86"/>
      <c r="Z23" s="93"/>
      <c r="AA23" s="86"/>
      <c r="AB23" s="86"/>
      <c r="AC23" s="93"/>
      <c r="AD23" s="86"/>
      <c r="AE23" s="86"/>
      <c r="AF23" s="93"/>
      <c r="AG23" s="86"/>
      <c r="AH23" s="86"/>
      <c r="AI23" s="93"/>
      <c r="AJ23" s="86"/>
      <c r="AK23" s="107"/>
      <c r="AL23" s="108">
        <f t="shared" si="10"/>
        <v>10719600</v>
      </c>
      <c r="AM23" s="109">
        <f t="shared" si="11"/>
        <v>116400</v>
      </c>
      <c r="AN23" s="110">
        <f t="shared" si="12"/>
        <v>0.989258028792912</v>
      </c>
      <c r="AO23" s="109">
        <f t="shared" si="13"/>
        <v>10836000</v>
      </c>
      <c r="AP23" s="117" t="str">
        <f t="shared" si="14"/>
        <v>数据正确</v>
      </c>
    </row>
    <row r="24" s="37" customFormat="1" customHeight="1" spans="1:42">
      <c r="A24" s="37" t="str">
        <f t="shared" si="9"/>
        <v/>
      </c>
      <c r="B24" s="37" t="s">
        <v>83</v>
      </c>
      <c r="C24" s="37" t="s">
        <v>84</v>
      </c>
      <c r="D24" s="61">
        <v>105</v>
      </c>
      <c r="E24" s="62" t="s">
        <v>845</v>
      </c>
      <c r="F24" s="63" t="s">
        <v>24</v>
      </c>
      <c r="G24" s="63" t="s">
        <v>75</v>
      </c>
      <c r="H24" s="64">
        <v>42445</v>
      </c>
      <c r="I24" s="144">
        <f>466*140</f>
        <v>65240</v>
      </c>
      <c r="J24" s="62" t="s">
        <v>846</v>
      </c>
      <c r="K24" s="62" t="s">
        <v>847</v>
      </c>
      <c r="L24" s="62"/>
      <c r="M24" s="87" t="s">
        <v>76</v>
      </c>
      <c r="N24" s="88" t="s">
        <v>848</v>
      </c>
      <c r="O24" s="86">
        <f>I24*0.6</f>
        <v>39144</v>
      </c>
      <c r="P24" s="86">
        <v>39144</v>
      </c>
      <c r="Q24" s="93" t="s">
        <v>849</v>
      </c>
      <c r="R24" s="86">
        <f>I24*0.4</f>
        <v>26096</v>
      </c>
      <c r="S24" s="86">
        <v>8000</v>
      </c>
      <c r="T24" s="93"/>
      <c r="U24" s="86"/>
      <c r="V24" s="86"/>
      <c r="W24" s="93"/>
      <c r="X24" s="86"/>
      <c r="Y24" s="86"/>
      <c r="Z24" s="93"/>
      <c r="AA24" s="86"/>
      <c r="AB24" s="86"/>
      <c r="AC24" s="93"/>
      <c r="AD24" s="86"/>
      <c r="AE24" s="86"/>
      <c r="AF24" s="93"/>
      <c r="AG24" s="86"/>
      <c r="AH24" s="86"/>
      <c r="AI24" s="93"/>
      <c r="AJ24" s="86"/>
      <c r="AK24" s="107"/>
      <c r="AL24" s="108">
        <f t="shared" si="10"/>
        <v>47144</v>
      </c>
      <c r="AM24" s="109">
        <f t="shared" si="11"/>
        <v>18096</v>
      </c>
      <c r="AN24" s="110">
        <f t="shared" si="12"/>
        <v>0.722624156958921</v>
      </c>
      <c r="AO24" s="109">
        <f t="shared" si="13"/>
        <v>65240</v>
      </c>
      <c r="AP24" s="117" t="str">
        <f t="shared" si="14"/>
        <v>数据正确</v>
      </c>
    </row>
    <row r="25" s="37" customFormat="1" customHeight="1" spans="1:42">
      <c r="A25" s="37" t="str">
        <f t="shared" si="9"/>
        <v>已完毕</v>
      </c>
      <c r="B25" s="37" t="s">
        <v>83</v>
      </c>
      <c r="C25" s="37" t="s">
        <v>84</v>
      </c>
      <c r="D25" s="61">
        <v>97</v>
      </c>
      <c r="E25" s="62" t="s">
        <v>850</v>
      </c>
      <c r="F25" s="63" t="s">
        <v>24</v>
      </c>
      <c r="G25" s="63" t="s">
        <v>75</v>
      </c>
      <c r="H25" s="64">
        <v>42479</v>
      </c>
      <c r="I25" s="144">
        <v>10000</v>
      </c>
      <c r="J25" s="62" t="s">
        <v>851</v>
      </c>
      <c r="K25" s="62" t="s">
        <v>852</v>
      </c>
      <c r="L25" s="62"/>
      <c r="M25" s="87"/>
      <c r="N25" s="88" t="s">
        <v>853</v>
      </c>
      <c r="O25" s="86">
        <f>I25</f>
        <v>10000</v>
      </c>
      <c r="P25" s="86">
        <v>10000</v>
      </c>
      <c r="Q25" s="93"/>
      <c r="R25" s="86"/>
      <c r="S25" s="86"/>
      <c r="T25" s="93"/>
      <c r="U25" s="86"/>
      <c r="V25" s="86"/>
      <c r="W25" s="93"/>
      <c r="X25" s="86"/>
      <c r="Y25" s="86"/>
      <c r="Z25" s="93"/>
      <c r="AA25" s="86"/>
      <c r="AB25" s="86"/>
      <c r="AC25" s="93"/>
      <c r="AD25" s="86"/>
      <c r="AE25" s="86"/>
      <c r="AF25" s="93"/>
      <c r="AG25" s="86"/>
      <c r="AH25" s="86"/>
      <c r="AI25" s="93"/>
      <c r="AJ25" s="86"/>
      <c r="AK25" s="107"/>
      <c r="AL25" s="108">
        <f t="shared" si="10"/>
        <v>10000</v>
      </c>
      <c r="AM25" s="109">
        <f t="shared" si="11"/>
        <v>0</v>
      </c>
      <c r="AN25" s="110">
        <f t="shared" si="12"/>
        <v>1</v>
      </c>
      <c r="AO25" s="109">
        <f t="shared" si="13"/>
        <v>10000</v>
      </c>
      <c r="AP25" s="117" t="str">
        <f t="shared" si="14"/>
        <v>数据正确</v>
      </c>
    </row>
    <row r="26" s="37" customFormat="1" customHeight="1" spans="1:42">
      <c r="A26" s="37" t="str">
        <f t="shared" si="9"/>
        <v/>
      </c>
      <c r="B26" s="37" t="s">
        <v>83</v>
      </c>
      <c r="C26" s="37" t="s">
        <v>84</v>
      </c>
      <c r="D26" s="61">
        <v>106</v>
      </c>
      <c r="E26" s="62" t="s">
        <v>854</v>
      </c>
      <c r="F26" s="63" t="s">
        <v>24</v>
      </c>
      <c r="G26" s="63" t="s">
        <v>75</v>
      </c>
      <c r="H26" s="64">
        <v>42490</v>
      </c>
      <c r="I26" s="144">
        <v>22127</v>
      </c>
      <c r="J26" s="62" t="s">
        <v>855</v>
      </c>
      <c r="K26" s="62" t="s">
        <v>856</v>
      </c>
      <c r="L26" s="62"/>
      <c r="M26" s="87" t="s">
        <v>76</v>
      </c>
      <c r="N26" s="88" t="s">
        <v>857</v>
      </c>
      <c r="O26" s="86">
        <f>I26</f>
        <v>22127</v>
      </c>
      <c r="P26" s="86"/>
      <c r="Q26" s="93"/>
      <c r="R26" s="86"/>
      <c r="S26" s="86"/>
      <c r="T26" s="93"/>
      <c r="U26" s="86"/>
      <c r="V26" s="86"/>
      <c r="W26" s="93"/>
      <c r="X26" s="86"/>
      <c r="Y26" s="86"/>
      <c r="Z26" s="93"/>
      <c r="AA26" s="86"/>
      <c r="AB26" s="86"/>
      <c r="AC26" s="93"/>
      <c r="AD26" s="86"/>
      <c r="AE26" s="86"/>
      <c r="AF26" s="93"/>
      <c r="AG26" s="86"/>
      <c r="AH26" s="86"/>
      <c r="AI26" s="93"/>
      <c r="AJ26" s="86"/>
      <c r="AK26" s="107"/>
      <c r="AL26" s="108">
        <f t="shared" si="10"/>
        <v>0</v>
      </c>
      <c r="AM26" s="109">
        <f t="shared" si="11"/>
        <v>22127</v>
      </c>
      <c r="AN26" s="110">
        <f t="shared" si="12"/>
        <v>0</v>
      </c>
      <c r="AO26" s="109">
        <f t="shared" si="13"/>
        <v>22127</v>
      </c>
      <c r="AP26" s="117" t="str">
        <f t="shared" si="14"/>
        <v>数据正确</v>
      </c>
    </row>
    <row r="27" s="37" customFormat="1" customHeight="1" spans="1:42">
      <c r="A27" s="37" t="str">
        <f t="shared" si="9"/>
        <v/>
      </c>
      <c r="B27" s="37" t="s">
        <v>83</v>
      </c>
      <c r="C27" s="37" t="s">
        <v>84</v>
      </c>
      <c r="D27" s="61">
        <v>128</v>
      </c>
      <c r="E27" s="62" t="s">
        <v>858</v>
      </c>
      <c r="F27" s="63" t="s">
        <v>24</v>
      </c>
      <c r="G27" s="63" t="s">
        <v>75</v>
      </c>
      <c r="H27" s="64">
        <v>42500</v>
      </c>
      <c r="I27" s="86">
        <v>950000</v>
      </c>
      <c r="J27" s="62" t="s">
        <v>859</v>
      </c>
      <c r="K27" s="62" t="s">
        <v>790</v>
      </c>
      <c r="L27" s="62"/>
      <c r="M27" s="87" t="s">
        <v>76</v>
      </c>
      <c r="N27" s="88" t="s">
        <v>860</v>
      </c>
      <c r="O27" s="86">
        <f>I27</f>
        <v>950000</v>
      </c>
      <c r="P27" s="86">
        <f>36000+36000+36000+38129+42000+84000+42000+46000+45615+21461+19346</f>
        <v>446551</v>
      </c>
      <c r="Q27" s="93"/>
      <c r="R27" s="86"/>
      <c r="S27" s="86"/>
      <c r="T27" s="93"/>
      <c r="U27" s="86"/>
      <c r="V27" s="86"/>
      <c r="W27" s="93"/>
      <c r="X27" s="86"/>
      <c r="Y27" s="86"/>
      <c r="Z27" s="93"/>
      <c r="AA27" s="86"/>
      <c r="AB27" s="86"/>
      <c r="AC27" s="93"/>
      <c r="AD27" s="86"/>
      <c r="AE27" s="86"/>
      <c r="AF27" s="93"/>
      <c r="AG27" s="86"/>
      <c r="AH27" s="86"/>
      <c r="AI27" s="93"/>
      <c r="AJ27" s="86"/>
      <c r="AK27" s="107"/>
      <c r="AL27" s="108">
        <f t="shared" si="10"/>
        <v>446551</v>
      </c>
      <c r="AM27" s="109">
        <f t="shared" si="11"/>
        <v>503449</v>
      </c>
      <c r="AN27" s="110">
        <f t="shared" si="12"/>
        <v>0.470053684210526</v>
      </c>
      <c r="AO27" s="109">
        <f t="shared" si="13"/>
        <v>950000</v>
      </c>
      <c r="AP27" s="117" t="str">
        <f t="shared" si="14"/>
        <v>数据正确</v>
      </c>
    </row>
    <row r="28" s="37" customFormat="1" customHeight="1" spans="1:42">
      <c r="A28" s="56" t="str">
        <f t="shared" si="9"/>
        <v/>
      </c>
      <c r="B28" s="56" t="s">
        <v>83</v>
      </c>
      <c r="C28" s="56" t="s">
        <v>84</v>
      </c>
      <c r="D28" s="57">
        <v>127</v>
      </c>
      <c r="E28" s="59" t="s">
        <v>861</v>
      </c>
      <c r="F28" s="59" t="s">
        <v>24</v>
      </c>
      <c r="G28" s="59" t="s">
        <v>75</v>
      </c>
      <c r="H28" s="60">
        <v>42505</v>
      </c>
      <c r="I28" s="83">
        <v>7996800</v>
      </c>
      <c r="J28" s="58" t="s">
        <v>862</v>
      </c>
      <c r="K28" s="58" t="s">
        <v>863</v>
      </c>
      <c r="L28" s="58"/>
      <c r="M28" s="84" t="s">
        <v>278</v>
      </c>
      <c r="N28" s="85" t="s">
        <v>864</v>
      </c>
      <c r="O28" s="83">
        <f>I28*0.2</f>
        <v>1599360</v>
      </c>
      <c r="P28" s="83">
        <f>1551030+47970</f>
        <v>1599000</v>
      </c>
      <c r="Q28" s="92" t="s">
        <v>865</v>
      </c>
      <c r="R28" s="83">
        <f>I28*0.2</f>
        <v>1599360</v>
      </c>
      <c r="S28" s="83">
        <v>1590000</v>
      </c>
      <c r="T28" s="92" t="s">
        <v>866</v>
      </c>
      <c r="U28" s="83">
        <f>I28*0.2</f>
        <v>1599360</v>
      </c>
      <c r="V28" s="83">
        <v>1590000</v>
      </c>
      <c r="W28" s="92" t="s">
        <v>867</v>
      </c>
      <c r="X28" s="83">
        <f>I28*0.2</f>
        <v>1599360</v>
      </c>
      <c r="Y28" s="83">
        <f>1000000+590000</f>
        <v>1590000</v>
      </c>
      <c r="Z28" s="92" t="s">
        <v>868</v>
      </c>
      <c r="AA28" s="83">
        <f>I28*0.15</f>
        <v>1199520</v>
      </c>
      <c r="AB28" s="83"/>
      <c r="AC28" s="92" t="s">
        <v>869</v>
      </c>
      <c r="AD28" s="83">
        <f>I28*0.05</f>
        <v>399840</v>
      </c>
      <c r="AE28" s="83"/>
      <c r="AF28" s="92"/>
      <c r="AG28" s="83"/>
      <c r="AH28" s="83"/>
      <c r="AI28" s="92"/>
      <c r="AJ28" s="83"/>
      <c r="AK28" s="103"/>
      <c r="AL28" s="104">
        <f t="shared" si="10"/>
        <v>6369000</v>
      </c>
      <c r="AM28" s="105">
        <f t="shared" si="11"/>
        <v>1627800</v>
      </c>
      <c r="AN28" s="106">
        <f t="shared" si="12"/>
        <v>0.796443577430972</v>
      </c>
      <c r="AO28" s="105">
        <f t="shared" si="13"/>
        <v>7996800</v>
      </c>
      <c r="AP28" s="116" t="str">
        <f t="shared" si="14"/>
        <v>数据正确</v>
      </c>
    </row>
    <row r="29" s="37" customFormat="1" customHeight="1" spans="1:42">
      <c r="A29" s="37" t="str">
        <f t="shared" si="9"/>
        <v/>
      </c>
      <c r="B29" s="37" t="s">
        <v>83</v>
      </c>
      <c r="C29" s="37" t="s">
        <v>84</v>
      </c>
      <c r="D29" s="61">
        <v>107</v>
      </c>
      <c r="E29" s="62" t="s">
        <v>870</v>
      </c>
      <c r="F29" s="63" t="s">
        <v>24</v>
      </c>
      <c r="G29" s="63" t="s">
        <v>75</v>
      </c>
      <c r="H29" s="64">
        <v>42551</v>
      </c>
      <c r="I29" s="144">
        <v>8115</v>
      </c>
      <c r="J29" s="62" t="s">
        <v>855</v>
      </c>
      <c r="K29" s="62" t="s">
        <v>856</v>
      </c>
      <c r="L29" s="62"/>
      <c r="M29" s="87" t="s">
        <v>76</v>
      </c>
      <c r="N29" s="88" t="s">
        <v>857</v>
      </c>
      <c r="O29" s="86">
        <f>I29</f>
        <v>8115</v>
      </c>
      <c r="P29" s="86"/>
      <c r="Q29" s="93"/>
      <c r="R29" s="86"/>
      <c r="S29" s="86"/>
      <c r="T29" s="93"/>
      <c r="U29" s="86"/>
      <c r="V29" s="86"/>
      <c r="W29" s="93"/>
      <c r="X29" s="86"/>
      <c r="Y29" s="86"/>
      <c r="Z29" s="93"/>
      <c r="AA29" s="86"/>
      <c r="AB29" s="86"/>
      <c r="AC29" s="93"/>
      <c r="AD29" s="86"/>
      <c r="AE29" s="86"/>
      <c r="AF29" s="93"/>
      <c r="AG29" s="86"/>
      <c r="AH29" s="86"/>
      <c r="AI29" s="93"/>
      <c r="AJ29" s="86"/>
      <c r="AK29" s="107"/>
      <c r="AL29" s="108">
        <f t="shared" si="10"/>
        <v>0</v>
      </c>
      <c r="AM29" s="109">
        <f t="shared" si="11"/>
        <v>8115</v>
      </c>
      <c r="AN29" s="110">
        <f t="shared" si="12"/>
        <v>0</v>
      </c>
      <c r="AO29" s="109">
        <f t="shared" si="13"/>
        <v>8115</v>
      </c>
      <c r="AP29" s="117" t="str">
        <f t="shared" si="14"/>
        <v>数据正确</v>
      </c>
    </row>
    <row r="30" s="37" customFormat="1" customHeight="1" spans="1:42">
      <c r="A30" s="37" t="str">
        <f t="shared" si="9"/>
        <v>已完毕</v>
      </c>
      <c r="B30" s="37" t="s">
        <v>83</v>
      </c>
      <c r="C30" s="37" t="s">
        <v>84</v>
      </c>
      <c r="D30" s="61">
        <v>98</v>
      </c>
      <c r="E30" s="62" t="s">
        <v>871</v>
      </c>
      <c r="F30" s="63" t="s">
        <v>24</v>
      </c>
      <c r="G30" s="63" t="s">
        <v>75</v>
      </c>
      <c r="H30" s="64">
        <v>42619</v>
      </c>
      <c r="I30" s="86">
        <v>1623855</v>
      </c>
      <c r="J30" s="62" t="s">
        <v>872</v>
      </c>
      <c r="K30" s="62" t="s">
        <v>873</v>
      </c>
      <c r="L30" s="62"/>
      <c r="M30" s="87" t="s">
        <v>254</v>
      </c>
      <c r="N30" s="88" t="s">
        <v>874</v>
      </c>
      <c r="O30" s="86">
        <f>I30</f>
        <v>1623855</v>
      </c>
      <c r="P30" s="86">
        <f>300000+300000+585000+292500+146355</f>
        <v>1623855</v>
      </c>
      <c r="Q30" s="93"/>
      <c r="R30" s="86"/>
      <c r="S30" s="86"/>
      <c r="T30" s="93"/>
      <c r="U30" s="86"/>
      <c r="V30" s="86"/>
      <c r="W30" s="93"/>
      <c r="X30" s="86"/>
      <c r="Y30" s="86"/>
      <c r="Z30" s="93"/>
      <c r="AA30" s="86"/>
      <c r="AB30" s="86"/>
      <c r="AC30" s="93"/>
      <c r="AD30" s="86"/>
      <c r="AE30" s="86"/>
      <c r="AF30" s="93"/>
      <c r="AG30" s="86"/>
      <c r="AH30" s="86"/>
      <c r="AI30" s="93"/>
      <c r="AJ30" s="86"/>
      <c r="AK30" s="107"/>
      <c r="AL30" s="108">
        <f t="shared" si="10"/>
        <v>1623855</v>
      </c>
      <c r="AM30" s="109">
        <f t="shared" si="11"/>
        <v>0</v>
      </c>
      <c r="AN30" s="110">
        <f t="shared" si="12"/>
        <v>1</v>
      </c>
      <c r="AO30" s="109">
        <f t="shared" si="13"/>
        <v>1623855</v>
      </c>
      <c r="AP30" s="117" t="str">
        <f t="shared" si="14"/>
        <v>数据正确</v>
      </c>
    </row>
    <row r="31" s="37" customFormat="1" customHeight="1" spans="1:42">
      <c r="A31" s="56" t="str">
        <f t="shared" si="9"/>
        <v/>
      </c>
      <c r="B31" s="56" t="s">
        <v>83</v>
      </c>
      <c r="C31" s="37" t="s">
        <v>84</v>
      </c>
      <c r="D31" s="61">
        <v>144</v>
      </c>
      <c r="E31" s="63" t="s">
        <v>875</v>
      </c>
      <c r="F31" s="59" t="s">
        <v>24</v>
      </c>
      <c r="G31" s="63" t="s">
        <v>75</v>
      </c>
      <c r="H31" s="64">
        <v>42620</v>
      </c>
      <c r="I31" s="86">
        <v>506000</v>
      </c>
      <c r="J31" s="62" t="s">
        <v>876</v>
      </c>
      <c r="K31" s="62" t="s">
        <v>787</v>
      </c>
      <c r="L31" s="62"/>
      <c r="M31" s="87" t="s">
        <v>278</v>
      </c>
      <c r="N31" s="88" t="s">
        <v>820</v>
      </c>
      <c r="O31" s="86">
        <f>I31*0.8</f>
        <v>404800</v>
      </c>
      <c r="P31" s="86">
        <f>194000+74000</f>
        <v>268000</v>
      </c>
      <c r="Q31" s="93" t="s">
        <v>821</v>
      </c>
      <c r="R31" s="86">
        <f>I31*0.15</f>
        <v>75900</v>
      </c>
      <c r="S31" s="86"/>
      <c r="T31" s="93" t="s">
        <v>822</v>
      </c>
      <c r="U31" s="86">
        <f>I31*0.05</f>
        <v>25300</v>
      </c>
      <c r="V31" s="86"/>
      <c r="W31" s="93"/>
      <c r="X31" s="86"/>
      <c r="Y31" s="86"/>
      <c r="Z31" s="93"/>
      <c r="AA31" s="86"/>
      <c r="AB31" s="86"/>
      <c r="AC31" s="93"/>
      <c r="AD31" s="86"/>
      <c r="AE31" s="86"/>
      <c r="AF31" s="93"/>
      <c r="AG31" s="86"/>
      <c r="AH31" s="86"/>
      <c r="AI31" s="93"/>
      <c r="AJ31" s="86"/>
      <c r="AK31" s="107"/>
      <c r="AL31" s="108">
        <f t="shared" si="10"/>
        <v>268000</v>
      </c>
      <c r="AM31" s="109">
        <f t="shared" si="11"/>
        <v>238000</v>
      </c>
      <c r="AN31" s="110">
        <f t="shared" si="12"/>
        <v>0.529644268774704</v>
      </c>
      <c r="AO31" s="109">
        <f t="shared" si="13"/>
        <v>506000</v>
      </c>
      <c r="AP31" s="117" t="str">
        <f t="shared" si="14"/>
        <v>数据正确</v>
      </c>
    </row>
    <row r="32" s="37" customFormat="1" customHeight="1" spans="1:42">
      <c r="A32" s="37" t="str">
        <f t="shared" si="9"/>
        <v>已完毕</v>
      </c>
      <c r="B32" s="37" t="s">
        <v>83</v>
      </c>
      <c r="C32" s="37" t="s">
        <v>84</v>
      </c>
      <c r="D32" s="61">
        <v>99</v>
      </c>
      <c r="E32" s="62" t="s">
        <v>877</v>
      </c>
      <c r="F32" s="63" t="s">
        <v>24</v>
      </c>
      <c r="G32" s="63" t="s">
        <v>75</v>
      </c>
      <c r="H32" s="64">
        <v>42626</v>
      </c>
      <c r="I32" s="86">
        <v>41148</v>
      </c>
      <c r="J32" s="62" t="s">
        <v>878</v>
      </c>
      <c r="K32" s="62" t="s">
        <v>879</v>
      </c>
      <c r="L32" s="62"/>
      <c r="M32" s="87" t="s">
        <v>254</v>
      </c>
      <c r="N32" s="88" t="s">
        <v>880</v>
      </c>
      <c r="O32" s="86">
        <f>I32</f>
        <v>41148</v>
      </c>
      <c r="P32" s="86">
        <v>41148</v>
      </c>
      <c r="Q32" s="93"/>
      <c r="R32" s="86"/>
      <c r="S32" s="86"/>
      <c r="T32" s="93"/>
      <c r="U32" s="86"/>
      <c r="V32" s="86"/>
      <c r="W32" s="93"/>
      <c r="X32" s="86"/>
      <c r="Y32" s="86"/>
      <c r="Z32" s="93"/>
      <c r="AA32" s="86"/>
      <c r="AB32" s="86"/>
      <c r="AC32" s="93"/>
      <c r="AD32" s="86"/>
      <c r="AE32" s="86"/>
      <c r="AF32" s="93"/>
      <c r="AG32" s="86"/>
      <c r="AH32" s="86"/>
      <c r="AI32" s="93"/>
      <c r="AJ32" s="86"/>
      <c r="AK32" s="107"/>
      <c r="AL32" s="108">
        <f t="shared" si="10"/>
        <v>41148</v>
      </c>
      <c r="AM32" s="109">
        <f t="shared" si="11"/>
        <v>0</v>
      </c>
      <c r="AN32" s="110">
        <f t="shared" si="12"/>
        <v>1</v>
      </c>
      <c r="AO32" s="109">
        <f t="shared" si="13"/>
        <v>41148</v>
      </c>
      <c r="AP32" s="117" t="str">
        <f t="shared" si="14"/>
        <v>数据正确</v>
      </c>
    </row>
    <row r="33" s="120" customFormat="1" customHeight="1" spans="1:46">
      <c r="A33" s="37" t="str">
        <f t="shared" si="9"/>
        <v>已完毕</v>
      </c>
      <c r="B33" s="37" t="s">
        <v>83</v>
      </c>
      <c r="C33" s="37" t="s">
        <v>84</v>
      </c>
      <c r="D33" s="61">
        <v>30</v>
      </c>
      <c r="E33" s="62" t="s">
        <v>881</v>
      </c>
      <c r="F33" s="63" t="s">
        <v>24</v>
      </c>
      <c r="G33" s="129">
        <v>2017020027</v>
      </c>
      <c r="H33" s="64">
        <v>42674</v>
      </c>
      <c r="I33" s="149">
        <v>942505.1</v>
      </c>
      <c r="J33" s="150" t="s">
        <v>882</v>
      </c>
      <c r="K33" s="151" t="s">
        <v>883</v>
      </c>
      <c r="L33" s="152" t="s">
        <v>884</v>
      </c>
      <c r="M33" s="153" t="s">
        <v>76</v>
      </c>
      <c r="N33" s="88" t="s">
        <v>885</v>
      </c>
      <c r="O33" s="86">
        <f>3000*157.9</f>
        <v>473700</v>
      </c>
      <c r="P33" s="86">
        <v>473700</v>
      </c>
      <c r="Q33" s="93" t="s">
        <v>885</v>
      </c>
      <c r="R33" s="86">
        <v>468805.1</v>
      </c>
      <c r="S33" s="86">
        <v>468805.1</v>
      </c>
      <c r="T33" s="93"/>
      <c r="U33" s="86"/>
      <c r="V33" s="86"/>
      <c r="W33" s="93"/>
      <c r="X33" s="86"/>
      <c r="Y33" s="86"/>
      <c r="Z33" s="93"/>
      <c r="AA33" s="86"/>
      <c r="AB33" s="86"/>
      <c r="AC33" s="93"/>
      <c r="AD33" s="86"/>
      <c r="AE33" s="86"/>
      <c r="AF33" s="93"/>
      <c r="AG33" s="86"/>
      <c r="AH33" s="86"/>
      <c r="AI33" s="93"/>
      <c r="AJ33" s="86"/>
      <c r="AK33" s="107"/>
      <c r="AL33" s="108">
        <f t="shared" si="10"/>
        <v>942505.1</v>
      </c>
      <c r="AM33" s="109">
        <f t="shared" si="11"/>
        <v>0</v>
      </c>
      <c r="AN33" s="110">
        <f t="shared" si="12"/>
        <v>1</v>
      </c>
      <c r="AO33" s="109">
        <f t="shared" si="13"/>
        <v>942505.1</v>
      </c>
      <c r="AP33" s="117" t="str">
        <f t="shared" si="14"/>
        <v>数据正确</v>
      </c>
      <c r="AQ33" s="37"/>
      <c r="AR33" s="37"/>
      <c r="AS33" s="37"/>
      <c r="AT33" s="37"/>
    </row>
    <row r="34" s="37" customFormat="1" customHeight="1" spans="1:46">
      <c r="A34" s="37" t="str">
        <f t="shared" si="9"/>
        <v>已完毕</v>
      </c>
      <c r="B34" s="37" t="s">
        <v>83</v>
      </c>
      <c r="C34" s="37" t="s">
        <v>84</v>
      </c>
      <c r="D34" s="61">
        <v>130</v>
      </c>
      <c r="E34" s="62" t="s">
        <v>886</v>
      </c>
      <c r="F34" s="63" t="s">
        <v>24</v>
      </c>
      <c r="G34" s="63" t="s">
        <v>75</v>
      </c>
      <c r="H34" s="64">
        <v>42675</v>
      </c>
      <c r="I34" s="86">
        <v>948600</v>
      </c>
      <c r="J34" s="62" t="s">
        <v>887</v>
      </c>
      <c r="K34" s="62" t="s">
        <v>873</v>
      </c>
      <c r="L34" s="62"/>
      <c r="M34" s="87" t="s">
        <v>254</v>
      </c>
      <c r="N34" s="88" t="s">
        <v>888</v>
      </c>
      <c r="O34" s="86">
        <v>948600</v>
      </c>
      <c r="P34" s="86">
        <f>510000+438600</f>
        <v>948600</v>
      </c>
      <c r="Q34" s="93"/>
      <c r="R34" s="86"/>
      <c r="S34" s="86"/>
      <c r="T34" s="93"/>
      <c r="U34" s="86"/>
      <c r="V34" s="86"/>
      <c r="W34" s="93"/>
      <c r="X34" s="86"/>
      <c r="Y34" s="86"/>
      <c r="Z34" s="93"/>
      <c r="AA34" s="86"/>
      <c r="AB34" s="86"/>
      <c r="AC34" s="93"/>
      <c r="AD34" s="86"/>
      <c r="AE34" s="86"/>
      <c r="AF34" s="93"/>
      <c r="AG34" s="86"/>
      <c r="AH34" s="86"/>
      <c r="AI34" s="93"/>
      <c r="AJ34" s="86"/>
      <c r="AK34" s="107"/>
      <c r="AL34" s="108">
        <f t="shared" si="10"/>
        <v>948600</v>
      </c>
      <c r="AM34" s="109">
        <f t="shared" si="11"/>
        <v>0</v>
      </c>
      <c r="AN34" s="110">
        <f t="shared" si="12"/>
        <v>1</v>
      </c>
      <c r="AO34" s="109">
        <f t="shared" si="13"/>
        <v>948600</v>
      </c>
      <c r="AP34" s="117" t="str">
        <f t="shared" si="14"/>
        <v>数据正确</v>
      </c>
      <c r="AQ34" s="120"/>
      <c r="AR34" s="120"/>
      <c r="AS34" s="120"/>
      <c r="AT34" s="120"/>
    </row>
    <row r="35" s="37" customFormat="1" customHeight="1" spans="1:42">
      <c r="A35" s="37" t="str">
        <f t="shared" si="9"/>
        <v/>
      </c>
      <c r="B35" s="37" t="s">
        <v>83</v>
      </c>
      <c r="C35" s="37" t="s">
        <v>84</v>
      </c>
      <c r="D35" s="61">
        <v>166</v>
      </c>
      <c r="E35" s="62" t="s">
        <v>889</v>
      </c>
      <c r="F35" s="63" t="s">
        <v>24</v>
      </c>
      <c r="G35" s="63"/>
      <c r="H35" s="64">
        <v>42679</v>
      </c>
      <c r="I35" s="144">
        <v>157705</v>
      </c>
      <c r="J35" s="62" t="s">
        <v>890</v>
      </c>
      <c r="K35" s="62" t="s">
        <v>891</v>
      </c>
      <c r="L35" s="62"/>
      <c r="M35" s="87" t="s">
        <v>892</v>
      </c>
      <c r="N35" s="88" t="s">
        <v>893</v>
      </c>
      <c r="O35" s="86">
        <f>I35*0.8</f>
        <v>126164</v>
      </c>
      <c r="P35" s="86">
        <v>126164</v>
      </c>
      <c r="Q35" s="93" t="s">
        <v>894</v>
      </c>
      <c r="R35" s="86">
        <f>I35*0.1</f>
        <v>15770.5</v>
      </c>
      <c r="S35" s="86">
        <v>15770.5</v>
      </c>
      <c r="T35" s="93" t="s">
        <v>895</v>
      </c>
      <c r="U35" s="86">
        <f>I35*0.1</f>
        <v>15770.5</v>
      </c>
      <c r="V35" s="86"/>
      <c r="W35" s="93"/>
      <c r="X35" s="86"/>
      <c r="Y35" s="86"/>
      <c r="Z35" s="93"/>
      <c r="AA35" s="86"/>
      <c r="AB35" s="86"/>
      <c r="AC35" s="93"/>
      <c r="AD35" s="86"/>
      <c r="AE35" s="86"/>
      <c r="AF35" s="93"/>
      <c r="AG35" s="86"/>
      <c r="AH35" s="86"/>
      <c r="AI35" s="93"/>
      <c r="AJ35" s="86"/>
      <c r="AK35" s="107"/>
      <c r="AL35" s="108">
        <f t="shared" si="10"/>
        <v>141934.5</v>
      </c>
      <c r="AM35" s="109">
        <f t="shared" si="11"/>
        <v>15770.5</v>
      </c>
      <c r="AN35" s="110">
        <f t="shared" si="12"/>
        <v>0.9</v>
      </c>
      <c r="AO35" s="109">
        <f t="shared" si="13"/>
        <v>157705</v>
      </c>
      <c r="AP35" s="117" t="str">
        <f t="shared" si="14"/>
        <v>数据正确</v>
      </c>
    </row>
    <row r="36" s="37" customFormat="1" customHeight="1" spans="1:42">
      <c r="A36" s="37" t="str">
        <f t="shared" si="9"/>
        <v>已完毕</v>
      </c>
      <c r="B36" s="37" t="s">
        <v>83</v>
      </c>
      <c r="C36" s="37" t="s">
        <v>84</v>
      </c>
      <c r="D36" s="61">
        <v>100</v>
      </c>
      <c r="E36" s="62" t="s">
        <v>896</v>
      </c>
      <c r="F36" s="63" t="s">
        <v>24</v>
      </c>
      <c r="G36" s="63" t="s">
        <v>75</v>
      </c>
      <c r="H36" s="64">
        <v>42680</v>
      </c>
      <c r="I36" s="86">
        <f>13200*138</f>
        <v>1821600</v>
      </c>
      <c r="J36" s="62" t="s">
        <v>897</v>
      </c>
      <c r="K36" s="62" t="s">
        <v>873</v>
      </c>
      <c r="L36" s="62"/>
      <c r="M36" s="87" t="s">
        <v>254</v>
      </c>
      <c r="N36" s="88" t="s">
        <v>888</v>
      </c>
      <c r="O36" s="86">
        <v>1821600</v>
      </c>
      <c r="P36" s="86">
        <f>414000+414000+414000+579600</f>
        <v>1821600</v>
      </c>
      <c r="Q36" s="93"/>
      <c r="R36" s="86"/>
      <c r="S36" s="86"/>
      <c r="T36" s="93"/>
      <c r="U36" s="86"/>
      <c r="V36" s="86"/>
      <c r="W36" s="93"/>
      <c r="X36" s="86"/>
      <c r="Y36" s="86"/>
      <c r="Z36" s="93"/>
      <c r="AA36" s="86"/>
      <c r="AB36" s="86"/>
      <c r="AC36" s="93"/>
      <c r="AD36" s="86"/>
      <c r="AE36" s="86"/>
      <c r="AF36" s="93"/>
      <c r="AG36" s="86"/>
      <c r="AH36" s="86"/>
      <c r="AI36" s="93"/>
      <c r="AJ36" s="86"/>
      <c r="AK36" s="107"/>
      <c r="AL36" s="108">
        <f t="shared" si="10"/>
        <v>1821600</v>
      </c>
      <c r="AM36" s="109">
        <f t="shared" si="11"/>
        <v>0</v>
      </c>
      <c r="AN36" s="110">
        <f t="shared" si="12"/>
        <v>1</v>
      </c>
      <c r="AO36" s="109">
        <f t="shared" si="13"/>
        <v>1821600</v>
      </c>
      <c r="AP36" s="117" t="str">
        <f t="shared" si="14"/>
        <v>数据正确</v>
      </c>
    </row>
    <row r="37" s="37" customFormat="1" customHeight="1" spans="1:44">
      <c r="A37" s="56" t="str">
        <f t="shared" si="9"/>
        <v/>
      </c>
      <c r="B37" s="56" t="s">
        <v>83</v>
      </c>
      <c r="C37" s="37" t="s">
        <v>84</v>
      </c>
      <c r="D37" s="61">
        <v>143</v>
      </c>
      <c r="E37" s="63" t="s">
        <v>898</v>
      </c>
      <c r="F37" s="59" t="s">
        <v>24</v>
      </c>
      <c r="G37" s="63" t="s">
        <v>75</v>
      </c>
      <c r="H37" s="64">
        <v>42690</v>
      </c>
      <c r="I37" s="86">
        <v>660000</v>
      </c>
      <c r="J37" s="62" t="s">
        <v>899</v>
      </c>
      <c r="K37" s="62" t="s">
        <v>787</v>
      </c>
      <c r="L37" s="62"/>
      <c r="M37" s="87" t="s">
        <v>278</v>
      </c>
      <c r="N37" s="88" t="s">
        <v>820</v>
      </c>
      <c r="O37" s="86">
        <f>I37*0.8</f>
        <v>528000</v>
      </c>
      <c r="P37" s="86">
        <v>471600</v>
      </c>
      <c r="Q37" s="93" t="s">
        <v>821</v>
      </c>
      <c r="R37" s="86">
        <f>I37*0.15</f>
        <v>99000</v>
      </c>
      <c r="S37" s="86"/>
      <c r="T37" s="93" t="s">
        <v>822</v>
      </c>
      <c r="U37" s="86">
        <f>I37*0.05</f>
        <v>33000</v>
      </c>
      <c r="V37" s="86"/>
      <c r="W37" s="93"/>
      <c r="X37" s="86"/>
      <c r="Y37" s="86"/>
      <c r="Z37" s="93"/>
      <c r="AA37" s="86"/>
      <c r="AB37" s="86"/>
      <c r="AC37" s="93"/>
      <c r="AD37" s="86"/>
      <c r="AE37" s="86"/>
      <c r="AF37" s="93"/>
      <c r="AG37" s="86"/>
      <c r="AH37" s="86"/>
      <c r="AI37" s="93"/>
      <c r="AJ37" s="86"/>
      <c r="AK37" s="107"/>
      <c r="AL37" s="108">
        <f t="shared" si="10"/>
        <v>471600</v>
      </c>
      <c r="AM37" s="109">
        <f t="shared" si="11"/>
        <v>188400</v>
      </c>
      <c r="AN37" s="110">
        <f t="shared" si="12"/>
        <v>0.714545454545455</v>
      </c>
      <c r="AO37" s="109">
        <f t="shared" si="13"/>
        <v>660000</v>
      </c>
      <c r="AP37" s="117" t="str">
        <f t="shared" si="14"/>
        <v>数据正确</v>
      </c>
      <c r="AQ37" s="37" t="s">
        <v>900</v>
      </c>
      <c r="AR37" s="37" t="s">
        <v>112</v>
      </c>
    </row>
    <row r="38" s="37" customFormat="1" customHeight="1" spans="1:42">
      <c r="A38" s="37" t="str">
        <f t="shared" si="9"/>
        <v/>
      </c>
      <c r="B38" s="37" t="s">
        <v>83</v>
      </c>
      <c r="C38" s="37" t="s">
        <v>84</v>
      </c>
      <c r="D38" s="61">
        <v>108</v>
      </c>
      <c r="E38" s="62" t="s">
        <v>901</v>
      </c>
      <c r="F38" s="63" t="s">
        <v>24</v>
      </c>
      <c r="G38" s="63" t="s">
        <v>75</v>
      </c>
      <c r="H38" s="64">
        <v>42704</v>
      </c>
      <c r="I38" s="144">
        <v>28461</v>
      </c>
      <c r="J38" s="62" t="s">
        <v>855</v>
      </c>
      <c r="K38" s="62" t="s">
        <v>856</v>
      </c>
      <c r="L38" s="62"/>
      <c r="M38" s="87" t="s">
        <v>76</v>
      </c>
      <c r="N38" s="88" t="s">
        <v>857</v>
      </c>
      <c r="O38" s="86">
        <f>I38</f>
        <v>28461</v>
      </c>
      <c r="P38" s="86">
        <f>3589+21105</f>
        <v>24694</v>
      </c>
      <c r="Q38" s="93"/>
      <c r="R38" s="86"/>
      <c r="S38" s="86"/>
      <c r="T38" s="93"/>
      <c r="U38" s="86"/>
      <c r="V38" s="86"/>
      <c r="W38" s="93"/>
      <c r="X38" s="86"/>
      <c r="Y38" s="86"/>
      <c r="Z38" s="93"/>
      <c r="AA38" s="86"/>
      <c r="AB38" s="86"/>
      <c r="AC38" s="93"/>
      <c r="AD38" s="86"/>
      <c r="AE38" s="86"/>
      <c r="AF38" s="93"/>
      <c r="AG38" s="86"/>
      <c r="AH38" s="86"/>
      <c r="AI38" s="93"/>
      <c r="AJ38" s="86"/>
      <c r="AK38" s="107"/>
      <c r="AL38" s="108">
        <f t="shared" si="10"/>
        <v>24694</v>
      </c>
      <c r="AM38" s="109">
        <f t="shared" si="11"/>
        <v>3767</v>
      </c>
      <c r="AN38" s="110">
        <f t="shared" si="12"/>
        <v>0.867643441902955</v>
      </c>
      <c r="AO38" s="109">
        <f t="shared" si="13"/>
        <v>28461</v>
      </c>
      <c r="AP38" s="117" t="str">
        <f t="shared" si="14"/>
        <v>数据正确</v>
      </c>
    </row>
    <row r="39" s="120" customFormat="1" customHeight="1" spans="1:46">
      <c r="A39" s="37" t="str">
        <f t="shared" si="9"/>
        <v/>
      </c>
      <c r="B39" s="37" t="s">
        <v>83</v>
      </c>
      <c r="C39" s="37" t="s">
        <v>84</v>
      </c>
      <c r="D39" s="61">
        <v>101</v>
      </c>
      <c r="E39" s="62" t="s">
        <v>902</v>
      </c>
      <c r="F39" s="63" t="s">
        <v>24</v>
      </c>
      <c r="G39" s="63" t="s">
        <v>75</v>
      </c>
      <c r="H39" s="64">
        <v>42706</v>
      </c>
      <c r="I39" s="144">
        <f>133200*1.24</f>
        <v>165168</v>
      </c>
      <c r="J39" s="62" t="s">
        <v>903</v>
      </c>
      <c r="K39" s="62" t="s">
        <v>837</v>
      </c>
      <c r="L39" s="62"/>
      <c r="M39" s="87" t="s">
        <v>76</v>
      </c>
      <c r="N39" s="88" t="s">
        <v>904</v>
      </c>
      <c r="O39" s="86">
        <f>I39</f>
        <v>165168</v>
      </c>
      <c r="P39" s="86">
        <f>149369.16</f>
        <v>149369.16</v>
      </c>
      <c r="Q39" s="93"/>
      <c r="R39" s="86"/>
      <c r="S39" s="86"/>
      <c r="T39" s="93"/>
      <c r="U39" s="86"/>
      <c r="V39" s="86"/>
      <c r="W39" s="93"/>
      <c r="X39" s="86"/>
      <c r="Y39" s="86"/>
      <c r="Z39" s="93"/>
      <c r="AA39" s="86"/>
      <c r="AB39" s="86"/>
      <c r="AC39" s="93"/>
      <c r="AD39" s="86"/>
      <c r="AE39" s="86"/>
      <c r="AF39" s="93"/>
      <c r="AG39" s="86"/>
      <c r="AH39" s="86"/>
      <c r="AI39" s="93"/>
      <c r="AJ39" s="86"/>
      <c r="AK39" s="107"/>
      <c r="AL39" s="108">
        <f t="shared" si="10"/>
        <v>149369.16</v>
      </c>
      <c r="AM39" s="109">
        <f t="shared" si="11"/>
        <v>15798.84</v>
      </c>
      <c r="AN39" s="110">
        <f t="shared" si="12"/>
        <v>0.904346846846847</v>
      </c>
      <c r="AO39" s="109">
        <f t="shared" si="13"/>
        <v>165168</v>
      </c>
      <c r="AP39" s="117" t="str">
        <f t="shared" si="14"/>
        <v>数据正确</v>
      </c>
      <c r="AQ39" s="37"/>
      <c r="AR39" s="37"/>
      <c r="AS39" s="37"/>
      <c r="AT39" s="37"/>
    </row>
    <row r="40" s="37" customFormat="1" customHeight="1" spans="1:42">
      <c r="A40" s="37" t="str">
        <f t="shared" si="9"/>
        <v/>
      </c>
      <c r="B40" s="37" t="s">
        <v>83</v>
      </c>
      <c r="C40" s="37" t="s">
        <v>84</v>
      </c>
      <c r="D40" s="61">
        <v>28</v>
      </c>
      <c r="E40" s="62" t="s">
        <v>905</v>
      </c>
      <c r="F40" s="63" t="s">
        <v>24</v>
      </c>
      <c r="G40" s="129">
        <v>2016120024</v>
      </c>
      <c r="H40" s="64">
        <v>42733</v>
      </c>
      <c r="I40" s="144">
        <v>70000</v>
      </c>
      <c r="J40" s="151" t="s">
        <v>906</v>
      </c>
      <c r="K40" s="151" t="s">
        <v>907</v>
      </c>
      <c r="L40" s="152" t="s">
        <v>908</v>
      </c>
      <c r="M40" s="153" t="s">
        <v>76</v>
      </c>
      <c r="N40" s="88" t="s">
        <v>909</v>
      </c>
      <c r="O40" s="86">
        <v>70000</v>
      </c>
      <c r="P40" s="86"/>
      <c r="Q40" s="93"/>
      <c r="R40" s="86"/>
      <c r="S40" s="86"/>
      <c r="T40" s="93"/>
      <c r="U40" s="86"/>
      <c r="V40" s="86"/>
      <c r="W40" s="93"/>
      <c r="X40" s="86"/>
      <c r="Y40" s="86"/>
      <c r="Z40" s="93"/>
      <c r="AA40" s="86"/>
      <c r="AB40" s="86"/>
      <c r="AC40" s="93"/>
      <c r="AD40" s="86"/>
      <c r="AE40" s="86"/>
      <c r="AF40" s="93"/>
      <c r="AG40" s="86"/>
      <c r="AH40" s="86"/>
      <c r="AI40" s="93"/>
      <c r="AJ40" s="86"/>
      <c r="AK40" s="107"/>
      <c r="AL40" s="108">
        <f t="shared" si="10"/>
        <v>0</v>
      </c>
      <c r="AM40" s="109">
        <f t="shared" si="11"/>
        <v>70000</v>
      </c>
      <c r="AN40" s="110">
        <f t="shared" si="12"/>
        <v>0</v>
      </c>
      <c r="AO40" s="109">
        <f t="shared" si="13"/>
        <v>70000</v>
      </c>
      <c r="AP40" s="117" t="str">
        <f t="shared" si="14"/>
        <v>数据正确</v>
      </c>
    </row>
    <row r="41" s="37" customFormat="1" customHeight="1" spans="1:42">
      <c r="A41" s="37" t="str">
        <f t="shared" si="9"/>
        <v>已完毕</v>
      </c>
      <c r="B41" s="37" t="s">
        <v>83</v>
      </c>
      <c r="C41" s="37" t="s">
        <v>84</v>
      </c>
      <c r="D41" s="61">
        <v>133</v>
      </c>
      <c r="E41" s="62" t="s">
        <v>910</v>
      </c>
      <c r="F41" s="63" t="s">
        <v>24</v>
      </c>
      <c r="G41" s="63"/>
      <c r="H41" s="64">
        <v>42733</v>
      </c>
      <c r="I41" s="144">
        <v>40729.92</v>
      </c>
      <c r="J41" s="62" t="s">
        <v>911</v>
      </c>
      <c r="K41" s="62" t="s">
        <v>837</v>
      </c>
      <c r="L41" s="62"/>
      <c r="M41" s="87" t="s">
        <v>838</v>
      </c>
      <c r="N41" s="88" t="s">
        <v>904</v>
      </c>
      <c r="O41" s="86">
        <v>40729.92</v>
      </c>
      <c r="P41" s="86">
        <f>39507+1222.92</f>
        <v>40729.92</v>
      </c>
      <c r="Q41" s="93"/>
      <c r="R41" s="86"/>
      <c r="S41" s="86"/>
      <c r="T41" s="93"/>
      <c r="U41" s="86"/>
      <c r="V41" s="86"/>
      <c r="W41" s="93"/>
      <c r="X41" s="86"/>
      <c r="Y41" s="86"/>
      <c r="Z41" s="93"/>
      <c r="AA41" s="86"/>
      <c r="AB41" s="86"/>
      <c r="AC41" s="93"/>
      <c r="AD41" s="86"/>
      <c r="AE41" s="86"/>
      <c r="AF41" s="93"/>
      <c r="AG41" s="86"/>
      <c r="AH41" s="86"/>
      <c r="AI41" s="93"/>
      <c r="AJ41" s="86"/>
      <c r="AK41" s="107"/>
      <c r="AL41" s="108">
        <f t="shared" si="10"/>
        <v>40729.92</v>
      </c>
      <c r="AM41" s="109">
        <f t="shared" si="11"/>
        <v>0</v>
      </c>
      <c r="AN41" s="110">
        <f t="shared" si="12"/>
        <v>1</v>
      </c>
      <c r="AO41" s="109">
        <f t="shared" si="13"/>
        <v>40729.92</v>
      </c>
      <c r="AP41" s="117" t="str">
        <f t="shared" si="14"/>
        <v>数据正确</v>
      </c>
    </row>
    <row r="42" s="37" customFormat="1" customHeight="1" spans="1:42">
      <c r="A42" s="56" t="str">
        <f t="shared" si="9"/>
        <v/>
      </c>
      <c r="B42" s="56" t="s">
        <v>83</v>
      </c>
      <c r="C42" s="37" t="s">
        <v>84</v>
      </c>
      <c r="D42" s="61">
        <v>145</v>
      </c>
      <c r="E42" s="63" t="s">
        <v>912</v>
      </c>
      <c r="F42" s="59" t="s">
        <v>24</v>
      </c>
      <c r="G42" s="63" t="s">
        <v>75</v>
      </c>
      <c r="H42" s="64">
        <v>42745</v>
      </c>
      <c r="I42" s="144">
        <f>177871.82*1.11*0.9</f>
        <v>177693.94818</v>
      </c>
      <c r="J42" s="62" t="s">
        <v>913</v>
      </c>
      <c r="K42" s="62" t="s">
        <v>914</v>
      </c>
      <c r="L42" s="62"/>
      <c r="M42" s="87" t="s">
        <v>278</v>
      </c>
      <c r="N42" s="88" t="s">
        <v>915</v>
      </c>
      <c r="O42" s="86">
        <f>I42*0.8</f>
        <v>142155.158544</v>
      </c>
      <c r="P42" s="86">
        <v>140000</v>
      </c>
      <c r="Q42" s="93" t="s">
        <v>821</v>
      </c>
      <c r="R42" s="86">
        <f>I42*0.15</f>
        <v>26654.092227</v>
      </c>
      <c r="S42" s="86"/>
      <c r="T42" s="93" t="s">
        <v>916</v>
      </c>
      <c r="U42" s="86">
        <f>I42*0.05</f>
        <v>8884.697409</v>
      </c>
      <c r="V42" s="86"/>
      <c r="W42" s="93"/>
      <c r="X42" s="86"/>
      <c r="Y42" s="86"/>
      <c r="Z42" s="93"/>
      <c r="AA42" s="86"/>
      <c r="AB42" s="86"/>
      <c r="AC42" s="93"/>
      <c r="AD42" s="86"/>
      <c r="AE42" s="86"/>
      <c r="AF42" s="93"/>
      <c r="AG42" s="86"/>
      <c r="AH42" s="86"/>
      <c r="AI42" s="93"/>
      <c r="AJ42" s="86"/>
      <c r="AK42" s="107"/>
      <c r="AL42" s="108">
        <f t="shared" si="10"/>
        <v>140000</v>
      </c>
      <c r="AM42" s="109">
        <f t="shared" si="11"/>
        <v>37693.94818</v>
      </c>
      <c r="AN42" s="110">
        <f t="shared" si="12"/>
        <v>0.78787151410572</v>
      </c>
      <c r="AO42" s="109">
        <f t="shared" si="13"/>
        <v>177693.94818</v>
      </c>
      <c r="AP42" s="117" t="str">
        <f t="shared" si="14"/>
        <v>数据正确</v>
      </c>
    </row>
    <row r="43" s="37" customFormat="1" customHeight="1" outlineLevel="1" spans="1:42">
      <c r="A43" s="56" t="str">
        <f t="shared" si="9"/>
        <v/>
      </c>
      <c r="B43" s="56" t="s">
        <v>83</v>
      </c>
      <c r="C43" s="56" t="s">
        <v>84</v>
      </c>
      <c r="D43" s="61">
        <v>139.1</v>
      </c>
      <c r="E43" s="63" t="s">
        <v>917</v>
      </c>
      <c r="F43" s="59" t="s">
        <v>24</v>
      </c>
      <c r="G43" s="63" t="s">
        <v>75</v>
      </c>
      <c r="H43" s="64">
        <v>42758</v>
      </c>
      <c r="I43" s="86">
        <v>3922848</v>
      </c>
      <c r="J43" s="62" t="s">
        <v>918</v>
      </c>
      <c r="K43" s="62" t="s">
        <v>919</v>
      </c>
      <c r="L43" s="62"/>
      <c r="M43" s="87" t="s">
        <v>528</v>
      </c>
      <c r="N43" s="88" t="s">
        <v>920</v>
      </c>
      <c r="O43" s="86">
        <f t="shared" ref="O43:O48" si="16">I43*0.2</f>
        <v>784569.6</v>
      </c>
      <c r="P43" s="86">
        <f>O43*0.8</f>
        <v>627655.68</v>
      </c>
      <c r="Q43" s="93" t="s">
        <v>921</v>
      </c>
      <c r="R43" s="86">
        <f t="shared" ref="R43:R48" si="17">I43*0.2</f>
        <v>784569.6</v>
      </c>
      <c r="S43" s="86">
        <f>R43*0.8</f>
        <v>627655.68</v>
      </c>
      <c r="T43" s="93" t="s">
        <v>922</v>
      </c>
      <c r="U43" s="86">
        <f>I43*0.2</f>
        <v>784569.6</v>
      </c>
      <c r="V43" s="86"/>
      <c r="W43" s="93" t="s">
        <v>923</v>
      </c>
      <c r="X43" s="86">
        <f>I43*0.2</f>
        <v>784569.6</v>
      </c>
      <c r="Y43" s="86"/>
      <c r="Z43" s="93" t="s">
        <v>924</v>
      </c>
      <c r="AA43" s="86">
        <f>I43*0.15</f>
        <v>588427.2</v>
      </c>
      <c r="AB43" s="86"/>
      <c r="AC43" s="93" t="s">
        <v>925</v>
      </c>
      <c r="AD43" s="86">
        <f>I43*0.05</f>
        <v>196142.4</v>
      </c>
      <c r="AE43" s="86"/>
      <c r="AF43" s="93"/>
      <c r="AG43" s="86"/>
      <c r="AH43" s="86"/>
      <c r="AI43" s="93"/>
      <c r="AJ43" s="86"/>
      <c r="AK43" s="107"/>
      <c r="AL43" s="108">
        <f t="shared" si="10"/>
        <v>1255311.36</v>
      </c>
      <c r="AM43" s="109">
        <f t="shared" si="11"/>
        <v>2667536.64</v>
      </c>
      <c r="AN43" s="110">
        <f t="shared" si="12"/>
        <v>0.32</v>
      </c>
      <c r="AO43" s="109">
        <f t="shared" si="13"/>
        <v>3922848</v>
      </c>
      <c r="AP43" s="117" t="str">
        <f t="shared" si="14"/>
        <v>数据正确</v>
      </c>
    </row>
    <row r="44" s="120" customFormat="1" customHeight="1" outlineLevel="1" spans="1:46">
      <c r="A44" s="56" t="str">
        <f t="shared" si="9"/>
        <v/>
      </c>
      <c r="B44" s="56" t="s">
        <v>83</v>
      </c>
      <c r="C44" s="56" t="s">
        <v>84</v>
      </c>
      <c r="D44" s="61">
        <v>139.2</v>
      </c>
      <c r="E44" s="63" t="s">
        <v>917</v>
      </c>
      <c r="F44" s="59" t="s">
        <v>24</v>
      </c>
      <c r="G44" s="63" t="s">
        <v>75</v>
      </c>
      <c r="H44" s="64">
        <v>42758</v>
      </c>
      <c r="I44" s="86">
        <v>12042463</v>
      </c>
      <c r="J44" s="62" t="s">
        <v>926</v>
      </c>
      <c r="K44" s="62" t="s">
        <v>919</v>
      </c>
      <c r="L44" s="62"/>
      <c r="M44" s="87" t="s">
        <v>528</v>
      </c>
      <c r="N44" s="88" t="s">
        <v>920</v>
      </c>
      <c r="O44" s="86">
        <f t="shared" si="16"/>
        <v>2408492.6</v>
      </c>
      <c r="P44" s="86">
        <f>O44*0.8</f>
        <v>1926794.08</v>
      </c>
      <c r="Q44" s="93" t="s">
        <v>921</v>
      </c>
      <c r="R44" s="86">
        <f t="shared" si="17"/>
        <v>2408492.6</v>
      </c>
      <c r="S44" s="86">
        <f>R44*0.8</f>
        <v>1926794.08</v>
      </c>
      <c r="T44" s="93" t="s">
        <v>922</v>
      </c>
      <c r="U44" s="86">
        <f>I44*0.2</f>
        <v>2408492.6</v>
      </c>
      <c r="V44" s="86"/>
      <c r="W44" s="93" t="s">
        <v>927</v>
      </c>
      <c r="X44" s="86">
        <f>I44*0.05</f>
        <v>602123.15</v>
      </c>
      <c r="Y44" s="86"/>
      <c r="Z44" s="93" t="s">
        <v>928</v>
      </c>
      <c r="AA44" s="86">
        <f>I44*0.05</f>
        <v>602123.15</v>
      </c>
      <c r="AB44" s="86"/>
      <c r="AC44" s="93" t="s">
        <v>929</v>
      </c>
      <c r="AD44" s="86">
        <f>I44*0.05</f>
        <v>602123.15</v>
      </c>
      <c r="AE44" s="86"/>
      <c r="AF44" s="93" t="s">
        <v>930</v>
      </c>
      <c r="AG44" s="86">
        <f>I44*0.07</f>
        <v>842972.41</v>
      </c>
      <c r="AH44" s="86"/>
      <c r="AI44" s="93" t="s">
        <v>931</v>
      </c>
      <c r="AJ44" s="86">
        <f>I44*0.18</f>
        <v>2167643.34</v>
      </c>
      <c r="AK44" s="107"/>
      <c r="AL44" s="108">
        <f t="shared" si="10"/>
        <v>3853588.16</v>
      </c>
      <c r="AM44" s="109">
        <f t="shared" si="11"/>
        <v>8188874.84</v>
      </c>
      <c r="AN44" s="110">
        <f t="shared" si="12"/>
        <v>0.32</v>
      </c>
      <c r="AO44" s="109">
        <f t="shared" si="13"/>
        <v>12042463</v>
      </c>
      <c r="AP44" s="117" t="str">
        <f t="shared" si="14"/>
        <v>数据正确</v>
      </c>
      <c r="AQ44" s="37"/>
      <c r="AR44" s="37"/>
      <c r="AS44" s="37"/>
      <c r="AT44" s="37"/>
    </row>
    <row r="45" s="37" customFormat="1" customHeight="1" outlineLevel="1" spans="1:42">
      <c r="A45" s="56" t="str">
        <f t="shared" si="9"/>
        <v/>
      </c>
      <c r="B45" s="56" t="s">
        <v>83</v>
      </c>
      <c r="C45" s="56" t="s">
        <v>84</v>
      </c>
      <c r="D45" s="61">
        <v>139.3</v>
      </c>
      <c r="E45" s="63" t="s">
        <v>917</v>
      </c>
      <c r="F45" s="59" t="s">
        <v>24</v>
      </c>
      <c r="G45" s="63" t="s">
        <v>75</v>
      </c>
      <c r="H45" s="64">
        <v>42758</v>
      </c>
      <c r="I45" s="86">
        <v>10484692</v>
      </c>
      <c r="J45" s="62" t="s">
        <v>932</v>
      </c>
      <c r="K45" s="62" t="s">
        <v>919</v>
      </c>
      <c r="L45" s="62"/>
      <c r="M45" s="87" t="s">
        <v>528</v>
      </c>
      <c r="N45" s="88" t="s">
        <v>920</v>
      </c>
      <c r="O45" s="86">
        <f t="shared" si="16"/>
        <v>2096938.4</v>
      </c>
      <c r="P45" s="86">
        <f>O45*0.8-4344.8</f>
        <v>1673205.92</v>
      </c>
      <c r="Q45" s="93" t="s">
        <v>921</v>
      </c>
      <c r="R45" s="86">
        <f t="shared" si="17"/>
        <v>2096938.4</v>
      </c>
      <c r="S45" s="86">
        <f>R45*0.8</f>
        <v>1677550.72</v>
      </c>
      <c r="T45" s="93" t="s">
        <v>922</v>
      </c>
      <c r="U45" s="86">
        <f>I45*0.15</f>
        <v>1572703.8</v>
      </c>
      <c r="V45" s="86"/>
      <c r="W45" s="93" t="s">
        <v>927</v>
      </c>
      <c r="X45" s="86">
        <f>I45*0.07</f>
        <v>733928.44</v>
      </c>
      <c r="Y45" s="86"/>
      <c r="Z45" s="93" t="s">
        <v>928</v>
      </c>
      <c r="AA45" s="86">
        <f>I45*0.07</f>
        <v>733928.44</v>
      </c>
      <c r="AB45" s="86"/>
      <c r="AC45" s="93" t="s">
        <v>929</v>
      </c>
      <c r="AD45" s="86">
        <f>I45*0.06</f>
        <v>629081.52</v>
      </c>
      <c r="AE45" s="86"/>
      <c r="AF45" s="93" t="s">
        <v>930</v>
      </c>
      <c r="AG45" s="86">
        <f>I45*0.07</f>
        <v>733928.44</v>
      </c>
      <c r="AH45" s="86"/>
      <c r="AI45" s="93" t="s">
        <v>931</v>
      </c>
      <c r="AJ45" s="86">
        <f>I45*0.18</f>
        <v>1887244.56</v>
      </c>
      <c r="AK45" s="107"/>
      <c r="AL45" s="108">
        <f t="shared" si="10"/>
        <v>3350756.64</v>
      </c>
      <c r="AM45" s="109">
        <f t="shared" si="11"/>
        <v>7133935.36</v>
      </c>
      <c r="AN45" s="110">
        <f t="shared" si="12"/>
        <v>0.319585605375914</v>
      </c>
      <c r="AO45" s="109">
        <f t="shared" si="13"/>
        <v>10484692</v>
      </c>
      <c r="AP45" s="117" t="str">
        <f t="shared" si="14"/>
        <v>数据正确</v>
      </c>
    </row>
    <row r="46" s="37" customFormat="1" customHeight="1" outlineLevel="1" spans="1:42">
      <c r="A46" s="56" t="str">
        <f t="shared" si="9"/>
        <v/>
      </c>
      <c r="B46" s="56" t="s">
        <v>83</v>
      </c>
      <c r="C46" s="56" t="s">
        <v>84</v>
      </c>
      <c r="D46" s="61">
        <v>139.4</v>
      </c>
      <c r="E46" s="63" t="s">
        <v>917</v>
      </c>
      <c r="F46" s="59" t="s">
        <v>24</v>
      </c>
      <c r="G46" s="63" t="s">
        <v>75</v>
      </c>
      <c r="H46" s="64">
        <v>42758</v>
      </c>
      <c r="I46" s="86">
        <v>413397</v>
      </c>
      <c r="J46" s="62" t="s">
        <v>686</v>
      </c>
      <c r="K46" s="62" t="s">
        <v>919</v>
      </c>
      <c r="L46" s="62"/>
      <c r="M46" s="87" t="s">
        <v>528</v>
      </c>
      <c r="N46" s="88" t="s">
        <v>920</v>
      </c>
      <c r="O46" s="86">
        <f t="shared" si="16"/>
        <v>82679.4</v>
      </c>
      <c r="P46" s="86">
        <f>O46*0.8-306.76</f>
        <v>65836.76</v>
      </c>
      <c r="Q46" s="93" t="s">
        <v>921</v>
      </c>
      <c r="R46" s="86">
        <f t="shared" si="17"/>
        <v>82679.4</v>
      </c>
      <c r="S46" s="86">
        <f>R46*0.8</f>
        <v>66143.52</v>
      </c>
      <c r="T46" s="93" t="s">
        <v>922</v>
      </c>
      <c r="U46" s="86">
        <f>I46*0.2</f>
        <v>82679.4</v>
      </c>
      <c r="V46" s="86"/>
      <c r="W46" s="93" t="s">
        <v>927</v>
      </c>
      <c r="X46" s="86">
        <f>I46*0.05</f>
        <v>20669.85</v>
      </c>
      <c r="Y46" s="86"/>
      <c r="Z46" s="93" t="s">
        <v>928</v>
      </c>
      <c r="AA46" s="86">
        <f>I46*0.05</f>
        <v>20669.85</v>
      </c>
      <c r="AB46" s="86"/>
      <c r="AC46" s="93" t="s">
        <v>929</v>
      </c>
      <c r="AD46" s="86">
        <f>I46*0.05</f>
        <v>20669.85</v>
      </c>
      <c r="AE46" s="86"/>
      <c r="AF46" s="93" t="s">
        <v>930</v>
      </c>
      <c r="AG46" s="86">
        <f>I46*0.07</f>
        <v>28937.79</v>
      </c>
      <c r="AH46" s="86"/>
      <c r="AI46" s="93" t="s">
        <v>931</v>
      </c>
      <c r="AJ46" s="86">
        <f>I46*0.18</f>
        <v>74411.46</v>
      </c>
      <c r="AK46" s="107"/>
      <c r="AL46" s="108">
        <f t="shared" si="10"/>
        <v>131980.28</v>
      </c>
      <c r="AM46" s="109">
        <f t="shared" si="11"/>
        <v>281416.72</v>
      </c>
      <c r="AN46" s="110">
        <f t="shared" si="12"/>
        <v>0.319257953008851</v>
      </c>
      <c r="AO46" s="109">
        <f t="shared" si="13"/>
        <v>413397</v>
      </c>
      <c r="AP46" s="117" t="str">
        <f t="shared" si="14"/>
        <v>数据正确</v>
      </c>
    </row>
    <row r="47" s="37" customFormat="1" customHeight="1" outlineLevel="1" spans="1:42">
      <c r="A47" s="56" t="str">
        <f t="shared" si="9"/>
        <v/>
      </c>
      <c r="B47" s="56" t="s">
        <v>83</v>
      </c>
      <c r="C47" s="56" t="s">
        <v>84</v>
      </c>
      <c r="D47" s="61">
        <v>139.5</v>
      </c>
      <c r="E47" s="63" t="s">
        <v>917</v>
      </c>
      <c r="F47" s="59" t="s">
        <v>24</v>
      </c>
      <c r="G47" s="63" t="s">
        <v>75</v>
      </c>
      <c r="H47" s="64">
        <v>42758</v>
      </c>
      <c r="I47" s="86">
        <v>3438962</v>
      </c>
      <c r="J47" s="62" t="s">
        <v>933</v>
      </c>
      <c r="K47" s="62" t="s">
        <v>919</v>
      </c>
      <c r="L47" s="62"/>
      <c r="M47" s="87" t="s">
        <v>528</v>
      </c>
      <c r="N47" s="88" t="s">
        <v>920</v>
      </c>
      <c r="O47" s="86">
        <f t="shared" si="16"/>
        <v>687792.4</v>
      </c>
      <c r="P47" s="86">
        <f>O47*0.8-573.28</f>
        <v>549660.64</v>
      </c>
      <c r="Q47" s="93" t="s">
        <v>921</v>
      </c>
      <c r="R47" s="86">
        <f t="shared" si="17"/>
        <v>687792.4</v>
      </c>
      <c r="S47" s="86">
        <f>R47*0.8</f>
        <v>550233.92</v>
      </c>
      <c r="T47" s="93" t="s">
        <v>922</v>
      </c>
      <c r="U47" s="86">
        <f>I47*0.2</f>
        <v>687792.4</v>
      </c>
      <c r="V47" s="86"/>
      <c r="W47" s="93" t="s">
        <v>927</v>
      </c>
      <c r="X47" s="86">
        <f>I47*0.05</f>
        <v>171948.1</v>
      </c>
      <c r="Y47" s="86"/>
      <c r="Z47" s="93" t="s">
        <v>928</v>
      </c>
      <c r="AA47" s="86">
        <f>I47*0.05</f>
        <v>171948.1</v>
      </c>
      <c r="AB47" s="86"/>
      <c r="AC47" s="93" t="s">
        <v>929</v>
      </c>
      <c r="AD47" s="86">
        <f>I47*0.05</f>
        <v>171948.1</v>
      </c>
      <c r="AE47" s="86"/>
      <c r="AF47" s="93" t="s">
        <v>930</v>
      </c>
      <c r="AG47" s="86">
        <f>I47*0.07</f>
        <v>240727.34</v>
      </c>
      <c r="AH47" s="86"/>
      <c r="AI47" s="93" t="s">
        <v>931</v>
      </c>
      <c r="AJ47" s="86">
        <f>I47*0.18</f>
        <v>619013.16</v>
      </c>
      <c r="AK47" s="107"/>
      <c r="AL47" s="108">
        <f t="shared" si="10"/>
        <v>1099894.56</v>
      </c>
      <c r="AM47" s="109">
        <f t="shared" si="11"/>
        <v>2339067.44</v>
      </c>
      <c r="AN47" s="110">
        <f t="shared" si="12"/>
        <v>0.319833298536012</v>
      </c>
      <c r="AO47" s="109">
        <f t="shared" si="13"/>
        <v>3438962</v>
      </c>
      <c r="AP47" s="117" t="str">
        <f t="shared" si="14"/>
        <v>数据正确</v>
      </c>
    </row>
    <row r="48" s="37" customFormat="1" customHeight="1" outlineLevel="1" spans="1:42">
      <c r="A48" s="56" t="str">
        <f t="shared" si="9"/>
        <v/>
      </c>
      <c r="B48" s="56" t="s">
        <v>83</v>
      </c>
      <c r="C48" s="56" t="s">
        <v>84</v>
      </c>
      <c r="D48" s="61">
        <v>139.6</v>
      </c>
      <c r="E48" s="63" t="s">
        <v>917</v>
      </c>
      <c r="F48" s="59" t="s">
        <v>24</v>
      </c>
      <c r="G48" s="63" t="s">
        <v>75</v>
      </c>
      <c r="H48" s="64">
        <v>42758</v>
      </c>
      <c r="I48" s="86">
        <v>3548684</v>
      </c>
      <c r="J48" s="62" t="s">
        <v>934</v>
      </c>
      <c r="K48" s="62" t="s">
        <v>919</v>
      </c>
      <c r="L48" s="62"/>
      <c r="M48" s="87" t="s">
        <v>528</v>
      </c>
      <c r="N48" s="88" t="s">
        <v>920</v>
      </c>
      <c r="O48" s="86">
        <f t="shared" si="16"/>
        <v>709736.8</v>
      </c>
      <c r="P48" s="86"/>
      <c r="Q48" s="93" t="s">
        <v>921</v>
      </c>
      <c r="R48" s="86">
        <f t="shared" si="17"/>
        <v>709736.8</v>
      </c>
      <c r="S48" s="86"/>
      <c r="T48" s="93" t="s">
        <v>922</v>
      </c>
      <c r="U48" s="86">
        <f>I48*0.2</f>
        <v>709736.8</v>
      </c>
      <c r="V48" s="86"/>
      <c r="W48" s="93" t="s">
        <v>927</v>
      </c>
      <c r="X48" s="86">
        <f>I48*0.05</f>
        <v>177434.2</v>
      </c>
      <c r="Y48" s="86"/>
      <c r="Z48" s="93" t="s">
        <v>928</v>
      </c>
      <c r="AA48" s="86">
        <f>I48*0.05</f>
        <v>177434.2</v>
      </c>
      <c r="AB48" s="86"/>
      <c r="AC48" s="93" t="s">
        <v>929</v>
      </c>
      <c r="AD48" s="86">
        <f>I48*0.05</f>
        <v>177434.2</v>
      </c>
      <c r="AE48" s="86"/>
      <c r="AF48" s="93" t="s">
        <v>930</v>
      </c>
      <c r="AG48" s="86">
        <f>I48*0.07</f>
        <v>248407.88</v>
      </c>
      <c r="AH48" s="86"/>
      <c r="AI48" s="93" t="s">
        <v>931</v>
      </c>
      <c r="AJ48" s="86">
        <f>I48*0.18</f>
        <v>638763.12</v>
      </c>
      <c r="AK48" s="107"/>
      <c r="AL48" s="108">
        <f t="shared" si="10"/>
        <v>0</v>
      </c>
      <c r="AM48" s="109">
        <f t="shared" si="11"/>
        <v>3548684</v>
      </c>
      <c r="AN48" s="110">
        <f t="shared" si="12"/>
        <v>0</v>
      </c>
      <c r="AO48" s="109">
        <f t="shared" si="13"/>
        <v>3548684</v>
      </c>
      <c r="AP48" s="117" t="str">
        <f t="shared" si="14"/>
        <v>数据正确</v>
      </c>
    </row>
    <row r="49" s="37" customFormat="1" customHeight="1" outlineLevel="1" spans="1:42">
      <c r="A49" s="56" t="str">
        <f t="shared" si="9"/>
        <v/>
      </c>
      <c r="B49" s="56" t="s">
        <v>83</v>
      </c>
      <c r="C49" s="56" t="s">
        <v>84</v>
      </c>
      <c r="D49" s="61">
        <v>139.7</v>
      </c>
      <c r="E49" s="63" t="s">
        <v>917</v>
      </c>
      <c r="F49" s="59" t="s">
        <v>24</v>
      </c>
      <c r="G49" s="63" t="s">
        <v>75</v>
      </c>
      <c r="H49" s="64">
        <v>42758</v>
      </c>
      <c r="I49" s="86">
        <v>706749</v>
      </c>
      <c r="J49" s="62" t="s">
        <v>935</v>
      </c>
      <c r="K49" s="62" t="s">
        <v>919</v>
      </c>
      <c r="L49" s="62"/>
      <c r="M49" s="87" t="s">
        <v>528</v>
      </c>
      <c r="N49" s="88" t="s">
        <v>920</v>
      </c>
      <c r="O49" s="86">
        <f>I49*0.5</f>
        <v>353374.5</v>
      </c>
      <c r="P49" s="86"/>
      <c r="Q49" s="93" t="s">
        <v>936</v>
      </c>
      <c r="R49" s="86">
        <f>I49*0.4</f>
        <v>282699.6</v>
      </c>
      <c r="S49" s="86"/>
      <c r="T49" s="93" t="s">
        <v>937</v>
      </c>
      <c r="U49" s="86">
        <f>I49*0.05</f>
        <v>35337.45</v>
      </c>
      <c r="V49" s="86"/>
      <c r="W49" s="93" t="s">
        <v>925</v>
      </c>
      <c r="X49" s="86">
        <f>I49*0.05</f>
        <v>35337.45</v>
      </c>
      <c r="Y49" s="86"/>
      <c r="Z49" s="93"/>
      <c r="AA49" s="86"/>
      <c r="AB49" s="86"/>
      <c r="AC49" s="93"/>
      <c r="AD49" s="86"/>
      <c r="AE49" s="86"/>
      <c r="AF49" s="93"/>
      <c r="AG49" s="86"/>
      <c r="AH49" s="86"/>
      <c r="AI49" s="93"/>
      <c r="AJ49" s="86"/>
      <c r="AK49" s="107"/>
      <c r="AL49" s="108">
        <f t="shared" si="10"/>
        <v>0</v>
      </c>
      <c r="AM49" s="109">
        <f t="shared" si="11"/>
        <v>706749</v>
      </c>
      <c r="AN49" s="110">
        <f t="shared" si="12"/>
        <v>0</v>
      </c>
      <c r="AO49" s="109">
        <f t="shared" si="13"/>
        <v>706749</v>
      </c>
      <c r="AP49" s="117" t="str">
        <f t="shared" si="14"/>
        <v>数据正确</v>
      </c>
    </row>
    <row r="50" s="37" customFormat="1" customHeight="1" outlineLevel="1" spans="1:46">
      <c r="A50" s="56" t="str">
        <f t="shared" si="9"/>
        <v/>
      </c>
      <c r="B50" s="56" t="s">
        <v>83</v>
      </c>
      <c r="C50" s="56" t="s">
        <v>84</v>
      </c>
      <c r="D50" s="61">
        <v>139.8</v>
      </c>
      <c r="E50" s="63" t="s">
        <v>917</v>
      </c>
      <c r="F50" s="59" t="s">
        <v>24</v>
      </c>
      <c r="G50" s="63" t="s">
        <v>75</v>
      </c>
      <c r="H50" s="64">
        <v>42758</v>
      </c>
      <c r="I50" s="86">
        <f>17002205</f>
        <v>17002205</v>
      </c>
      <c r="J50" s="62" t="s">
        <v>938</v>
      </c>
      <c r="K50" s="62" t="s">
        <v>919</v>
      </c>
      <c r="L50" s="62"/>
      <c r="M50" s="87" t="s">
        <v>528</v>
      </c>
      <c r="N50" s="88" t="s">
        <v>75</v>
      </c>
      <c r="O50" s="86">
        <f>I50</f>
        <v>17002205</v>
      </c>
      <c r="P50" s="86"/>
      <c r="Q50" s="86"/>
      <c r="R50" s="86"/>
      <c r="S50" s="86"/>
      <c r="T50" s="86"/>
      <c r="U50" s="86"/>
      <c r="V50" s="86"/>
      <c r="W50" s="86"/>
      <c r="X50" s="86"/>
      <c r="Y50" s="86"/>
      <c r="Z50" s="86"/>
      <c r="AA50" s="86"/>
      <c r="AB50" s="86"/>
      <c r="AC50" s="86"/>
      <c r="AD50" s="86"/>
      <c r="AE50" s="86"/>
      <c r="AF50" s="86"/>
      <c r="AG50" s="86"/>
      <c r="AH50" s="86"/>
      <c r="AI50" s="86"/>
      <c r="AJ50" s="86"/>
      <c r="AK50" s="107"/>
      <c r="AL50" s="108">
        <f t="shared" si="10"/>
        <v>0</v>
      </c>
      <c r="AM50" s="109">
        <f t="shared" si="11"/>
        <v>17002205</v>
      </c>
      <c r="AN50" s="110">
        <f t="shared" si="12"/>
        <v>0</v>
      </c>
      <c r="AO50" s="109">
        <f t="shared" si="13"/>
        <v>17002205</v>
      </c>
      <c r="AP50" s="117" t="str">
        <f t="shared" si="14"/>
        <v>数据正确</v>
      </c>
      <c r="AR50" s="120"/>
      <c r="AS50" s="120"/>
      <c r="AT50" s="120"/>
    </row>
    <row r="51" s="37" customFormat="1" customHeight="1" spans="1:46">
      <c r="A51" s="130" t="str">
        <f t="shared" si="9"/>
        <v/>
      </c>
      <c r="B51" s="56" t="s">
        <v>83</v>
      </c>
      <c r="C51" s="56" t="s">
        <v>84</v>
      </c>
      <c r="D51" s="125">
        <v>139</v>
      </c>
      <c r="E51" s="127" t="s">
        <v>917</v>
      </c>
      <c r="F51" s="59" t="s">
        <v>24</v>
      </c>
      <c r="G51" s="127" t="s">
        <v>75</v>
      </c>
      <c r="H51" s="128">
        <v>42758</v>
      </c>
      <c r="I51" s="148">
        <f>SUM(I43:I50)</f>
        <v>51560000</v>
      </c>
      <c r="J51" s="126" t="s">
        <v>939</v>
      </c>
      <c r="K51" s="126" t="s">
        <v>919</v>
      </c>
      <c r="L51" s="126"/>
      <c r="M51" s="146" t="s">
        <v>528</v>
      </c>
      <c r="N51" s="147" t="s">
        <v>75</v>
      </c>
      <c r="O51" s="148">
        <f t="shared" ref="O51:AK51" si="18">SUM(O43:O50)</f>
        <v>24125788.7</v>
      </c>
      <c r="P51" s="148">
        <f t="shared" si="18"/>
        <v>4843153.08</v>
      </c>
      <c r="Q51" s="148">
        <f t="shared" si="18"/>
        <v>0</v>
      </c>
      <c r="R51" s="148">
        <f t="shared" si="18"/>
        <v>7052908.8</v>
      </c>
      <c r="S51" s="148">
        <f t="shared" si="18"/>
        <v>4848377.92</v>
      </c>
      <c r="T51" s="148">
        <f t="shared" si="18"/>
        <v>0</v>
      </c>
      <c r="U51" s="148">
        <f t="shared" si="18"/>
        <v>6281312.05</v>
      </c>
      <c r="V51" s="148">
        <f t="shared" si="18"/>
        <v>0</v>
      </c>
      <c r="W51" s="148">
        <f t="shared" si="18"/>
        <v>0</v>
      </c>
      <c r="X51" s="148">
        <f t="shared" si="18"/>
        <v>2526010.79</v>
      </c>
      <c r="Y51" s="148">
        <f t="shared" si="18"/>
        <v>0</v>
      </c>
      <c r="Z51" s="148">
        <f t="shared" si="18"/>
        <v>0</v>
      </c>
      <c r="AA51" s="148">
        <f t="shared" si="18"/>
        <v>2294530.94</v>
      </c>
      <c r="AB51" s="148">
        <f t="shared" si="18"/>
        <v>0</v>
      </c>
      <c r="AC51" s="148">
        <f t="shared" si="18"/>
        <v>0</v>
      </c>
      <c r="AD51" s="148">
        <f t="shared" si="18"/>
        <v>1797399.22</v>
      </c>
      <c r="AE51" s="148">
        <f t="shared" si="18"/>
        <v>0</v>
      </c>
      <c r="AF51" s="148">
        <f t="shared" si="18"/>
        <v>0</v>
      </c>
      <c r="AG51" s="148">
        <f t="shared" si="18"/>
        <v>2094973.86</v>
      </c>
      <c r="AH51" s="148">
        <f t="shared" si="18"/>
        <v>0</v>
      </c>
      <c r="AI51" s="148">
        <f t="shared" si="18"/>
        <v>0</v>
      </c>
      <c r="AJ51" s="148">
        <f t="shared" si="18"/>
        <v>5387075.64</v>
      </c>
      <c r="AK51" s="161">
        <f t="shared" si="18"/>
        <v>0</v>
      </c>
      <c r="AL51" s="162">
        <f t="shared" si="10"/>
        <v>9691531</v>
      </c>
      <c r="AM51" s="155">
        <f t="shared" si="11"/>
        <v>41868469</v>
      </c>
      <c r="AN51" s="163">
        <f t="shared" si="12"/>
        <v>0.187966078355314</v>
      </c>
      <c r="AO51" s="155">
        <f t="shared" si="13"/>
        <v>51560000</v>
      </c>
      <c r="AP51" s="168" t="str">
        <f t="shared" si="14"/>
        <v>数据正确</v>
      </c>
      <c r="AQ51" s="120" t="s">
        <v>940</v>
      </c>
      <c r="AR51" s="120" t="s">
        <v>112</v>
      </c>
      <c r="AS51" s="120" t="s">
        <v>75</v>
      </c>
      <c r="AT51" s="120">
        <f>100</f>
        <v>100</v>
      </c>
    </row>
    <row r="52" s="37" customFormat="1" customHeight="1" spans="1:46">
      <c r="A52" s="37" t="str">
        <f t="shared" si="9"/>
        <v/>
      </c>
      <c r="B52" s="37" t="s">
        <v>83</v>
      </c>
      <c r="C52" s="37" t="s">
        <v>84</v>
      </c>
      <c r="D52" s="61">
        <v>29</v>
      </c>
      <c r="E52" s="62" t="s">
        <v>941</v>
      </c>
      <c r="F52" s="63" t="s">
        <v>24</v>
      </c>
      <c r="G52" s="129">
        <v>2017010001</v>
      </c>
      <c r="H52" s="64">
        <v>42791</v>
      </c>
      <c r="I52" s="150">
        <v>65720</v>
      </c>
      <c r="J52" s="151" t="s">
        <v>942</v>
      </c>
      <c r="K52" s="150" t="s">
        <v>837</v>
      </c>
      <c r="L52" s="152" t="s">
        <v>943</v>
      </c>
      <c r="M52" s="153" t="s">
        <v>76</v>
      </c>
      <c r="N52" s="88" t="s">
        <v>944</v>
      </c>
      <c r="O52" s="86">
        <v>65720</v>
      </c>
      <c r="P52" s="86">
        <f>64425.44</f>
        <v>64425.44</v>
      </c>
      <c r="Q52" s="93"/>
      <c r="R52" s="86"/>
      <c r="S52" s="86"/>
      <c r="T52" s="93"/>
      <c r="U52" s="86"/>
      <c r="V52" s="86"/>
      <c r="W52" s="93"/>
      <c r="X52" s="86"/>
      <c r="Y52" s="86"/>
      <c r="Z52" s="93"/>
      <c r="AA52" s="86"/>
      <c r="AB52" s="86"/>
      <c r="AC52" s="93"/>
      <c r="AD52" s="86"/>
      <c r="AE52" s="86"/>
      <c r="AF52" s="93"/>
      <c r="AG52" s="86"/>
      <c r="AH52" s="86"/>
      <c r="AI52" s="93"/>
      <c r="AJ52" s="86"/>
      <c r="AK52" s="107"/>
      <c r="AL52" s="108">
        <f t="shared" si="10"/>
        <v>64425.44</v>
      </c>
      <c r="AM52" s="109">
        <f t="shared" si="11"/>
        <v>1294.56</v>
      </c>
      <c r="AN52" s="110">
        <f t="shared" si="12"/>
        <v>0.980301886792453</v>
      </c>
      <c r="AO52" s="109">
        <f t="shared" si="13"/>
        <v>65720</v>
      </c>
      <c r="AP52" s="117" t="str">
        <f t="shared" si="14"/>
        <v>数据正确</v>
      </c>
      <c r="AQ52" s="120"/>
      <c r="AR52" s="120"/>
      <c r="AS52" s="120"/>
      <c r="AT52" s="120"/>
    </row>
    <row r="53" s="37" customFormat="1" customHeight="1" spans="1:42">
      <c r="A53" s="37" t="str">
        <f t="shared" si="9"/>
        <v/>
      </c>
      <c r="B53" s="37" t="s">
        <v>83</v>
      </c>
      <c r="C53" s="37" t="s">
        <v>84</v>
      </c>
      <c r="D53" s="61">
        <v>162</v>
      </c>
      <c r="E53" s="62" t="s">
        <v>945</v>
      </c>
      <c r="F53" s="63" t="s">
        <v>24</v>
      </c>
      <c r="G53" s="63"/>
      <c r="H53" s="64">
        <v>42795</v>
      </c>
      <c r="I53" s="86">
        <v>665000</v>
      </c>
      <c r="J53" s="62" t="s">
        <v>946</v>
      </c>
      <c r="K53" s="62" t="s">
        <v>947</v>
      </c>
      <c r="L53" s="62"/>
      <c r="M53" s="87" t="s">
        <v>528</v>
      </c>
      <c r="N53" s="88" t="s">
        <v>948</v>
      </c>
      <c r="O53" s="86">
        <f>I53*0.2*0.8</f>
        <v>106400</v>
      </c>
      <c r="P53" s="86"/>
      <c r="Q53" s="93" t="s">
        <v>949</v>
      </c>
      <c r="R53" s="86">
        <f>I53*0.2*0.8</f>
        <v>106400</v>
      </c>
      <c r="S53" s="86">
        <v>106400</v>
      </c>
      <c r="T53" s="93" t="s">
        <v>950</v>
      </c>
      <c r="U53" s="86">
        <v>106400</v>
      </c>
      <c r="V53" s="86"/>
      <c r="W53" s="93" t="s">
        <v>951</v>
      </c>
      <c r="X53" s="86">
        <v>106400</v>
      </c>
      <c r="Y53" s="86"/>
      <c r="Z53" s="93" t="s">
        <v>952</v>
      </c>
      <c r="AA53" s="86">
        <f>I53*0.1*0.8</f>
        <v>53200</v>
      </c>
      <c r="AB53" s="86"/>
      <c r="AC53" s="93" t="s">
        <v>953</v>
      </c>
      <c r="AD53" s="86">
        <v>53200</v>
      </c>
      <c r="AE53" s="86"/>
      <c r="AF53" s="93" t="s">
        <v>954</v>
      </c>
      <c r="AG53" s="86">
        <f>I53*0.2</f>
        <v>133000</v>
      </c>
      <c r="AH53" s="86"/>
      <c r="AI53" s="93"/>
      <c r="AJ53" s="86"/>
      <c r="AK53" s="107"/>
      <c r="AL53" s="108">
        <f t="shared" si="10"/>
        <v>106400</v>
      </c>
      <c r="AM53" s="109">
        <f t="shared" si="11"/>
        <v>558600</v>
      </c>
      <c r="AN53" s="110">
        <f t="shared" si="12"/>
        <v>0.16</v>
      </c>
      <c r="AO53" s="109">
        <f t="shared" si="13"/>
        <v>665000</v>
      </c>
      <c r="AP53" s="117" t="str">
        <f t="shared" si="14"/>
        <v>数据正确</v>
      </c>
    </row>
    <row r="54" s="37" customFormat="1" customHeight="1" outlineLevel="1" spans="1:42">
      <c r="A54" s="37" t="str">
        <f t="shared" si="9"/>
        <v/>
      </c>
      <c r="B54" s="37" t="s">
        <v>83</v>
      </c>
      <c r="C54" s="37" t="s">
        <v>84</v>
      </c>
      <c r="D54" s="131">
        <v>61.1</v>
      </c>
      <c r="E54" s="132" t="s">
        <v>955</v>
      </c>
      <c r="F54" s="133" t="s">
        <v>24</v>
      </c>
      <c r="G54" s="134">
        <v>2017020021</v>
      </c>
      <c r="H54" s="135">
        <v>42796</v>
      </c>
      <c r="I54" s="109">
        <v>73000000</v>
      </c>
      <c r="J54" s="62" t="s">
        <v>956</v>
      </c>
      <c r="K54" s="154" t="s">
        <v>957</v>
      </c>
      <c r="L54" s="62"/>
      <c r="M54" s="87" t="s">
        <v>254</v>
      </c>
      <c r="N54" s="88" t="s">
        <v>958</v>
      </c>
      <c r="O54" s="86">
        <f>I54*0.15</f>
        <v>10950000</v>
      </c>
      <c r="P54" s="86">
        <v>10950000</v>
      </c>
      <c r="Q54" s="93" t="s">
        <v>959</v>
      </c>
      <c r="R54" s="86">
        <f>I54*0.35</f>
        <v>25550000</v>
      </c>
      <c r="S54" s="86">
        <v>25550000</v>
      </c>
      <c r="T54" s="93" t="s">
        <v>960</v>
      </c>
      <c r="U54" s="86">
        <f>I54*0.1</f>
        <v>7300000</v>
      </c>
      <c r="V54" s="86"/>
      <c r="W54" s="93" t="s">
        <v>961</v>
      </c>
      <c r="X54" s="86">
        <f>I54*0.05</f>
        <v>3650000</v>
      </c>
      <c r="Y54" s="86"/>
      <c r="Z54" s="93" t="s">
        <v>962</v>
      </c>
      <c r="AA54" s="86">
        <f>I54*0.1</f>
        <v>7300000</v>
      </c>
      <c r="AB54" s="86"/>
      <c r="AC54" s="93" t="s">
        <v>963</v>
      </c>
      <c r="AD54" s="86">
        <f>I54*0.05</f>
        <v>3650000</v>
      </c>
      <c r="AE54" s="86"/>
      <c r="AF54" s="93" t="s">
        <v>964</v>
      </c>
      <c r="AG54" s="86">
        <f>I54*0.1</f>
        <v>7300000</v>
      </c>
      <c r="AH54" s="86"/>
      <c r="AI54" s="93" t="s">
        <v>965</v>
      </c>
      <c r="AJ54" s="86">
        <f>I54*0.1</f>
        <v>7300000</v>
      </c>
      <c r="AK54" s="107"/>
      <c r="AL54" s="108">
        <f t="shared" si="10"/>
        <v>36500000</v>
      </c>
      <c r="AM54" s="109">
        <f t="shared" si="11"/>
        <v>36500000</v>
      </c>
      <c r="AN54" s="110">
        <f t="shared" si="12"/>
        <v>0.5</v>
      </c>
      <c r="AO54" s="109">
        <f t="shared" si="13"/>
        <v>73000000</v>
      </c>
      <c r="AP54" s="117" t="str">
        <f t="shared" si="14"/>
        <v>数据正确</v>
      </c>
    </row>
    <row r="55" s="37" customFormat="1" customHeight="1" outlineLevel="1" spans="1:42">
      <c r="A55" s="37" t="str">
        <f t="shared" si="9"/>
        <v/>
      </c>
      <c r="B55" s="37" t="s">
        <v>83</v>
      </c>
      <c r="C55" s="37" t="s">
        <v>84</v>
      </c>
      <c r="D55" s="131">
        <v>61.2</v>
      </c>
      <c r="E55" s="132" t="s">
        <v>955</v>
      </c>
      <c r="F55" s="133" t="s">
        <v>24</v>
      </c>
      <c r="G55" s="134">
        <v>2017020021</v>
      </c>
      <c r="H55" s="135">
        <v>42796</v>
      </c>
      <c r="I55" s="109">
        <v>5000000</v>
      </c>
      <c r="J55" s="62" t="s">
        <v>966</v>
      </c>
      <c r="K55" s="154" t="s">
        <v>957</v>
      </c>
      <c r="L55" s="62"/>
      <c r="M55" s="87" t="s">
        <v>254</v>
      </c>
      <c r="N55" s="88" t="s">
        <v>967</v>
      </c>
      <c r="O55" s="86">
        <f>I55*0.15</f>
        <v>750000</v>
      </c>
      <c r="P55" s="86">
        <v>750000</v>
      </c>
      <c r="Q55" s="93" t="s">
        <v>967</v>
      </c>
      <c r="R55" s="86">
        <f>I55*0.15</f>
        <v>750000</v>
      </c>
      <c r="S55" s="86"/>
      <c r="T55" s="93" t="s">
        <v>967</v>
      </c>
      <c r="U55" s="86">
        <f>I55*0.15</f>
        <v>750000</v>
      </c>
      <c r="V55" s="86"/>
      <c r="W55" s="93" t="s">
        <v>967</v>
      </c>
      <c r="X55" s="86">
        <f>I55*0.15</f>
        <v>750000</v>
      </c>
      <c r="Y55" s="86"/>
      <c r="Z55" s="93" t="s">
        <v>967</v>
      </c>
      <c r="AA55" s="86">
        <f>I55*0.15</f>
        <v>750000</v>
      </c>
      <c r="AB55" s="86"/>
      <c r="AC55" s="93" t="s">
        <v>967</v>
      </c>
      <c r="AD55" s="86">
        <f>I55*0.15</f>
        <v>750000</v>
      </c>
      <c r="AE55" s="86"/>
      <c r="AF55" s="93" t="s">
        <v>968</v>
      </c>
      <c r="AG55" s="86">
        <f>I55*0.1</f>
        <v>500000</v>
      </c>
      <c r="AH55" s="86"/>
      <c r="AI55" s="93"/>
      <c r="AJ55" s="86"/>
      <c r="AK55" s="107"/>
      <c r="AL55" s="108">
        <f t="shared" si="10"/>
        <v>750000</v>
      </c>
      <c r="AM55" s="109">
        <f t="shared" si="11"/>
        <v>4250000</v>
      </c>
      <c r="AN55" s="110">
        <f t="shared" si="12"/>
        <v>0.15</v>
      </c>
      <c r="AO55" s="109">
        <f t="shared" si="13"/>
        <v>5000000</v>
      </c>
      <c r="AP55" s="117" t="str">
        <f t="shared" si="14"/>
        <v>数据正确</v>
      </c>
    </row>
    <row r="56" s="37" customFormat="1" customHeight="1" outlineLevel="1" spans="1:42">
      <c r="A56" s="37" t="str">
        <f t="shared" si="9"/>
        <v/>
      </c>
      <c r="B56" s="37" t="s">
        <v>83</v>
      </c>
      <c r="C56" s="37" t="s">
        <v>84</v>
      </c>
      <c r="D56" s="131">
        <v>61.3</v>
      </c>
      <c r="E56" s="132" t="s">
        <v>955</v>
      </c>
      <c r="F56" s="133" t="s">
        <v>24</v>
      </c>
      <c r="G56" s="134">
        <v>2017020021</v>
      </c>
      <c r="H56" s="135">
        <v>42796</v>
      </c>
      <c r="I56" s="109">
        <v>17000000</v>
      </c>
      <c r="J56" s="62" t="s">
        <v>969</v>
      </c>
      <c r="K56" s="154" t="s">
        <v>957</v>
      </c>
      <c r="L56" s="62"/>
      <c r="M56" s="87" t="s">
        <v>254</v>
      </c>
      <c r="N56" s="88" t="s">
        <v>970</v>
      </c>
      <c r="O56" s="86">
        <f>I56*0.1</f>
        <v>1700000</v>
      </c>
      <c r="P56" s="86"/>
      <c r="Q56" s="93" t="s">
        <v>971</v>
      </c>
      <c r="R56" s="86">
        <f>I56*0.85</f>
        <v>14450000</v>
      </c>
      <c r="S56" s="86"/>
      <c r="T56" s="93" t="s">
        <v>972</v>
      </c>
      <c r="U56" s="86">
        <f>I56*0.05</f>
        <v>850000</v>
      </c>
      <c r="V56" s="86"/>
      <c r="W56" s="93"/>
      <c r="X56" s="86"/>
      <c r="Y56" s="86"/>
      <c r="Z56" s="93"/>
      <c r="AA56" s="86"/>
      <c r="AB56" s="86"/>
      <c r="AC56" s="93"/>
      <c r="AD56" s="86"/>
      <c r="AE56" s="86"/>
      <c r="AF56" s="93"/>
      <c r="AG56" s="86"/>
      <c r="AH56" s="86"/>
      <c r="AI56" s="93"/>
      <c r="AJ56" s="86"/>
      <c r="AK56" s="107"/>
      <c r="AL56" s="108">
        <f t="shared" si="10"/>
        <v>0</v>
      </c>
      <c r="AM56" s="109">
        <f t="shared" si="11"/>
        <v>17000000</v>
      </c>
      <c r="AN56" s="110">
        <f t="shared" si="12"/>
        <v>0</v>
      </c>
      <c r="AO56" s="109">
        <f t="shared" si="13"/>
        <v>17000000</v>
      </c>
      <c r="AP56" s="117" t="str">
        <f t="shared" si="14"/>
        <v>数据正确</v>
      </c>
    </row>
    <row r="57" s="37" customFormat="1" customHeight="1" outlineLevel="1" spans="1:42">
      <c r="A57" s="37" t="str">
        <f t="shared" si="9"/>
        <v/>
      </c>
      <c r="B57" s="37" t="s">
        <v>83</v>
      </c>
      <c r="C57" s="37" t="s">
        <v>84</v>
      </c>
      <c r="D57" s="131">
        <v>61.4</v>
      </c>
      <c r="E57" s="132" t="s">
        <v>955</v>
      </c>
      <c r="F57" s="133" t="s">
        <v>24</v>
      </c>
      <c r="G57" s="134">
        <v>2017020021</v>
      </c>
      <c r="H57" s="135">
        <v>42796</v>
      </c>
      <c r="I57" s="109">
        <v>30000000</v>
      </c>
      <c r="J57" s="62" t="s">
        <v>973</v>
      </c>
      <c r="K57" s="154" t="s">
        <v>957</v>
      </c>
      <c r="L57" s="62"/>
      <c r="M57" s="87" t="s">
        <v>254</v>
      </c>
      <c r="N57" s="88" t="s">
        <v>974</v>
      </c>
      <c r="O57" s="86">
        <f>I57</f>
        <v>30000000</v>
      </c>
      <c r="P57" s="86"/>
      <c r="Q57" s="93"/>
      <c r="R57" s="86"/>
      <c r="S57" s="86"/>
      <c r="T57" s="93"/>
      <c r="U57" s="86"/>
      <c r="V57" s="86"/>
      <c r="W57" s="93"/>
      <c r="X57" s="86"/>
      <c r="Y57" s="86"/>
      <c r="Z57" s="93"/>
      <c r="AA57" s="86"/>
      <c r="AB57" s="86"/>
      <c r="AC57" s="93"/>
      <c r="AD57" s="86"/>
      <c r="AE57" s="86"/>
      <c r="AF57" s="93"/>
      <c r="AG57" s="86"/>
      <c r="AH57" s="86"/>
      <c r="AI57" s="93"/>
      <c r="AJ57" s="86"/>
      <c r="AK57" s="107"/>
      <c r="AL57" s="108">
        <f t="shared" si="10"/>
        <v>0</v>
      </c>
      <c r="AM57" s="109">
        <f t="shared" si="11"/>
        <v>30000000</v>
      </c>
      <c r="AN57" s="110">
        <f t="shared" si="12"/>
        <v>0</v>
      </c>
      <c r="AO57" s="109">
        <f t="shared" si="13"/>
        <v>30000000</v>
      </c>
      <c r="AP57" s="117" t="str">
        <f t="shared" si="14"/>
        <v>数据正确</v>
      </c>
    </row>
    <row r="58" s="37" customFormat="1" customHeight="1" spans="1:46">
      <c r="A58" s="37" t="str">
        <f t="shared" si="9"/>
        <v/>
      </c>
      <c r="B58" s="37" t="s">
        <v>83</v>
      </c>
      <c r="C58" s="37" t="s">
        <v>84</v>
      </c>
      <c r="D58" s="125">
        <v>61</v>
      </c>
      <c r="E58" s="136" t="s">
        <v>955</v>
      </c>
      <c r="F58" s="137" t="s">
        <v>24</v>
      </c>
      <c r="G58" s="127">
        <v>2017020021</v>
      </c>
      <c r="H58" s="138">
        <v>42796</v>
      </c>
      <c r="I58" s="155">
        <f>SUM(I54:I57)</f>
        <v>125000000</v>
      </c>
      <c r="J58" s="126" t="s">
        <v>975</v>
      </c>
      <c r="K58" s="136" t="s">
        <v>957</v>
      </c>
      <c r="L58" s="126"/>
      <c r="M58" s="146" t="s">
        <v>254</v>
      </c>
      <c r="N58" s="147" t="s">
        <v>75</v>
      </c>
      <c r="O58" s="148">
        <f>SUM(O54:O57)</f>
        <v>43400000</v>
      </c>
      <c r="P58" s="148">
        <f>SUM(P54:P57)</f>
        <v>11700000</v>
      </c>
      <c r="Q58" s="148" t="s">
        <v>75</v>
      </c>
      <c r="R58" s="148">
        <f>SUM(R54:R57)</f>
        <v>40750000</v>
      </c>
      <c r="S58" s="148">
        <f>SUM(S54:S57)</f>
        <v>25550000</v>
      </c>
      <c r="T58" s="148" t="s">
        <v>75</v>
      </c>
      <c r="U58" s="148">
        <f>SUM(U54:U57)</f>
        <v>8900000</v>
      </c>
      <c r="V58" s="148">
        <f>SUM(V54:V57)</f>
        <v>0</v>
      </c>
      <c r="W58" s="148" t="s">
        <v>75</v>
      </c>
      <c r="X58" s="148">
        <f>SUM(X54:X57)</f>
        <v>4400000</v>
      </c>
      <c r="Y58" s="148">
        <f>SUM(Y54:Y57)</f>
        <v>0</v>
      </c>
      <c r="Z58" s="148" t="s">
        <v>75</v>
      </c>
      <c r="AA58" s="148">
        <f>SUM(AA54:AA57)</f>
        <v>8050000</v>
      </c>
      <c r="AB58" s="148">
        <f>SUM(AB54:AB57)</f>
        <v>0</v>
      </c>
      <c r="AC58" s="148" t="s">
        <v>75</v>
      </c>
      <c r="AD58" s="148">
        <f>SUM(AD54:AD57)</f>
        <v>4400000</v>
      </c>
      <c r="AE58" s="148">
        <f>SUM(AE54:AE57)</f>
        <v>0</v>
      </c>
      <c r="AF58" s="148" t="s">
        <v>75</v>
      </c>
      <c r="AG58" s="148">
        <f>SUM(AG54:AG57)</f>
        <v>7800000</v>
      </c>
      <c r="AH58" s="148">
        <f>SUM(AH54:AH57)</f>
        <v>0</v>
      </c>
      <c r="AI58" s="148" t="s">
        <v>75</v>
      </c>
      <c r="AJ58" s="148">
        <f>SUM(AJ54:AJ57)</f>
        <v>7300000</v>
      </c>
      <c r="AK58" s="161">
        <f>SUM(AK54:AK57)</f>
        <v>0</v>
      </c>
      <c r="AL58" s="162">
        <f t="shared" si="10"/>
        <v>37250000</v>
      </c>
      <c r="AM58" s="155">
        <f t="shared" si="11"/>
        <v>87750000</v>
      </c>
      <c r="AN58" s="163">
        <f t="shared" si="12"/>
        <v>0.298</v>
      </c>
      <c r="AO58" s="155">
        <f t="shared" si="13"/>
        <v>125000000</v>
      </c>
      <c r="AP58" s="117" t="str">
        <f t="shared" si="14"/>
        <v>数据正确</v>
      </c>
      <c r="AQ58" s="120"/>
      <c r="AR58" s="120"/>
      <c r="AS58" s="120"/>
      <c r="AT58" s="120"/>
    </row>
    <row r="59" s="37" customFormat="1" customHeight="1" spans="1:42">
      <c r="A59" s="37" t="str">
        <f t="shared" si="9"/>
        <v/>
      </c>
      <c r="B59" s="37" t="s">
        <v>83</v>
      </c>
      <c r="C59" s="37" t="s">
        <v>84</v>
      </c>
      <c r="D59" s="61">
        <v>31</v>
      </c>
      <c r="E59" s="62" t="s">
        <v>976</v>
      </c>
      <c r="F59" s="63" t="s">
        <v>24</v>
      </c>
      <c r="G59" s="63">
        <v>2017030013</v>
      </c>
      <c r="H59" s="64">
        <v>42809</v>
      </c>
      <c r="I59" s="86">
        <v>1375000</v>
      </c>
      <c r="J59" s="62" t="s">
        <v>977</v>
      </c>
      <c r="K59" s="62" t="s">
        <v>978</v>
      </c>
      <c r="L59" s="62" t="s">
        <v>979</v>
      </c>
      <c r="M59" s="87" t="s">
        <v>278</v>
      </c>
      <c r="N59" s="88" t="s">
        <v>980</v>
      </c>
      <c r="O59" s="86">
        <v>264000</v>
      </c>
      <c r="P59" s="86">
        <f>264000</f>
        <v>264000</v>
      </c>
      <c r="Q59" s="93" t="s">
        <v>885</v>
      </c>
      <c r="R59" s="86">
        <f>1375000-264000</f>
        <v>1111000</v>
      </c>
      <c r="S59" s="86">
        <v>274000</v>
      </c>
      <c r="T59" s="93"/>
      <c r="U59" s="86"/>
      <c r="V59" s="86"/>
      <c r="W59" s="93"/>
      <c r="X59" s="86"/>
      <c r="Y59" s="86"/>
      <c r="Z59" s="93"/>
      <c r="AA59" s="86"/>
      <c r="AB59" s="86"/>
      <c r="AC59" s="93"/>
      <c r="AD59" s="86"/>
      <c r="AE59" s="86"/>
      <c r="AF59" s="93"/>
      <c r="AG59" s="86"/>
      <c r="AH59" s="86"/>
      <c r="AI59" s="93"/>
      <c r="AJ59" s="86"/>
      <c r="AK59" s="107"/>
      <c r="AL59" s="108">
        <f t="shared" si="10"/>
        <v>538000</v>
      </c>
      <c r="AM59" s="109">
        <f t="shared" si="11"/>
        <v>837000</v>
      </c>
      <c r="AN59" s="110">
        <f t="shared" si="12"/>
        <v>0.391272727272727</v>
      </c>
      <c r="AO59" s="109">
        <f t="shared" si="13"/>
        <v>1375000</v>
      </c>
      <c r="AP59" s="117" t="str">
        <f t="shared" si="14"/>
        <v>数据正确</v>
      </c>
    </row>
    <row r="60" s="37" customFormat="1" customHeight="1" spans="1:42">
      <c r="A60" s="37" t="str">
        <f t="shared" si="9"/>
        <v>已完毕</v>
      </c>
      <c r="B60" s="37" t="s">
        <v>83</v>
      </c>
      <c r="C60" s="37" t="s">
        <v>84</v>
      </c>
      <c r="D60" s="61">
        <v>32</v>
      </c>
      <c r="E60" s="62" t="s">
        <v>981</v>
      </c>
      <c r="F60" s="63" t="s">
        <v>24</v>
      </c>
      <c r="G60" s="63">
        <v>2017030013</v>
      </c>
      <c r="H60" s="64">
        <v>42814</v>
      </c>
      <c r="I60" s="86">
        <v>7049840.36</v>
      </c>
      <c r="J60" s="62" t="s">
        <v>982</v>
      </c>
      <c r="K60" s="62" t="s">
        <v>879</v>
      </c>
      <c r="L60" s="62" t="s">
        <v>979</v>
      </c>
      <c r="M60" s="87" t="s">
        <v>76</v>
      </c>
      <c r="N60" s="88" t="s">
        <v>983</v>
      </c>
      <c r="O60" s="86">
        <f>I60</f>
        <v>7049840.36</v>
      </c>
      <c r="P60" s="86">
        <f>1500000+750000+2170000+1085000+1544840.36</f>
        <v>7049840.36</v>
      </c>
      <c r="Q60" s="93"/>
      <c r="R60" s="86"/>
      <c r="S60" s="86"/>
      <c r="T60" s="93"/>
      <c r="U60" s="86"/>
      <c r="V60" s="86"/>
      <c r="W60" s="93"/>
      <c r="X60" s="86"/>
      <c r="Y60" s="86"/>
      <c r="Z60" s="93"/>
      <c r="AA60" s="86"/>
      <c r="AB60" s="86"/>
      <c r="AC60" s="93"/>
      <c r="AD60" s="86"/>
      <c r="AE60" s="86"/>
      <c r="AF60" s="93"/>
      <c r="AG60" s="86"/>
      <c r="AH60" s="86"/>
      <c r="AI60" s="93"/>
      <c r="AJ60" s="86"/>
      <c r="AK60" s="107"/>
      <c r="AL60" s="108">
        <f t="shared" si="10"/>
        <v>7049840.36</v>
      </c>
      <c r="AM60" s="109">
        <f t="shared" si="11"/>
        <v>0</v>
      </c>
      <c r="AN60" s="110">
        <f t="shared" si="12"/>
        <v>1</v>
      </c>
      <c r="AO60" s="109">
        <f t="shared" si="13"/>
        <v>7049840.36</v>
      </c>
      <c r="AP60" s="117" t="str">
        <f t="shared" si="14"/>
        <v>数据正确</v>
      </c>
    </row>
    <row r="61" s="37" customFormat="1" customHeight="1" spans="1:46">
      <c r="A61" s="56" t="str">
        <f t="shared" si="9"/>
        <v/>
      </c>
      <c r="B61" s="56" t="s">
        <v>83</v>
      </c>
      <c r="C61" s="37" t="s">
        <v>84</v>
      </c>
      <c r="D61" s="61">
        <v>62</v>
      </c>
      <c r="E61" s="63" t="s">
        <v>984</v>
      </c>
      <c r="F61" s="59" t="s">
        <v>24</v>
      </c>
      <c r="G61" s="63" t="s">
        <v>75</v>
      </c>
      <c r="H61" s="64">
        <v>42814</v>
      </c>
      <c r="I61" s="86">
        <v>3360000</v>
      </c>
      <c r="J61" s="62" t="s">
        <v>985</v>
      </c>
      <c r="K61" s="62" t="s">
        <v>986</v>
      </c>
      <c r="L61" s="62"/>
      <c r="M61" s="87" t="s">
        <v>278</v>
      </c>
      <c r="N61" s="88" t="s">
        <v>987</v>
      </c>
      <c r="O61" s="86">
        <f>I61*0.8</f>
        <v>2688000</v>
      </c>
      <c r="P61" s="86">
        <f>856000+755000</f>
        <v>1611000</v>
      </c>
      <c r="Q61" s="93" t="s">
        <v>987</v>
      </c>
      <c r="R61" s="86">
        <f>I61*0.2</f>
        <v>672000</v>
      </c>
      <c r="S61" s="86"/>
      <c r="T61" s="93"/>
      <c r="U61" s="86"/>
      <c r="V61" s="86"/>
      <c r="W61" s="93"/>
      <c r="X61" s="86"/>
      <c r="Y61" s="86"/>
      <c r="Z61" s="93"/>
      <c r="AA61" s="86"/>
      <c r="AB61" s="86"/>
      <c r="AC61" s="93"/>
      <c r="AD61" s="86"/>
      <c r="AE61" s="86"/>
      <c r="AF61" s="93"/>
      <c r="AG61" s="86"/>
      <c r="AH61" s="86"/>
      <c r="AI61" s="93"/>
      <c r="AJ61" s="86"/>
      <c r="AK61" s="107"/>
      <c r="AL61" s="108">
        <f t="shared" si="10"/>
        <v>1611000</v>
      </c>
      <c r="AM61" s="109">
        <f t="shared" si="11"/>
        <v>1749000</v>
      </c>
      <c r="AN61" s="110">
        <f t="shared" si="12"/>
        <v>0.479464285714286</v>
      </c>
      <c r="AO61" s="109">
        <f t="shared" si="13"/>
        <v>3360000</v>
      </c>
      <c r="AP61" s="117" t="str">
        <f t="shared" si="14"/>
        <v>数据正确</v>
      </c>
      <c r="AQ61" s="120" t="s">
        <v>988</v>
      </c>
      <c r="AR61" s="37" t="s">
        <v>112</v>
      </c>
      <c r="AS61" s="37">
        <f>500</f>
        <v>500</v>
      </c>
      <c r="AT61" s="37" t="s">
        <v>75</v>
      </c>
    </row>
    <row r="62" s="37" customFormat="1" customHeight="1" spans="1:42">
      <c r="A62" s="56" t="str">
        <f t="shared" si="9"/>
        <v/>
      </c>
      <c r="B62" s="56" t="s">
        <v>83</v>
      </c>
      <c r="C62" s="37" t="s">
        <v>84</v>
      </c>
      <c r="D62" s="61">
        <v>66</v>
      </c>
      <c r="E62" s="63" t="s">
        <v>989</v>
      </c>
      <c r="F62" s="59" t="s">
        <v>24</v>
      </c>
      <c r="G62" s="63" t="s">
        <v>75</v>
      </c>
      <c r="H62" s="64">
        <v>42814</v>
      </c>
      <c r="I62" s="86">
        <v>3400000</v>
      </c>
      <c r="J62" s="62" t="s">
        <v>990</v>
      </c>
      <c r="K62" s="62" t="s">
        <v>991</v>
      </c>
      <c r="L62" s="62"/>
      <c r="M62" s="87" t="s">
        <v>278</v>
      </c>
      <c r="N62" s="88" t="s">
        <v>992</v>
      </c>
      <c r="O62" s="86">
        <f>I62*0.8</f>
        <v>2720000</v>
      </c>
      <c r="P62" s="86">
        <f>1150000</f>
        <v>1150000</v>
      </c>
      <c r="Q62" s="93" t="s">
        <v>992</v>
      </c>
      <c r="R62" s="86">
        <f>I62*0.2</f>
        <v>680000</v>
      </c>
      <c r="S62" s="86"/>
      <c r="T62" s="93"/>
      <c r="U62" s="86"/>
      <c r="V62" s="86"/>
      <c r="W62" s="93"/>
      <c r="X62" s="86"/>
      <c r="Y62" s="86"/>
      <c r="Z62" s="93"/>
      <c r="AA62" s="86"/>
      <c r="AB62" s="86"/>
      <c r="AC62" s="93"/>
      <c r="AD62" s="86"/>
      <c r="AE62" s="86"/>
      <c r="AF62" s="93"/>
      <c r="AG62" s="86"/>
      <c r="AH62" s="86"/>
      <c r="AI62" s="93"/>
      <c r="AJ62" s="86"/>
      <c r="AK62" s="107"/>
      <c r="AL62" s="108">
        <f t="shared" si="10"/>
        <v>1150000</v>
      </c>
      <c r="AM62" s="109">
        <f t="shared" si="11"/>
        <v>2250000</v>
      </c>
      <c r="AN62" s="110">
        <f t="shared" si="12"/>
        <v>0.338235294117647</v>
      </c>
      <c r="AO62" s="109">
        <f t="shared" si="13"/>
        <v>3400000</v>
      </c>
      <c r="AP62" s="117" t="str">
        <f t="shared" si="14"/>
        <v>数据正确</v>
      </c>
    </row>
    <row r="63" s="37" customFormat="1" customHeight="1" spans="1:42">
      <c r="A63" s="37" t="str">
        <f t="shared" si="9"/>
        <v>已完毕</v>
      </c>
      <c r="B63" s="37" t="s">
        <v>83</v>
      </c>
      <c r="C63" s="37" t="s">
        <v>84</v>
      </c>
      <c r="D63" s="61">
        <v>36</v>
      </c>
      <c r="E63" s="62" t="s">
        <v>993</v>
      </c>
      <c r="F63" s="63" t="s">
        <v>24</v>
      </c>
      <c r="G63" s="63">
        <v>2017030013</v>
      </c>
      <c r="H63" s="64">
        <v>42816</v>
      </c>
      <c r="I63" s="86">
        <f>11786924</f>
        <v>11786924</v>
      </c>
      <c r="J63" s="62" t="s">
        <v>994</v>
      </c>
      <c r="K63" s="62" t="s">
        <v>879</v>
      </c>
      <c r="L63" s="62" t="s">
        <v>979</v>
      </c>
      <c r="M63" s="87" t="s">
        <v>76</v>
      </c>
      <c r="N63" s="88" t="s">
        <v>995</v>
      </c>
      <c r="O63" s="86">
        <f>I63</f>
        <v>11786924</v>
      </c>
      <c r="P63" s="86">
        <f>618728+1690000+845000+1690000+1690000+1690000+1690000+1873196</f>
        <v>11786924</v>
      </c>
      <c r="Q63" s="93"/>
      <c r="R63" s="86"/>
      <c r="S63" s="86"/>
      <c r="T63" s="93"/>
      <c r="U63" s="86"/>
      <c r="V63" s="86"/>
      <c r="W63" s="93"/>
      <c r="X63" s="86"/>
      <c r="Y63" s="86"/>
      <c r="Z63" s="93"/>
      <c r="AA63" s="86"/>
      <c r="AB63" s="86"/>
      <c r="AC63" s="93"/>
      <c r="AD63" s="86"/>
      <c r="AE63" s="86"/>
      <c r="AF63" s="93"/>
      <c r="AG63" s="86"/>
      <c r="AH63" s="86"/>
      <c r="AI63" s="93"/>
      <c r="AJ63" s="86"/>
      <c r="AK63" s="107"/>
      <c r="AL63" s="108">
        <f t="shared" si="10"/>
        <v>11786924</v>
      </c>
      <c r="AM63" s="109">
        <f t="shared" si="11"/>
        <v>0</v>
      </c>
      <c r="AN63" s="110">
        <f t="shared" si="12"/>
        <v>1</v>
      </c>
      <c r="AO63" s="109">
        <f t="shared" si="13"/>
        <v>11786924</v>
      </c>
      <c r="AP63" s="117" t="str">
        <f t="shared" si="14"/>
        <v>数据正确</v>
      </c>
    </row>
    <row r="64" s="37" customFormat="1" customHeight="1" spans="1:42">
      <c r="A64" s="37" t="str">
        <f t="shared" si="9"/>
        <v/>
      </c>
      <c r="B64" s="37" t="s">
        <v>83</v>
      </c>
      <c r="C64" s="37" t="s">
        <v>84</v>
      </c>
      <c r="D64" s="61">
        <v>33</v>
      </c>
      <c r="E64" s="62" t="s">
        <v>996</v>
      </c>
      <c r="F64" s="63" t="s">
        <v>24</v>
      </c>
      <c r="G64" s="129">
        <v>2017030051</v>
      </c>
      <c r="H64" s="64">
        <v>42817</v>
      </c>
      <c r="I64" s="150">
        <f>25000-2015+360</f>
        <v>23345</v>
      </c>
      <c r="J64" s="151" t="s">
        <v>997</v>
      </c>
      <c r="K64" s="151" t="s">
        <v>998</v>
      </c>
      <c r="L64" s="152" t="s">
        <v>999</v>
      </c>
      <c r="M64" s="153" t="s">
        <v>278</v>
      </c>
      <c r="N64" s="88" t="s">
        <v>1000</v>
      </c>
      <c r="O64" s="86">
        <f>I64</f>
        <v>23345</v>
      </c>
      <c r="P64" s="86"/>
      <c r="Q64" s="93"/>
      <c r="R64" s="86"/>
      <c r="S64" s="86"/>
      <c r="T64" s="93"/>
      <c r="U64" s="86"/>
      <c r="V64" s="86"/>
      <c r="W64" s="93"/>
      <c r="X64" s="86"/>
      <c r="Y64" s="86"/>
      <c r="Z64" s="93"/>
      <c r="AA64" s="86"/>
      <c r="AB64" s="86"/>
      <c r="AC64" s="93"/>
      <c r="AD64" s="86"/>
      <c r="AE64" s="86"/>
      <c r="AF64" s="93"/>
      <c r="AG64" s="86"/>
      <c r="AH64" s="86"/>
      <c r="AI64" s="93"/>
      <c r="AJ64" s="86"/>
      <c r="AK64" s="107"/>
      <c r="AL64" s="108">
        <f t="shared" si="10"/>
        <v>0</v>
      </c>
      <c r="AM64" s="109">
        <f t="shared" si="11"/>
        <v>23345</v>
      </c>
      <c r="AN64" s="110">
        <f t="shared" si="12"/>
        <v>0</v>
      </c>
      <c r="AO64" s="109">
        <f t="shared" si="13"/>
        <v>23345</v>
      </c>
      <c r="AP64" s="117" t="str">
        <f t="shared" si="14"/>
        <v>数据正确</v>
      </c>
    </row>
    <row r="65" s="37" customFormat="1" customHeight="1" spans="1:42">
      <c r="A65" s="37" t="str">
        <f t="shared" si="9"/>
        <v>已完毕</v>
      </c>
      <c r="B65" s="37" t="s">
        <v>83</v>
      </c>
      <c r="C65" s="37" t="s">
        <v>84</v>
      </c>
      <c r="D65" s="61">
        <v>34</v>
      </c>
      <c r="E65" s="62" t="s">
        <v>1001</v>
      </c>
      <c r="F65" s="63" t="s">
        <v>24</v>
      </c>
      <c r="G65" s="63">
        <v>2017030053</v>
      </c>
      <c r="H65" s="64">
        <v>42824</v>
      </c>
      <c r="I65" s="86">
        <v>3794350</v>
      </c>
      <c r="J65" s="62" t="s">
        <v>1002</v>
      </c>
      <c r="K65" s="62" t="s">
        <v>816</v>
      </c>
      <c r="L65" s="62" t="s">
        <v>1003</v>
      </c>
      <c r="M65" s="87" t="s">
        <v>76</v>
      </c>
      <c r="N65" s="88" t="s">
        <v>1004</v>
      </c>
      <c r="O65" s="86">
        <f>I65</f>
        <v>3794350</v>
      </c>
      <c r="P65" s="86">
        <f>875000+875000+875000+1169350</f>
        <v>3794350</v>
      </c>
      <c r="Q65" s="93"/>
      <c r="R65" s="86"/>
      <c r="S65" s="86"/>
      <c r="T65" s="93"/>
      <c r="U65" s="86"/>
      <c r="V65" s="86"/>
      <c r="W65" s="93"/>
      <c r="X65" s="86"/>
      <c r="Y65" s="86"/>
      <c r="Z65" s="93"/>
      <c r="AA65" s="86"/>
      <c r="AB65" s="86"/>
      <c r="AC65" s="93"/>
      <c r="AD65" s="86"/>
      <c r="AE65" s="86"/>
      <c r="AF65" s="93"/>
      <c r="AG65" s="86"/>
      <c r="AH65" s="86"/>
      <c r="AI65" s="93"/>
      <c r="AJ65" s="86"/>
      <c r="AK65" s="107"/>
      <c r="AL65" s="108">
        <f t="shared" si="10"/>
        <v>3794350</v>
      </c>
      <c r="AM65" s="109">
        <f t="shared" si="11"/>
        <v>0</v>
      </c>
      <c r="AN65" s="110">
        <f t="shared" si="12"/>
        <v>1</v>
      </c>
      <c r="AO65" s="109">
        <f t="shared" si="13"/>
        <v>3794350</v>
      </c>
      <c r="AP65" s="117" t="str">
        <f t="shared" si="14"/>
        <v>数据正确</v>
      </c>
    </row>
    <row r="66" s="37" customFormat="1" customHeight="1" spans="1:43">
      <c r="A66" s="56" t="str">
        <f t="shared" si="9"/>
        <v/>
      </c>
      <c r="B66" s="56" t="s">
        <v>83</v>
      </c>
      <c r="C66" s="37" t="s">
        <v>84</v>
      </c>
      <c r="D66" s="61">
        <v>152</v>
      </c>
      <c r="E66" s="63" t="s">
        <v>1005</v>
      </c>
      <c r="F66" s="59" t="s">
        <v>24</v>
      </c>
      <c r="G66" s="63" t="s">
        <v>75</v>
      </c>
      <c r="H66" s="64">
        <v>42824</v>
      </c>
      <c r="I66" s="86">
        <v>1750000</v>
      </c>
      <c r="J66" s="62" t="s">
        <v>1006</v>
      </c>
      <c r="K66" s="62" t="s">
        <v>986</v>
      </c>
      <c r="L66" s="62"/>
      <c r="M66" s="87" t="s">
        <v>1007</v>
      </c>
      <c r="N66" s="88" t="s">
        <v>1008</v>
      </c>
      <c r="O66" s="86">
        <f>I66*0.8</f>
        <v>1400000</v>
      </c>
      <c r="P66" s="86"/>
      <c r="Q66" s="93" t="s">
        <v>1009</v>
      </c>
      <c r="R66" s="86">
        <f>I66*0.2</f>
        <v>350000</v>
      </c>
      <c r="S66" s="86"/>
      <c r="T66" s="93"/>
      <c r="U66" s="86"/>
      <c r="V66" s="86"/>
      <c r="W66" s="93"/>
      <c r="X66" s="86"/>
      <c r="Y66" s="86"/>
      <c r="Z66" s="93"/>
      <c r="AA66" s="86"/>
      <c r="AB66" s="86"/>
      <c r="AC66" s="93"/>
      <c r="AD66" s="86"/>
      <c r="AE66" s="86"/>
      <c r="AF66" s="93"/>
      <c r="AG66" s="86"/>
      <c r="AH66" s="86"/>
      <c r="AI66" s="93"/>
      <c r="AJ66" s="86"/>
      <c r="AK66" s="107"/>
      <c r="AL66" s="108">
        <f t="shared" si="10"/>
        <v>0</v>
      </c>
      <c r="AM66" s="109">
        <f t="shared" si="11"/>
        <v>1750000</v>
      </c>
      <c r="AN66" s="110">
        <f t="shared" si="12"/>
        <v>0</v>
      </c>
      <c r="AO66" s="109">
        <f t="shared" si="13"/>
        <v>1750000</v>
      </c>
      <c r="AP66" s="117" t="str">
        <f t="shared" si="14"/>
        <v>数据正确</v>
      </c>
      <c r="AQ66" s="37" t="s">
        <v>1010</v>
      </c>
    </row>
    <row r="67" s="37" customFormat="1" customHeight="1" spans="1:42">
      <c r="A67" s="37" t="str">
        <f t="shared" si="9"/>
        <v/>
      </c>
      <c r="B67" s="37" t="s">
        <v>83</v>
      </c>
      <c r="C67" s="37" t="s">
        <v>84</v>
      </c>
      <c r="D67" s="61">
        <v>35</v>
      </c>
      <c r="E67" s="62" t="s">
        <v>1011</v>
      </c>
      <c r="F67" s="63" t="s">
        <v>24</v>
      </c>
      <c r="G67" s="63">
        <v>2017030013</v>
      </c>
      <c r="H67" s="64">
        <v>42825</v>
      </c>
      <c r="I67" s="86">
        <v>8110000</v>
      </c>
      <c r="J67" s="62" t="s">
        <v>1012</v>
      </c>
      <c r="K67" s="62" t="s">
        <v>873</v>
      </c>
      <c r="L67" s="62" t="s">
        <v>979</v>
      </c>
      <c r="M67" s="87" t="s">
        <v>76</v>
      </c>
      <c r="N67" s="88" t="s">
        <v>1013</v>
      </c>
      <c r="O67" s="86">
        <f>I67</f>
        <v>8110000</v>
      </c>
      <c r="P67" s="86">
        <f>835000+835000+835000+835000+835000+835000+545910</f>
        <v>5555910</v>
      </c>
      <c r="Q67" s="93"/>
      <c r="R67" s="86"/>
      <c r="S67" s="86"/>
      <c r="T67" s="93"/>
      <c r="U67" s="86"/>
      <c r="V67" s="86"/>
      <c r="W67" s="93"/>
      <c r="X67" s="86"/>
      <c r="Y67" s="86"/>
      <c r="Z67" s="93"/>
      <c r="AA67" s="86"/>
      <c r="AB67" s="86"/>
      <c r="AC67" s="93"/>
      <c r="AD67" s="86"/>
      <c r="AE67" s="86"/>
      <c r="AF67" s="93"/>
      <c r="AG67" s="86"/>
      <c r="AH67" s="86"/>
      <c r="AI67" s="93"/>
      <c r="AJ67" s="86"/>
      <c r="AK67" s="107"/>
      <c r="AL67" s="108">
        <f t="shared" si="10"/>
        <v>5555910</v>
      </c>
      <c r="AM67" s="109">
        <f t="shared" si="11"/>
        <v>2554090</v>
      </c>
      <c r="AN67" s="110">
        <f t="shared" si="12"/>
        <v>0.685069050554871</v>
      </c>
      <c r="AO67" s="109">
        <f t="shared" si="13"/>
        <v>8110000</v>
      </c>
      <c r="AP67" s="117" t="str">
        <f t="shared" si="14"/>
        <v>数据正确</v>
      </c>
    </row>
    <row r="68" s="37" customFormat="1" customHeight="1" spans="1:45">
      <c r="A68" s="56" t="str">
        <f t="shared" si="9"/>
        <v/>
      </c>
      <c r="B68" s="56" t="s">
        <v>83</v>
      </c>
      <c r="C68" s="37" t="s">
        <v>84</v>
      </c>
      <c r="D68" s="61">
        <v>146</v>
      </c>
      <c r="E68" s="63" t="s">
        <v>1014</v>
      </c>
      <c r="F68" s="59" t="s">
        <v>24</v>
      </c>
      <c r="G68" s="63" t="s">
        <v>75</v>
      </c>
      <c r="H68" s="64">
        <v>42838</v>
      </c>
      <c r="I68" s="86">
        <v>487605</v>
      </c>
      <c r="J68" s="62" t="s">
        <v>1015</v>
      </c>
      <c r="K68" s="62" t="s">
        <v>1016</v>
      </c>
      <c r="L68" s="62"/>
      <c r="M68" s="87" t="s">
        <v>278</v>
      </c>
      <c r="N68" s="88" t="s">
        <v>1017</v>
      </c>
      <c r="O68" s="86">
        <f>I68*0.6</f>
        <v>292563</v>
      </c>
      <c r="P68" s="86"/>
      <c r="Q68" s="93" t="s">
        <v>1018</v>
      </c>
      <c r="R68" s="86">
        <f>I68*0.2</f>
        <v>97521</v>
      </c>
      <c r="S68" s="86"/>
      <c r="T68" s="93" t="s">
        <v>1019</v>
      </c>
      <c r="U68" s="86">
        <f>I68*0.15</f>
        <v>73140.75</v>
      </c>
      <c r="V68" s="86"/>
      <c r="W68" s="93" t="s">
        <v>1020</v>
      </c>
      <c r="X68" s="86">
        <f>I68*0.05</f>
        <v>24380.25</v>
      </c>
      <c r="Y68" s="86"/>
      <c r="Z68" s="93"/>
      <c r="AA68" s="86"/>
      <c r="AB68" s="86"/>
      <c r="AC68" s="93"/>
      <c r="AD68" s="86"/>
      <c r="AE68" s="86"/>
      <c r="AF68" s="93"/>
      <c r="AG68" s="86"/>
      <c r="AH68" s="86"/>
      <c r="AI68" s="93"/>
      <c r="AJ68" s="86"/>
      <c r="AK68" s="107"/>
      <c r="AL68" s="108">
        <f t="shared" si="10"/>
        <v>0</v>
      </c>
      <c r="AM68" s="109">
        <f t="shared" si="11"/>
        <v>487605</v>
      </c>
      <c r="AN68" s="110">
        <f t="shared" si="12"/>
        <v>0</v>
      </c>
      <c r="AO68" s="109">
        <f t="shared" si="13"/>
        <v>487605</v>
      </c>
      <c r="AP68" s="117" t="str">
        <f t="shared" si="14"/>
        <v>数据正确</v>
      </c>
      <c r="AS68" s="37">
        <f>2000+2000</f>
        <v>4000</v>
      </c>
    </row>
    <row r="69" s="37" customFormat="1" customHeight="1" spans="1:45">
      <c r="A69" s="56" t="str">
        <f t="shared" si="9"/>
        <v/>
      </c>
      <c r="B69" s="56" t="s">
        <v>83</v>
      </c>
      <c r="C69" s="37" t="s">
        <v>84</v>
      </c>
      <c r="D69" s="61">
        <v>153</v>
      </c>
      <c r="E69" s="63" t="s">
        <v>1021</v>
      </c>
      <c r="F69" s="59" t="s">
        <v>24</v>
      </c>
      <c r="G69" s="63" t="s">
        <v>75</v>
      </c>
      <c r="H69" s="64">
        <v>42838</v>
      </c>
      <c r="I69" s="86">
        <v>487605</v>
      </c>
      <c r="J69" s="62" t="s">
        <v>1022</v>
      </c>
      <c r="K69" s="62" t="s">
        <v>1023</v>
      </c>
      <c r="L69" s="62"/>
      <c r="M69" s="87" t="s">
        <v>278</v>
      </c>
      <c r="N69" s="88" t="s">
        <v>1008</v>
      </c>
      <c r="O69" s="86">
        <f>I69*0.6</f>
        <v>292563</v>
      </c>
      <c r="P69" s="86"/>
      <c r="Q69" s="93" t="s">
        <v>1024</v>
      </c>
      <c r="R69" s="86">
        <f>I69*0.2</f>
        <v>97521</v>
      </c>
      <c r="S69" s="86"/>
      <c r="T69" s="93" t="s">
        <v>1025</v>
      </c>
      <c r="U69" s="86">
        <f>I69*0.15</f>
        <v>73140.75</v>
      </c>
      <c r="V69" s="86"/>
      <c r="W69" s="93" t="s">
        <v>1020</v>
      </c>
      <c r="X69" s="86">
        <f>I69*0.05</f>
        <v>24380.25</v>
      </c>
      <c r="Y69" s="86"/>
      <c r="Z69" s="93"/>
      <c r="AA69" s="86"/>
      <c r="AB69" s="86"/>
      <c r="AC69" s="93"/>
      <c r="AD69" s="86"/>
      <c r="AE69" s="86"/>
      <c r="AF69" s="93"/>
      <c r="AG69" s="86"/>
      <c r="AH69" s="86"/>
      <c r="AI69" s="93"/>
      <c r="AJ69" s="86"/>
      <c r="AK69" s="107"/>
      <c r="AL69" s="108">
        <f t="shared" si="10"/>
        <v>0</v>
      </c>
      <c r="AM69" s="109">
        <f t="shared" si="11"/>
        <v>487605</v>
      </c>
      <c r="AN69" s="110">
        <f t="shared" si="12"/>
        <v>0</v>
      </c>
      <c r="AO69" s="109">
        <f t="shared" si="13"/>
        <v>487605</v>
      </c>
      <c r="AP69" s="117" t="str">
        <f t="shared" si="14"/>
        <v>数据正确</v>
      </c>
      <c r="AQ69" s="37" t="s">
        <v>1010</v>
      </c>
      <c r="AS69" s="37">
        <f>2000</f>
        <v>2000</v>
      </c>
    </row>
    <row r="70" s="37" customFormat="1" customHeight="1" spans="1:42">
      <c r="A70" s="37" t="str">
        <f t="shared" si="9"/>
        <v/>
      </c>
      <c r="B70" s="37" t="s">
        <v>83</v>
      </c>
      <c r="C70" s="37" t="s">
        <v>84</v>
      </c>
      <c r="D70" s="61">
        <v>38</v>
      </c>
      <c r="E70" s="62" t="s">
        <v>1026</v>
      </c>
      <c r="F70" s="63" t="s">
        <v>24</v>
      </c>
      <c r="G70" s="63">
        <v>2017030053</v>
      </c>
      <c r="H70" s="64">
        <v>42839</v>
      </c>
      <c r="I70" s="86">
        <v>2505000</v>
      </c>
      <c r="J70" s="62" t="s">
        <v>1027</v>
      </c>
      <c r="K70" s="62" t="s">
        <v>873</v>
      </c>
      <c r="L70" s="62" t="s">
        <v>1003</v>
      </c>
      <c r="M70" s="87" t="s">
        <v>76</v>
      </c>
      <c r="N70" s="88" t="s">
        <v>1013</v>
      </c>
      <c r="O70" s="86">
        <v>2505000</v>
      </c>
      <c r="P70" s="86">
        <f>863000</f>
        <v>863000</v>
      </c>
      <c r="Q70" s="93"/>
      <c r="R70" s="86"/>
      <c r="S70" s="86"/>
      <c r="T70" s="93"/>
      <c r="U70" s="86"/>
      <c r="V70" s="86"/>
      <c r="W70" s="93"/>
      <c r="X70" s="86"/>
      <c r="Y70" s="86"/>
      <c r="Z70" s="93"/>
      <c r="AA70" s="86"/>
      <c r="AB70" s="86"/>
      <c r="AC70" s="93"/>
      <c r="AD70" s="86"/>
      <c r="AE70" s="86"/>
      <c r="AF70" s="93"/>
      <c r="AG70" s="86"/>
      <c r="AH70" s="86"/>
      <c r="AI70" s="93"/>
      <c r="AJ70" s="86"/>
      <c r="AK70" s="107"/>
      <c r="AL70" s="108">
        <f t="shared" ref="AL70:AL133" si="19">P70+S70+V70+Y70+AB70+AE70+AH70+AK70</f>
        <v>863000</v>
      </c>
      <c r="AM70" s="109">
        <f t="shared" ref="AM70:AM133" si="20">I70-AL70</f>
        <v>1642000</v>
      </c>
      <c r="AN70" s="110">
        <f t="shared" ref="AN70:AN133" si="21">AL70/I70</f>
        <v>0.344510978043912</v>
      </c>
      <c r="AO70" s="109">
        <f t="shared" ref="AO70:AO133" si="22">O70+R70+U70+X70+AA70+AD70+AG70+AJ70</f>
        <v>2505000</v>
      </c>
      <c r="AP70" s="117" t="str">
        <f t="shared" si="14"/>
        <v>数据正确</v>
      </c>
    </row>
    <row r="71" s="37" customFormat="1" customHeight="1" spans="1:42">
      <c r="A71" s="37" t="str">
        <f t="shared" ref="A71:A81" si="23">IF(AN71=100%,"已完毕","")</f>
        <v/>
      </c>
      <c r="B71" s="37" t="s">
        <v>83</v>
      </c>
      <c r="C71" s="37" t="s">
        <v>84</v>
      </c>
      <c r="D71" s="61">
        <v>40</v>
      </c>
      <c r="E71" s="62" t="s">
        <v>1028</v>
      </c>
      <c r="F71" s="63" t="s">
        <v>24</v>
      </c>
      <c r="G71" s="63"/>
      <c r="H71" s="64">
        <v>42839</v>
      </c>
      <c r="I71" s="86">
        <v>918180</v>
      </c>
      <c r="J71" s="62" t="s">
        <v>1029</v>
      </c>
      <c r="K71" s="62" t="s">
        <v>1030</v>
      </c>
      <c r="L71" s="62"/>
      <c r="M71" s="87" t="s">
        <v>76</v>
      </c>
      <c r="N71" s="88" t="s">
        <v>1031</v>
      </c>
      <c r="O71" s="86">
        <v>918180</v>
      </c>
      <c r="P71" s="86">
        <v>80240</v>
      </c>
      <c r="Q71" s="93"/>
      <c r="R71" s="86"/>
      <c r="S71" s="86"/>
      <c r="T71" s="93"/>
      <c r="U71" s="86"/>
      <c r="V71" s="86"/>
      <c r="W71" s="93"/>
      <c r="X71" s="86"/>
      <c r="Y71" s="86"/>
      <c r="Z71" s="93"/>
      <c r="AA71" s="86"/>
      <c r="AB71" s="86"/>
      <c r="AC71" s="93"/>
      <c r="AD71" s="86"/>
      <c r="AE71" s="86"/>
      <c r="AF71" s="93"/>
      <c r="AG71" s="86"/>
      <c r="AH71" s="86"/>
      <c r="AI71" s="93"/>
      <c r="AJ71" s="86"/>
      <c r="AK71" s="107"/>
      <c r="AL71" s="108">
        <f t="shared" si="19"/>
        <v>80240</v>
      </c>
      <c r="AM71" s="109">
        <f t="shared" si="20"/>
        <v>837940</v>
      </c>
      <c r="AN71" s="110">
        <f t="shared" si="21"/>
        <v>0.0873902720599447</v>
      </c>
      <c r="AO71" s="109">
        <f t="shared" si="22"/>
        <v>918180</v>
      </c>
      <c r="AP71" s="117" t="str">
        <f t="shared" ref="AP71:AP134" si="24">IF(AO71-I71=0,"数据正确","数据错误")</f>
        <v>数据正确</v>
      </c>
    </row>
    <row r="72" s="37" customFormat="1" customHeight="1" spans="1:42">
      <c r="A72" s="37" t="str">
        <f t="shared" si="23"/>
        <v>已完毕</v>
      </c>
      <c r="B72" s="37" t="s">
        <v>83</v>
      </c>
      <c r="C72" s="37" t="s">
        <v>84</v>
      </c>
      <c r="D72" s="61">
        <v>131</v>
      </c>
      <c r="E72" s="62" t="s">
        <v>1032</v>
      </c>
      <c r="F72" s="63" t="s">
        <v>24</v>
      </c>
      <c r="G72" s="63" t="s">
        <v>75</v>
      </c>
      <c r="H72" s="64">
        <v>42839</v>
      </c>
      <c r="I72" s="86">
        <f>8899*217</f>
        <v>1931083</v>
      </c>
      <c r="J72" s="62" t="s">
        <v>1033</v>
      </c>
      <c r="K72" s="62" t="s">
        <v>873</v>
      </c>
      <c r="L72" s="62"/>
      <c r="M72" s="87" t="s">
        <v>254</v>
      </c>
      <c r="N72" s="88" t="s">
        <v>1013</v>
      </c>
      <c r="O72" s="86">
        <f>1085000+846083</f>
        <v>1931083</v>
      </c>
      <c r="P72" s="86">
        <f>1085000+846083</f>
        <v>1931083</v>
      </c>
      <c r="Q72" s="93"/>
      <c r="R72" s="86"/>
      <c r="S72" s="86"/>
      <c r="T72" s="93"/>
      <c r="U72" s="86"/>
      <c r="V72" s="86"/>
      <c r="W72" s="93"/>
      <c r="X72" s="86"/>
      <c r="Y72" s="86"/>
      <c r="Z72" s="93"/>
      <c r="AA72" s="86"/>
      <c r="AB72" s="86"/>
      <c r="AC72" s="93"/>
      <c r="AD72" s="86"/>
      <c r="AE72" s="86"/>
      <c r="AF72" s="93"/>
      <c r="AG72" s="86"/>
      <c r="AH72" s="86"/>
      <c r="AI72" s="93"/>
      <c r="AJ72" s="86"/>
      <c r="AK72" s="107"/>
      <c r="AL72" s="108">
        <f t="shared" si="19"/>
        <v>1931083</v>
      </c>
      <c r="AM72" s="109">
        <f t="shared" si="20"/>
        <v>0</v>
      </c>
      <c r="AN72" s="110">
        <f t="shared" si="21"/>
        <v>1</v>
      </c>
      <c r="AO72" s="109">
        <f t="shared" si="22"/>
        <v>1931083</v>
      </c>
      <c r="AP72" s="117" t="str">
        <f t="shared" si="24"/>
        <v>数据正确</v>
      </c>
    </row>
    <row r="73" s="37" customFormat="1" customHeight="1" spans="1:42">
      <c r="A73" s="37" t="str">
        <f t="shared" si="23"/>
        <v>已完毕</v>
      </c>
      <c r="B73" s="37" t="s">
        <v>83</v>
      </c>
      <c r="C73" s="37" t="s">
        <v>84</v>
      </c>
      <c r="D73" s="61">
        <v>37</v>
      </c>
      <c r="E73" s="62" t="s">
        <v>1034</v>
      </c>
      <c r="F73" s="63" t="s">
        <v>24</v>
      </c>
      <c r="G73" s="63">
        <v>2017030053</v>
      </c>
      <c r="H73" s="64">
        <v>42840</v>
      </c>
      <c r="I73" s="86">
        <v>5983824</v>
      </c>
      <c r="J73" s="62" t="s">
        <v>1035</v>
      </c>
      <c r="K73" s="62" t="s">
        <v>883</v>
      </c>
      <c r="L73" s="62" t="s">
        <v>1003</v>
      </c>
      <c r="M73" s="87" t="s">
        <v>76</v>
      </c>
      <c r="N73" s="88" t="s">
        <v>1013</v>
      </c>
      <c r="O73" s="86">
        <v>5983824</v>
      </c>
      <c r="P73" s="86">
        <f>880000+880000+880000+880000+880000+880000+703824</f>
        <v>5983824</v>
      </c>
      <c r="Q73" s="93"/>
      <c r="R73" s="86"/>
      <c r="S73" s="86"/>
      <c r="T73" s="93"/>
      <c r="U73" s="86"/>
      <c r="V73" s="86"/>
      <c r="W73" s="93"/>
      <c r="X73" s="86"/>
      <c r="Y73" s="86"/>
      <c r="Z73" s="93"/>
      <c r="AA73" s="86"/>
      <c r="AB73" s="86"/>
      <c r="AC73" s="93"/>
      <c r="AD73" s="86"/>
      <c r="AE73" s="86"/>
      <c r="AF73" s="93"/>
      <c r="AG73" s="86"/>
      <c r="AH73" s="86"/>
      <c r="AI73" s="93"/>
      <c r="AJ73" s="86"/>
      <c r="AK73" s="107"/>
      <c r="AL73" s="108">
        <f t="shared" si="19"/>
        <v>5983824</v>
      </c>
      <c r="AM73" s="109">
        <f t="shared" si="20"/>
        <v>0</v>
      </c>
      <c r="AN73" s="110">
        <f t="shared" si="21"/>
        <v>1</v>
      </c>
      <c r="AO73" s="109">
        <f t="shared" si="22"/>
        <v>5983824</v>
      </c>
      <c r="AP73" s="117" t="str">
        <f t="shared" si="24"/>
        <v>数据正确</v>
      </c>
    </row>
    <row r="74" s="37" customFormat="1" customHeight="1" spans="1:42">
      <c r="A74" s="37" t="str">
        <f t="shared" si="23"/>
        <v>已完毕</v>
      </c>
      <c r="B74" s="37" t="s">
        <v>83</v>
      </c>
      <c r="C74" s="37" t="s">
        <v>84</v>
      </c>
      <c r="D74" s="61">
        <v>39</v>
      </c>
      <c r="E74" s="62" t="s">
        <v>1036</v>
      </c>
      <c r="F74" s="63" t="s">
        <v>24</v>
      </c>
      <c r="G74" s="129">
        <v>2017030074</v>
      </c>
      <c r="H74" s="64">
        <v>42842</v>
      </c>
      <c r="I74" s="150">
        <v>71875</v>
      </c>
      <c r="J74" s="151" t="s">
        <v>1037</v>
      </c>
      <c r="K74" s="151" t="s">
        <v>1038</v>
      </c>
      <c r="L74" s="152" t="s">
        <v>1039</v>
      </c>
      <c r="M74" s="153" t="s">
        <v>76</v>
      </c>
      <c r="N74" s="88" t="s">
        <v>1040</v>
      </c>
      <c r="O74" s="86">
        <v>71875</v>
      </c>
      <c r="P74" s="86">
        <v>71875</v>
      </c>
      <c r="Q74" s="93"/>
      <c r="R74" s="86"/>
      <c r="S74" s="86"/>
      <c r="T74" s="93"/>
      <c r="U74" s="86"/>
      <c r="V74" s="86"/>
      <c r="W74" s="93"/>
      <c r="X74" s="86"/>
      <c r="Y74" s="86"/>
      <c r="Z74" s="93"/>
      <c r="AA74" s="86"/>
      <c r="AB74" s="86"/>
      <c r="AC74" s="93"/>
      <c r="AD74" s="86"/>
      <c r="AE74" s="86"/>
      <c r="AF74" s="93"/>
      <c r="AG74" s="86"/>
      <c r="AH74" s="86"/>
      <c r="AI74" s="93"/>
      <c r="AJ74" s="86"/>
      <c r="AK74" s="107"/>
      <c r="AL74" s="108">
        <f t="shared" si="19"/>
        <v>71875</v>
      </c>
      <c r="AM74" s="109">
        <f t="shared" si="20"/>
        <v>0</v>
      </c>
      <c r="AN74" s="110">
        <f t="shared" si="21"/>
        <v>1</v>
      </c>
      <c r="AO74" s="109">
        <f t="shared" si="22"/>
        <v>71875</v>
      </c>
      <c r="AP74" s="117" t="str">
        <f t="shared" si="24"/>
        <v>数据正确</v>
      </c>
    </row>
    <row r="75" s="37" customFormat="1" customHeight="1" spans="1:42">
      <c r="A75" s="37" t="str">
        <f t="shared" si="23"/>
        <v>已完毕</v>
      </c>
      <c r="B75" s="37" t="s">
        <v>83</v>
      </c>
      <c r="C75" s="37" t="s">
        <v>84</v>
      </c>
      <c r="D75" s="61">
        <v>161</v>
      </c>
      <c r="E75" s="62" t="s">
        <v>1041</v>
      </c>
      <c r="F75" s="63" t="s">
        <v>24</v>
      </c>
      <c r="G75" s="63"/>
      <c r="H75" s="64">
        <v>42854</v>
      </c>
      <c r="I75" s="144">
        <v>0.001</v>
      </c>
      <c r="J75" s="62" t="s">
        <v>1042</v>
      </c>
      <c r="K75" s="62" t="s">
        <v>1043</v>
      </c>
      <c r="L75" s="62"/>
      <c r="M75" s="87" t="s">
        <v>76</v>
      </c>
      <c r="N75" s="88" t="s">
        <v>75</v>
      </c>
      <c r="O75" s="86">
        <f>I75</f>
        <v>0.001</v>
      </c>
      <c r="P75" s="86">
        <f>O75</f>
        <v>0.001</v>
      </c>
      <c r="Q75" s="93"/>
      <c r="R75" s="86"/>
      <c r="S75" s="86"/>
      <c r="T75" s="93"/>
      <c r="U75" s="86"/>
      <c r="V75" s="86"/>
      <c r="W75" s="93"/>
      <c r="X75" s="86"/>
      <c r="Y75" s="86"/>
      <c r="Z75" s="93"/>
      <c r="AA75" s="86"/>
      <c r="AB75" s="86"/>
      <c r="AC75" s="93"/>
      <c r="AD75" s="86"/>
      <c r="AE75" s="86"/>
      <c r="AF75" s="93"/>
      <c r="AG75" s="86"/>
      <c r="AH75" s="86"/>
      <c r="AI75" s="93"/>
      <c r="AJ75" s="86"/>
      <c r="AK75" s="107"/>
      <c r="AL75" s="108">
        <f t="shared" si="19"/>
        <v>0.001</v>
      </c>
      <c r="AM75" s="109">
        <f t="shared" si="20"/>
        <v>0</v>
      </c>
      <c r="AN75" s="110">
        <f t="shared" si="21"/>
        <v>1</v>
      </c>
      <c r="AO75" s="109">
        <f t="shared" si="22"/>
        <v>0.001</v>
      </c>
      <c r="AP75" s="117" t="str">
        <f t="shared" si="24"/>
        <v>数据正确</v>
      </c>
    </row>
    <row r="76" s="37" customFormat="1" customHeight="1" spans="1:42">
      <c r="A76" s="37" t="str">
        <f t="shared" si="23"/>
        <v/>
      </c>
      <c r="B76" s="37" t="s">
        <v>83</v>
      </c>
      <c r="C76" s="37" t="s">
        <v>84</v>
      </c>
      <c r="D76" s="61">
        <v>42</v>
      </c>
      <c r="E76" s="62" t="s">
        <v>1044</v>
      </c>
      <c r="F76" s="63" t="s">
        <v>24</v>
      </c>
      <c r="G76" s="129">
        <v>2017040038</v>
      </c>
      <c r="H76" s="64">
        <v>42865</v>
      </c>
      <c r="I76" s="150">
        <v>74000</v>
      </c>
      <c r="J76" s="151" t="s">
        <v>1045</v>
      </c>
      <c r="K76" s="151" t="s">
        <v>1046</v>
      </c>
      <c r="L76" s="152" t="s">
        <v>1047</v>
      </c>
      <c r="M76" s="153" t="s">
        <v>1048</v>
      </c>
      <c r="N76" s="88" t="s">
        <v>1049</v>
      </c>
      <c r="O76" s="86">
        <v>74000</v>
      </c>
      <c r="P76" s="86"/>
      <c r="Q76" s="93"/>
      <c r="R76" s="86"/>
      <c r="S76" s="86"/>
      <c r="T76" s="93"/>
      <c r="U76" s="86"/>
      <c r="V76" s="86"/>
      <c r="W76" s="93"/>
      <c r="X76" s="86"/>
      <c r="Y76" s="86"/>
      <c r="Z76" s="93"/>
      <c r="AA76" s="86"/>
      <c r="AB76" s="86"/>
      <c r="AC76" s="93"/>
      <c r="AD76" s="86"/>
      <c r="AE76" s="86"/>
      <c r="AF76" s="93"/>
      <c r="AG76" s="86"/>
      <c r="AH76" s="86"/>
      <c r="AI76" s="93"/>
      <c r="AJ76" s="86"/>
      <c r="AK76" s="107"/>
      <c r="AL76" s="108">
        <f t="shared" si="19"/>
        <v>0</v>
      </c>
      <c r="AM76" s="109">
        <f t="shared" si="20"/>
        <v>74000</v>
      </c>
      <c r="AN76" s="110">
        <f t="shared" si="21"/>
        <v>0</v>
      </c>
      <c r="AO76" s="109">
        <f t="shared" si="22"/>
        <v>74000</v>
      </c>
      <c r="AP76" s="117" t="str">
        <f t="shared" si="24"/>
        <v>数据正确</v>
      </c>
    </row>
    <row r="77" s="37" customFormat="1" customHeight="1" spans="1:42">
      <c r="A77" s="37" t="str">
        <f t="shared" si="23"/>
        <v/>
      </c>
      <c r="B77" s="37" t="s">
        <v>83</v>
      </c>
      <c r="C77" s="37" t="s">
        <v>84</v>
      </c>
      <c r="D77" s="61">
        <v>44</v>
      </c>
      <c r="E77" s="62" t="s">
        <v>1050</v>
      </c>
      <c r="F77" s="63" t="s">
        <v>24</v>
      </c>
      <c r="G77" s="129" t="s">
        <v>1051</v>
      </c>
      <c r="H77" s="64">
        <v>42871</v>
      </c>
      <c r="I77" s="149">
        <v>2223004</v>
      </c>
      <c r="J77" s="151" t="s">
        <v>1052</v>
      </c>
      <c r="K77" s="151" t="s">
        <v>1053</v>
      </c>
      <c r="L77" s="152" t="s">
        <v>1054</v>
      </c>
      <c r="M77" s="153" t="s">
        <v>528</v>
      </c>
      <c r="N77" s="88" t="s">
        <v>1055</v>
      </c>
      <c r="O77" s="86">
        <f>I77*0.8</f>
        <v>1778403.2</v>
      </c>
      <c r="P77" s="86">
        <f>84509+68775</f>
        <v>153284</v>
      </c>
      <c r="Q77" s="88" t="s">
        <v>1055</v>
      </c>
      <c r="R77" s="86">
        <f>I77*0.2</f>
        <v>444600.8</v>
      </c>
      <c r="S77" s="86"/>
      <c r="T77" s="93"/>
      <c r="U77" s="86"/>
      <c r="V77" s="86"/>
      <c r="W77" s="93"/>
      <c r="X77" s="86"/>
      <c r="Y77" s="86"/>
      <c r="Z77" s="93"/>
      <c r="AA77" s="86"/>
      <c r="AB77" s="86"/>
      <c r="AC77" s="93"/>
      <c r="AD77" s="86"/>
      <c r="AE77" s="86"/>
      <c r="AF77" s="93"/>
      <c r="AG77" s="86"/>
      <c r="AH77" s="86"/>
      <c r="AI77" s="93"/>
      <c r="AJ77" s="86"/>
      <c r="AK77" s="107"/>
      <c r="AL77" s="108">
        <f t="shared" si="19"/>
        <v>153284</v>
      </c>
      <c r="AM77" s="109">
        <f t="shared" si="20"/>
        <v>2069720</v>
      </c>
      <c r="AN77" s="110">
        <f t="shared" si="21"/>
        <v>0.0689535421438738</v>
      </c>
      <c r="AO77" s="109">
        <f t="shared" si="22"/>
        <v>2223004</v>
      </c>
      <c r="AP77" s="117" t="str">
        <f t="shared" si="24"/>
        <v>数据正确</v>
      </c>
    </row>
    <row r="78" s="37" customFormat="1" customHeight="1" spans="1:44">
      <c r="A78" s="37" t="str">
        <f t="shared" si="23"/>
        <v>已完毕</v>
      </c>
      <c r="B78" s="37" t="s">
        <v>83</v>
      </c>
      <c r="C78" s="37" t="s">
        <v>84</v>
      </c>
      <c r="D78" s="61">
        <v>45</v>
      </c>
      <c r="E78" s="62" t="s">
        <v>1056</v>
      </c>
      <c r="F78" s="63" t="s">
        <v>24</v>
      </c>
      <c r="G78" s="63">
        <v>2017050024</v>
      </c>
      <c r="H78" s="64">
        <v>42875</v>
      </c>
      <c r="I78" s="86">
        <v>7069424</v>
      </c>
      <c r="J78" s="62" t="s">
        <v>1057</v>
      </c>
      <c r="K78" s="62" t="s">
        <v>1058</v>
      </c>
      <c r="L78" s="62" t="s">
        <v>1059</v>
      </c>
      <c r="M78" s="87" t="s">
        <v>254</v>
      </c>
      <c r="N78" s="88" t="s">
        <v>1060</v>
      </c>
      <c r="O78" s="86">
        <f>I78</f>
        <v>7069424</v>
      </c>
      <c r="P78" s="86">
        <f>1610000+1610000+1610000+1610000+629424</f>
        <v>7069424</v>
      </c>
      <c r="Q78" s="93"/>
      <c r="R78" s="86"/>
      <c r="S78" s="86"/>
      <c r="T78" s="93"/>
      <c r="U78" s="86"/>
      <c r="V78" s="86"/>
      <c r="W78" s="93"/>
      <c r="X78" s="86"/>
      <c r="Y78" s="86"/>
      <c r="Z78" s="93"/>
      <c r="AA78" s="86"/>
      <c r="AB78" s="86"/>
      <c r="AC78" s="93"/>
      <c r="AD78" s="86"/>
      <c r="AE78" s="86"/>
      <c r="AF78" s="93"/>
      <c r="AG78" s="86"/>
      <c r="AH78" s="86"/>
      <c r="AI78" s="93"/>
      <c r="AJ78" s="86"/>
      <c r="AK78" s="107"/>
      <c r="AL78" s="108">
        <f t="shared" si="19"/>
        <v>7069424</v>
      </c>
      <c r="AM78" s="109">
        <f t="shared" si="20"/>
        <v>0</v>
      </c>
      <c r="AN78" s="110">
        <f t="shared" si="21"/>
        <v>1</v>
      </c>
      <c r="AO78" s="109">
        <f t="shared" si="22"/>
        <v>7069424</v>
      </c>
      <c r="AP78" s="117" t="str">
        <f t="shared" si="24"/>
        <v>数据正确</v>
      </c>
      <c r="AQ78" s="37" t="s">
        <v>106</v>
      </c>
      <c r="AR78" s="37" t="s">
        <v>106</v>
      </c>
    </row>
    <row r="79" s="37" customFormat="1" customHeight="1" spans="1:42">
      <c r="A79" s="37" t="str">
        <f t="shared" si="23"/>
        <v>已完毕</v>
      </c>
      <c r="B79" s="37" t="s">
        <v>83</v>
      </c>
      <c r="C79" s="37" t="s">
        <v>84</v>
      </c>
      <c r="D79" s="61">
        <v>64</v>
      </c>
      <c r="E79" s="62" t="s">
        <v>1061</v>
      </c>
      <c r="F79" s="63" t="s">
        <v>24</v>
      </c>
      <c r="G79" s="63" t="s">
        <v>75</v>
      </c>
      <c r="H79" s="64">
        <v>42875</v>
      </c>
      <c r="I79" s="144">
        <f>259486.9</f>
        <v>259486.9</v>
      </c>
      <c r="J79" s="62" t="s">
        <v>1062</v>
      </c>
      <c r="K79" s="62" t="s">
        <v>1063</v>
      </c>
      <c r="L79" s="62"/>
      <c r="M79" s="87" t="s">
        <v>76</v>
      </c>
      <c r="N79" s="88" t="s">
        <v>1064</v>
      </c>
      <c r="O79" s="86">
        <v>259486.9</v>
      </c>
      <c r="P79" s="86">
        <f>259486.9</f>
        <v>259486.9</v>
      </c>
      <c r="Q79" s="93"/>
      <c r="R79" s="86"/>
      <c r="S79" s="86"/>
      <c r="T79" s="93"/>
      <c r="U79" s="86"/>
      <c r="V79" s="86"/>
      <c r="W79" s="93"/>
      <c r="X79" s="86"/>
      <c r="Y79" s="86"/>
      <c r="Z79" s="93"/>
      <c r="AA79" s="86"/>
      <c r="AB79" s="86"/>
      <c r="AC79" s="93"/>
      <c r="AD79" s="86"/>
      <c r="AE79" s="86"/>
      <c r="AF79" s="93"/>
      <c r="AG79" s="86"/>
      <c r="AH79" s="86"/>
      <c r="AI79" s="93"/>
      <c r="AJ79" s="86"/>
      <c r="AK79" s="107"/>
      <c r="AL79" s="108">
        <f t="shared" si="19"/>
        <v>259486.9</v>
      </c>
      <c r="AM79" s="109">
        <f t="shared" si="20"/>
        <v>0</v>
      </c>
      <c r="AN79" s="110">
        <f t="shared" si="21"/>
        <v>1</v>
      </c>
      <c r="AO79" s="109">
        <f t="shared" si="22"/>
        <v>259486.9</v>
      </c>
      <c r="AP79" s="117" t="str">
        <f t="shared" si="24"/>
        <v>数据正确</v>
      </c>
    </row>
    <row r="80" s="37" customFormat="1" customHeight="1" spans="1:44">
      <c r="A80" s="37" t="str">
        <f t="shared" si="23"/>
        <v>已完毕</v>
      </c>
      <c r="B80" s="37" t="s">
        <v>83</v>
      </c>
      <c r="C80" s="37" t="s">
        <v>84</v>
      </c>
      <c r="D80" s="61">
        <v>46</v>
      </c>
      <c r="E80" s="62" t="s">
        <v>1065</v>
      </c>
      <c r="F80" s="63" t="s">
        <v>24</v>
      </c>
      <c r="G80" s="63">
        <v>2017050002</v>
      </c>
      <c r="H80" s="64">
        <v>42876</v>
      </c>
      <c r="I80" s="144">
        <v>79674</v>
      </c>
      <c r="J80" s="62" t="s">
        <v>1066</v>
      </c>
      <c r="K80" s="62" t="s">
        <v>837</v>
      </c>
      <c r="L80" s="62"/>
      <c r="M80" s="87" t="s">
        <v>76</v>
      </c>
      <c r="N80" s="88" t="s">
        <v>1067</v>
      </c>
      <c r="O80" s="86">
        <f>I80</f>
        <v>79674</v>
      </c>
      <c r="P80" s="86">
        <v>79674</v>
      </c>
      <c r="Q80" s="93"/>
      <c r="R80" s="86"/>
      <c r="S80" s="86"/>
      <c r="T80" s="93"/>
      <c r="U80" s="86"/>
      <c r="V80" s="86"/>
      <c r="W80" s="93"/>
      <c r="X80" s="86"/>
      <c r="Y80" s="86"/>
      <c r="Z80" s="93"/>
      <c r="AA80" s="86"/>
      <c r="AB80" s="86"/>
      <c r="AC80" s="93"/>
      <c r="AD80" s="86"/>
      <c r="AE80" s="86"/>
      <c r="AF80" s="93"/>
      <c r="AG80" s="86"/>
      <c r="AH80" s="86"/>
      <c r="AI80" s="93"/>
      <c r="AJ80" s="86"/>
      <c r="AK80" s="107"/>
      <c r="AL80" s="108">
        <f t="shared" si="19"/>
        <v>79674</v>
      </c>
      <c r="AM80" s="109">
        <f t="shared" si="20"/>
        <v>0</v>
      </c>
      <c r="AN80" s="110">
        <f t="shared" si="21"/>
        <v>1</v>
      </c>
      <c r="AO80" s="109">
        <f t="shared" si="22"/>
        <v>79674</v>
      </c>
      <c r="AP80" s="117" t="str">
        <f t="shared" si="24"/>
        <v>数据正确</v>
      </c>
      <c r="AQ80" s="37" t="s">
        <v>106</v>
      </c>
      <c r="AR80" s="37" t="s">
        <v>106</v>
      </c>
    </row>
    <row r="81" s="37" customFormat="1" customHeight="1" spans="1:42">
      <c r="A81" s="37" t="str">
        <f t="shared" si="23"/>
        <v/>
      </c>
      <c r="B81" s="37" t="s">
        <v>83</v>
      </c>
      <c r="C81" s="37" t="s">
        <v>84</v>
      </c>
      <c r="D81" s="61">
        <v>43</v>
      </c>
      <c r="E81" s="62" t="s">
        <v>1068</v>
      </c>
      <c r="F81" s="63" t="s">
        <v>24</v>
      </c>
      <c r="G81" s="129">
        <v>2017030072</v>
      </c>
      <c r="H81" s="64">
        <v>42878</v>
      </c>
      <c r="I81" s="149">
        <v>4095000</v>
      </c>
      <c r="J81" s="151" t="s">
        <v>1069</v>
      </c>
      <c r="K81" s="151" t="s">
        <v>947</v>
      </c>
      <c r="L81" s="152" t="s">
        <v>1070</v>
      </c>
      <c r="M81" s="153" t="s">
        <v>76</v>
      </c>
      <c r="N81" s="88" t="s">
        <v>1071</v>
      </c>
      <c r="O81" s="86">
        <v>4095000</v>
      </c>
      <c r="P81" s="86">
        <f>190420</f>
        <v>190420</v>
      </c>
      <c r="Q81" s="93"/>
      <c r="R81" s="86"/>
      <c r="S81" s="86"/>
      <c r="T81" s="93"/>
      <c r="U81" s="86"/>
      <c r="V81" s="86"/>
      <c r="W81" s="93"/>
      <c r="X81" s="86"/>
      <c r="Y81" s="86"/>
      <c r="Z81" s="93"/>
      <c r="AA81" s="86"/>
      <c r="AB81" s="86"/>
      <c r="AC81" s="93"/>
      <c r="AD81" s="86"/>
      <c r="AE81" s="86"/>
      <c r="AF81" s="93"/>
      <c r="AG81" s="86"/>
      <c r="AH81" s="86"/>
      <c r="AI81" s="93"/>
      <c r="AJ81" s="86"/>
      <c r="AK81" s="107"/>
      <c r="AL81" s="108">
        <f t="shared" si="19"/>
        <v>190420</v>
      </c>
      <c r="AM81" s="109">
        <f t="shared" si="20"/>
        <v>3904580</v>
      </c>
      <c r="AN81" s="110">
        <f t="shared" si="21"/>
        <v>0.0465006105006105</v>
      </c>
      <c r="AO81" s="109">
        <f t="shared" si="22"/>
        <v>4095000</v>
      </c>
      <c r="AP81" s="117" t="str">
        <f t="shared" si="24"/>
        <v>数据正确</v>
      </c>
    </row>
    <row r="82" s="37" customFormat="1" customHeight="1" outlineLevel="1" spans="1:42">
      <c r="A82" s="56"/>
      <c r="B82" s="56" t="s">
        <v>83</v>
      </c>
      <c r="C82" s="56" t="s">
        <v>84</v>
      </c>
      <c r="D82" s="61">
        <v>156.01</v>
      </c>
      <c r="E82" s="63" t="s">
        <v>1072</v>
      </c>
      <c r="F82" s="59" t="s">
        <v>24</v>
      </c>
      <c r="G82" s="63" t="s">
        <v>75</v>
      </c>
      <c r="H82" s="64">
        <v>42886</v>
      </c>
      <c r="I82" s="86">
        <f t="shared" ref="I82:I100" si="25">57000000/19</f>
        <v>3000000</v>
      </c>
      <c r="J82" s="62" t="s">
        <v>1073</v>
      </c>
      <c r="K82" s="62" t="s">
        <v>1074</v>
      </c>
      <c r="L82" s="62"/>
      <c r="M82" s="87" t="s">
        <v>278</v>
      </c>
      <c r="N82" s="88" t="s">
        <v>1075</v>
      </c>
      <c r="O82" s="86"/>
      <c r="P82" s="86">
        <f>O82*0.8</f>
        <v>0</v>
      </c>
      <c r="Q82" s="88" t="s">
        <v>1075</v>
      </c>
      <c r="R82" s="86"/>
      <c r="S82" s="86"/>
      <c r="T82" s="88" t="s">
        <v>1075</v>
      </c>
      <c r="U82" s="86"/>
      <c r="V82" s="86"/>
      <c r="W82" s="88" t="s">
        <v>1075</v>
      </c>
      <c r="X82" s="86"/>
      <c r="Y82" s="86"/>
      <c r="Z82" s="88" t="s">
        <v>1075</v>
      </c>
      <c r="AA82" s="86"/>
      <c r="AB82" s="86"/>
      <c r="AC82" s="88" t="s">
        <v>1075</v>
      </c>
      <c r="AD82" s="86"/>
      <c r="AE82" s="86"/>
      <c r="AF82" s="88" t="s">
        <v>1075</v>
      </c>
      <c r="AG82" s="86"/>
      <c r="AH82" s="86"/>
      <c r="AI82" s="93" t="s">
        <v>1076</v>
      </c>
      <c r="AJ82" s="86">
        <f t="shared" ref="AJ82:AJ116" si="26">I82-O82-R82-U82-X82-AB82-AD82-AG82</f>
        <v>3000000</v>
      </c>
      <c r="AK82" s="107"/>
      <c r="AL82" s="108">
        <f t="shared" si="19"/>
        <v>0</v>
      </c>
      <c r="AM82" s="109">
        <f t="shared" si="20"/>
        <v>3000000</v>
      </c>
      <c r="AN82" s="110">
        <f t="shared" si="21"/>
        <v>0</v>
      </c>
      <c r="AO82" s="109">
        <f t="shared" si="22"/>
        <v>3000000</v>
      </c>
      <c r="AP82" s="117" t="str">
        <f t="shared" si="24"/>
        <v>数据正确</v>
      </c>
    </row>
    <row r="83" s="37" customFormat="1" customHeight="1" outlineLevel="1" spans="1:42">
      <c r="A83" s="56"/>
      <c r="B83" s="56" t="s">
        <v>83</v>
      </c>
      <c r="C83" s="56" t="s">
        <v>84</v>
      </c>
      <c r="D83" s="61">
        <v>156.02</v>
      </c>
      <c r="E83" s="63" t="s">
        <v>1072</v>
      </c>
      <c r="F83" s="59" t="s">
        <v>24</v>
      </c>
      <c r="G83" s="63" t="s">
        <v>75</v>
      </c>
      <c r="H83" s="64">
        <v>42886</v>
      </c>
      <c r="I83" s="86">
        <f t="shared" si="25"/>
        <v>3000000</v>
      </c>
      <c r="J83" s="62" t="s">
        <v>1077</v>
      </c>
      <c r="K83" s="62" t="s">
        <v>1074</v>
      </c>
      <c r="L83" s="62"/>
      <c r="M83" s="87" t="s">
        <v>278</v>
      </c>
      <c r="N83" s="88" t="s">
        <v>1075</v>
      </c>
      <c r="O83" s="86">
        <v>1718587.99</v>
      </c>
      <c r="P83" s="86">
        <f>O83*0.8</f>
        <v>1374870.392</v>
      </c>
      <c r="Q83" s="88" t="s">
        <v>1075</v>
      </c>
      <c r="R83" s="86"/>
      <c r="S83" s="86"/>
      <c r="T83" s="88" t="s">
        <v>1075</v>
      </c>
      <c r="U83" s="86"/>
      <c r="V83" s="86"/>
      <c r="W83" s="88" t="s">
        <v>1075</v>
      </c>
      <c r="X83" s="86"/>
      <c r="Y83" s="86"/>
      <c r="Z83" s="88" t="s">
        <v>1075</v>
      </c>
      <c r="AA83" s="86"/>
      <c r="AB83" s="86"/>
      <c r="AC83" s="88" t="s">
        <v>1075</v>
      </c>
      <c r="AD83" s="86"/>
      <c r="AE83" s="86"/>
      <c r="AF83" s="88" t="s">
        <v>1075</v>
      </c>
      <c r="AG83" s="86"/>
      <c r="AH83" s="86"/>
      <c r="AI83" s="93" t="s">
        <v>1076</v>
      </c>
      <c r="AJ83" s="86">
        <f t="shared" si="26"/>
        <v>1281412.01</v>
      </c>
      <c r="AK83" s="107"/>
      <c r="AL83" s="108">
        <f t="shared" si="19"/>
        <v>1374870.392</v>
      </c>
      <c r="AM83" s="109">
        <f t="shared" si="20"/>
        <v>1625129.608</v>
      </c>
      <c r="AN83" s="110">
        <f t="shared" si="21"/>
        <v>0.458290130666667</v>
      </c>
      <c r="AO83" s="109">
        <f t="shared" si="22"/>
        <v>3000000</v>
      </c>
      <c r="AP83" s="117" t="str">
        <f t="shared" si="24"/>
        <v>数据正确</v>
      </c>
    </row>
    <row r="84" s="37" customFormat="1" customHeight="1" outlineLevel="1" spans="1:42">
      <c r="A84" s="56"/>
      <c r="B84" s="56" t="s">
        <v>83</v>
      </c>
      <c r="C84" s="56" t="s">
        <v>84</v>
      </c>
      <c r="D84" s="61">
        <v>156.03</v>
      </c>
      <c r="E84" s="63" t="s">
        <v>1072</v>
      </c>
      <c r="F84" s="59" t="s">
        <v>24</v>
      </c>
      <c r="G84" s="63" t="s">
        <v>75</v>
      </c>
      <c r="H84" s="64">
        <v>42886</v>
      </c>
      <c r="I84" s="86">
        <f t="shared" si="25"/>
        <v>3000000</v>
      </c>
      <c r="J84" s="62" t="s">
        <v>1078</v>
      </c>
      <c r="K84" s="62" t="s">
        <v>1074</v>
      </c>
      <c r="L84" s="62"/>
      <c r="M84" s="87" t="s">
        <v>278</v>
      </c>
      <c r="N84" s="88" t="s">
        <v>1075</v>
      </c>
      <c r="O84" s="86">
        <v>1102645.62</v>
      </c>
      <c r="P84" s="86">
        <f>O84*0.8</f>
        <v>882116.496</v>
      </c>
      <c r="Q84" s="88" t="s">
        <v>1075</v>
      </c>
      <c r="R84" s="86"/>
      <c r="S84" s="86"/>
      <c r="T84" s="88" t="s">
        <v>1075</v>
      </c>
      <c r="U84" s="86"/>
      <c r="V84" s="86"/>
      <c r="W84" s="88" t="s">
        <v>1075</v>
      </c>
      <c r="X84" s="86"/>
      <c r="Y84" s="86"/>
      <c r="Z84" s="88" t="s">
        <v>1075</v>
      </c>
      <c r="AA84" s="86"/>
      <c r="AB84" s="86"/>
      <c r="AC84" s="88" t="s">
        <v>1075</v>
      </c>
      <c r="AD84" s="86"/>
      <c r="AE84" s="86"/>
      <c r="AF84" s="88" t="s">
        <v>1075</v>
      </c>
      <c r="AG84" s="86"/>
      <c r="AH84" s="86"/>
      <c r="AI84" s="93" t="s">
        <v>1076</v>
      </c>
      <c r="AJ84" s="86">
        <f t="shared" si="26"/>
        <v>1897354.38</v>
      </c>
      <c r="AK84" s="107"/>
      <c r="AL84" s="108">
        <f t="shared" si="19"/>
        <v>882116.496</v>
      </c>
      <c r="AM84" s="109">
        <f t="shared" si="20"/>
        <v>2117883.504</v>
      </c>
      <c r="AN84" s="110">
        <f t="shared" si="21"/>
        <v>0.294038832</v>
      </c>
      <c r="AO84" s="109">
        <f t="shared" si="22"/>
        <v>3000000</v>
      </c>
      <c r="AP84" s="117" t="str">
        <f t="shared" si="24"/>
        <v>数据正确</v>
      </c>
    </row>
    <row r="85" s="120" customFormat="1" customHeight="1" outlineLevel="1" spans="1:46">
      <c r="A85" s="56"/>
      <c r="B85" s="56" t="s">
        <v>83</v>
      </c>
      <c r="C85" s="56" t="s">
        <v>84</v>
      </c>
      <c r="D85" s="61">
        <v>156.04</v>
      </c>
      <c r="E85" s="63" t="s">
        <v>1072</v>
      </c>
      <c r="F85" s="59" t="s">
        <v>24</v>
      </c>
      <c r="G85" s="63" t="s">
        <v>75</v>
      </c>
      <c r="H85" s="64">
        <v>42886</v>
      </c>
      <c r="I85" s="86">
        <f t="shared" si="25"/>
        <v>3000000</v>
      </c>
      <c r="J85" s="62" t="s">
        <v>1079</v>
      </c>
      <c r="K85" s="62" t="s">
        <v>1074</v>
      </c>
      <c r="L85" s="62"/>
      <c r="M85" s="87" t="s">
        <v>278</v>
      </c>
      <c r="N85" s="88" t="s">
        <v>1075</v>
      </c>
      <c r="O85" s="86"/>
      <c r="P85" s="86">
        <f>O85*0.8</f>
        <v>0</v>
      </c>
      <c r="Q85" s="88" t="s">
        <v>1075</v>
      </c>
      <c r="R85" s="86"/>
      <c r="S85" s="86"/>
      <c r="T85" s="88" t="s">
        <v>1075</v>
      </c>
      <c r="U85" s="86"/>
      <c r="V85" s="86"/>
      <c r="W85" s="88" t="s">
        <v>1075</v>
      </c>
      <c r="X85" s="86"/>
      <c r="Y85" s="86"/>
      <c r="Z85" s="88" t="s">
        <v>1075</v>
      </c>
      <c r="AA85" s="86"/>
      <c r="AB85" s="86"/>
      <c r="AC85" s="88" t="s">
        <v>1075</v>
      </c>
      <c r="AD85" s="86"/>
      <c r="AE85" s="86"/>
      <c r="AF85" s="88" t="s">
        <v>1075</v>
      </c>
      <c r="AG85" s="86"/>
      <c r="AH85" s="86"/>
      <c r="AI85" s="93" t="s">
        <v>1076</v>
      </c>
      <c r="AJ85" s="86">
        <f t="shared" si="26"/>
        <v>3000000</v>
      </c>
      <c r="AK85" s="107"/>
      <c r="AL85" s="108">
        <f t="shared" si="19"/>
        <v>0</v>
      </c>
      <c r="AM85" s="109">
        <f t="shared" si="20"/>
        <v>3000000</v>
      </c>
      <c r="AN85" s="110">
        <f t="shared" si="21"/>
        <v>0</v>
      </c>
      <c r="AO85" s="109">
        <f t="shared" si="22"/>
        <v>3000000</v>
      </c>
      <c r="AP85" s="117" t="str">
        <f t="shared" si="24"/>
        <v>数据正确</v>
      </c>
      <c r="AQ85" s="37"/>
      <c r="AR85" s="37"/>
      <c r="AS85" s="37"/>
      <c r="AT85" s="37"/>
    </row>
    <row r="86" s="120" customFormat="1" customHeight="1" outlineLevel="1" spans="1:46">
      <c r="A86" s="56"/>
      <c r="B86" s="56" t="s">
        <v>83</v>
      </c>
      <c r="C86" s="56" t="s">
        <v>84</v>
      </c>
      <c r="D86" s="61">
        <v>156.05</v>
      </c>
      <c r="E86" s="63" t="s">
        <v>1072</v>
      </c>
      <c r="F86" s="59" t="s">
        <v>24</v>
      </c>
      <c r="G86" s="63" t="s">
        <v>75</v>
      </c>
      <c r="H86" s="64">
        <v>42886</v>
      </c>
      <c r="I86" s="86">
        <f t="shared" si="25"/>
        <v>3000000</v>
      </c>
      <c r="J86" s="62" t="s">
        <v>1080</v>
      </c>
      <c r="K86" s="62" t="s">
        <v>1074</v>
      </c>
      <c r="L86" s="62"/>
      <c r="M86" s="87" t="s">
        <v>278</v>
      </c>
      <c r="N86" s="88" t="s">
        <v>1075</v>
      </c>
      <c r="O86" s="86">
        <v>284122.43</v>
      </c>
      <c r="P86" s="86">
        <f>O86*0.8-284.83</f>
        <v>227013.114</v>
      </c>
      <c r="Q86" s="88" t="s">
        <v>1075</v>
      </c>
      <c r="R86" s="86"/>
      <c r="S86" s="86"/>
      <c r="T86" s="88" t="s">
        <v>1075</v>
      </c>
      <c r="U86" s="86"/>
      <c r="V86" s="86"/>
      <c r="W86" s="88" t="s">
        <v>1075</v>
      </c>
      <c r="X86" s="86"/>
      <c r="Y86" s="86"/>
      <c r="Z86" s="88" t="s">
        <v>1075</v>
      </c>
      <c r="AA86" s="86"/>
      <c r="AB86" s="86"/>
      <c r="AC86" s="88" t="s">
        <v>1075</v>
      </c>
      <c r="AD86" s="86"/>
      <c r="AE86" s="86"/>
      <c r="AF86" s="88" t="s">
        <v>1075</v>
      </c>
      <c r="AG86" s="86"/>
      <c r="AH86" s="86"/>
      <c r="AI86" s="93" t="s">
        <v>1076</v>
      </c>
      <c r="AJ86" s="86">
        <f t="shared" si="26"/>
        <v>2715877.57</v>
      </c>
      <c r="AK86" s="107"/>
      <c r="AL86" s="108">
        <f t="shared" si="19"/>
        <v>227013.114</v>
      </c>
      <c r="AM86" s="109">
        <f t="shared" si="20"/>
        <v>2772986.886</v>
      </c>
      <c r="AN86" s="110">
        <f t="shared" si="21"/>
        <v>0.075671038</v>
      </c>
      <c r="AO86" s="109">
        <f t="shared" si="22"/>
        <v>3000000</v>
      </c>
      <c r="AP86" s="117" t="str">
        <f t="shared" si="24"/>
        <v>数据正确</v>
      </c>
      <c r="AQ86" s="37"/>
      <c r="AR86" s="37"/>
      <c r="AS86" s="37"/>
      <c r="AT86" s="37"/>
    </row>
    <row r="87" s="37" customFormat="1" customHeight="1" outlineLevel="1" spans="1:42">
      <c r="A87" s="56"/>
      <c r="B87" s="56" t="s">
        <v>83</v>
      </c>
      <c r="C87" s="56" t="s">
        <v>84</v>
      </c>
      <c r="D87" s="61">
        <v>156.06</v>
      </c>
      <c r="E87" s="63" t="s">
        <v>1072</v>
      </c>
      <c r="F87" s="59" t="s">
        <v>24</v>
      </c>
      <c r="G87" s="63" t="s">
        <v>75</v>
      </c>
      <c r="H87" s="64">
        <v>42886</v>
      </c>
      <c r="I87" s="86">
        <f t="shared" si="25"/>
        <v>3000000</v>
      </c>
      <c r="J87" s="62" t="s">
        <v>1081</v>
      </c>
      <c r="K87" s="62" t="s">
        <v>1074</v>
      </c>
      <c r="L87" s="62"/>
      <c r="M87" s="87" t="s">
        <v>278</v>
      </c>
      <c r="N87" s="88" t="s">
        <v>1075</v>
      </c>
      <c r="O87" s="86"/>
      <c r="P87" s="86">
        <f t="shared" ref="P87:P100" si="27">O87*0.8</f>
        <v>0</v>
      </c>
      <c r="Q87" s="88" t="s">
        <v>1075</v>
      </c>
      <c r="R87" s="86"/>
      <c r="S87" s="86"/>
      <c r="T87" s="88" t="s">
        <v>1075</v>
      </c>
      <c r="U87" s="86"/>
      <c r="V87" s="86"/>
      <c r="W87" s="88" t="s">
        <v>1075</v>
      </c>
      <c r="X87" s="86"/>
      <c r="Y87" s="86"/>
      <c r="Z87" s="88" t="s">
        <v>1075</v>
      </c>
      <c r="AA87" s="86"/>
      <c r="AB87" s="86"/>
      <c r="AC87" s="88" t="s">
        <v>1075</v>
      </c>
      <c r="AD87" s="86"/>
      <c r="AE87" s="86"/>
      <c r="AF87" s="88" t="s">
        <v>1075</v>
      </c>
      <c r="AG87" s="86"/>
      <c r="AH87" s="86"/>
      <c r="AI87" s="93" t="s">
        <v>1076</v>
      </c>
      <c r="AJ87" s="86">
        <f t="shared" si="26"/>
        <v>3000000</v>
      </c>
      <c r="AK87" s="107"/>
      <c r="AL87" s="108">
        <f t="shared" si="19"/>
        <v>0</v>
      </c>
      <c r="AM87" s="109">
        <f t="shared" si="20"/>
        <v>3000000</v>
      </c>
      <c r="AN87" s="110">
        <f t="shared" si="21"/>
        <v>0</v>
      </c>
      <c r="AO87" s="109">
        <f t="shared" si="22"/>
        <v>3000000</v>
      </c>
      <c r="AP87" s="117" t="str">
        <f t="shared" si="24"/>
        <v>数据正确</v>
      </c>
    </row>
    <row r="88" s="37" customFormat="1" customHeight="1" outlineLevel="1" spans="1:42">
      <c r="A88" s="56"/>
      <c r="B88" s="56" t="s">
        <v>83</v>
      </c>
      <c r="C88" s="56" t="s">
        <v>84</v>
      </c>
      <c r="D88" s="61">
        <v>156.07</v>
      </c>
      <c r="E88" s="63" t="s">
        <v>1072</v>
      </c>
      <c r="F88" s="59" t="s">
        <v>24</v>
      </c>
      <c r="G88" s="63" t="s">
        <v>75</v>
      </c>
      <c r="H88" s="64">
        <v>42886</v>
      </c>
      <c r="I88" s="86">
        <f t="shared" si="25"/>
        <v>3000000</v>
      </c>
      <c r="J88" s="62" t="s">
        <v>1082</v>
      </c>
      <c r="K88" s="62" t="s">
        <v>1074</v>
      </c>
      <c r="L88" s="62"/>
      <c r="M88" s="87" t="s">
        <v>278</v>
      </c>
      <c r="N88" s="88" t="s">
        <v>1075</v>
      </c>
      <c r="O88" s="86"/>
      <c r="P88" s="86">
        <f t="shared" si="27"/>
        <v>0</v>
      </c>
      <c r="Q88" s="88" t="s">
        <v>1075</v>
      </c>
      <c r="R88" s="86"/>
      <c r="S88" s="86"/>
      <c r="T88" s="88" t="s">
        <v>1075</v>
      </c>
      <c r="U88" s="86"/>
      <c r="V88" s="86"/>
      <c r="W88" s="88" t="s">
        <v>1075</v>
      </c>
      <c r="X88" s="86"/>
      <c r="Y88" s="86"/>
      <c r="Z88" s="88" t="s">
        <v>1075</v>
      </c>
      <c r="AA88" s="86"/>
      <c r="AB88" s="86"/>
      <c r="AC88" s="88" t="s">
        <v>1075</v>
      </c>
      <c r="AD88" s="86"/>
      <c r="AE88" s="86"/>
      <c r="AF88" s="88" t="s">
        <v>1075</v>
      </c>
      <c r="AG88" s="86"/>
      <c r="AH88" s="86"/>
      <c r="AI88" s="93" t="s">
        <v>1076</v>
      </c>
      <c r="AJ88" s="86">
        <f t="shared" si="26"/>
        <v>3000000</v>
      </c>
      <c r="AK88" s="107"/>
      <c r="AL88" s="108">
        <f t="shared" si="19"/>
        <v>0</v>
      </c>
      <c r="AM88" s="109">
        <f t="shared" si="20"/>
        <v>3000000</v>
      </c>
      <c r="AN88" s="110">
        <f t="shared" si="21"/>
        <v>0</v>
      </c>
      <c r="AO88" s="109">
        <f t="shared" si="22"/>
        <v>3000000</v>
      </c>
      <c r="AP88" s="117" t="str">
        <f t="shared" si="24"/>
        <v>数据正确</v>
      </c>
    </row>
    <row r="89" s="37" customFormat="1" customHeight="1" outlineLevel="1" spans="1:42">
      <c r="A89" s="56"/>
      <c r="B89" s="56" t="s">
        <v>83</v>
      </c>
      <c r="C89" s="56" t="s">
        <v>84</v>
      </c>
      <c r="D89" s="61">
        <v>156.08</v>
      </c>
      <c r="E89" s="63" t="s">
        <v>1072</v>
      </c>
      <c r="F89" s="59" t="s">
        <v>24</v>
      </c>
      <c r="G89" s="63" t="s">
        <v>75</v>
      </c>
      <c r="H89" s="64">
        <v>42886</v>
      </c>
      <c r="I89" s="86">
        <f t="shared" si="25"/>
        <v>3000000</v>
      </c>
      <c r="J89" s="62" t="s">
        <v>1083</v>
      </c>
      <c r="K89" s="62" t="s">
        <v>1074</v>
      </c>
      <c r="L89" s="62"/>
      <c r="M89" s="87" t="s">
        <v>278</v>
      </c>
      <c r="N89" s="88" t="s">
        <v>1075</v>
      </c>
      <c r="O89" s="86"/>
      <c r="P89" s="86">
        <f t="shared" si="27"/>
        <v>0</v>
      </c>
      <c r="Q89" s="88" t="s">
        <v>1075</v>
      </c>
      <c r="R89" s="86"/>
      <c r="S89" s="86"/>
      <c r="T89" s="88" t="s">
        <v>1075</v>
      </c>
      <c r="U89" s="86"/>
      <c r="V89" s="86"/>
      <c r="W89" s="88" t="s">
        <v>1075</v>
      </c>
      <c r="X89" s="86"/>
      <c r="Y89" s="86"/>
      <c r="Z89" s="88" t="s">
        <v>1075</v>
      </c>
      <c r="AA89" s="86"/>
      <c r="AB89" s="86"/>
      <c r="AC89" s="88" t="s">
        <v>1075</v>
      </c>
      <c r="AD89" s="86"/>
      <c r="AE89" s="86"/>
      <c r="AF89" s="88" t="s">
        <v>1075</v>
      </c>
      <c r="AG89" s="86"/>
      <c r="AH89" s="86"/>
      <c r="AI89" s="93" t="s">
        <v>1076</v>
      </c>
      <c r="AJ89" s="86">
        <f t="shared" si="26"/>
        <v>3000000</v>
      </c>
      <c r="AK89" s="107"/>
      <c r="AL89" s="108">
        <f t="shared" si="19"/>
        <v>0</v>
      </c>
      <c r="AM89" s="109">
        <f t="shared" si="20"/>
        <v>3000000</v>
      </c>
      <c r="AN89" s="110">
        <f t="shared" si="21"/>
        <v>0</v>
      </c>
      <c r="AO89" s="109">
        <f t="shared" si="22"/>
        <v>3000000</v>
      </c>
      <c r="AP89" s="117" t="str">
        <f t="shared" si="24"/>
        <v>数据正确</v>
      </c>
    </row>
    <row r="90" s="37" customFormat="1" customHeight="1" outlineLevel="1" spans="1:42">
      <c r="A90" s="56"/>
      <c r="B90" s="56" t="s">
        <v>83</v>
      </c>
      <c r="C90" s="56" t="s">
        <v>84</v>
      </c>
      <c r="D90" s="61">
        <v>156.09</v>
      </c>
      <c r="E90" s="63" t="s">
        <v>1072</v>
      </c>
      <c r="F90" s="59" t="s">
        <v>24</v>
      </c>
      <c r="G90" s="63" t="s">
        <v>75</v>
      </c>
      <c r="H90" s="64">
        <v>42886</v>
      </c>
      <c r="I90" s="86">
        <f t="shared" si="25"/>
        <v>3000000</v>
      </c>
      <c r="J90" s="62" t="s">
        <v>1084</v>
      </c>
      <c r="K90" s="62" t="s">
        <v>1074</v>
      </c>
      <c r="L90" s="62"/>
      <c r="M90" s="87" t="s">
        <v>278</v>
      </c>
      <c r="N90" s="88" t="s">
        <v>1075</v>
      </c>
      <c r="O90" s="86"/>
      <c r="P90" s="86">
        <f t="shared" si="27"/>
        <v>0</v>
      </c>
      <c r="Q90" s="88" t="s">
        <v>1075</v>
      </c>
      <c r="R90" s="86"/>
      <c r="S90" s="86"/>
      <c r="T90" s="88" t="s">
        <v>1075</v>
      </c>
      <c r="U90" s="86"/>
      <c r="V90" s="86"/>
      <c r="W90" s="88" t="s">
        <v>1075</v>
      </c>
      <c r="X90" s="86"/>
      <c r="Y90" s="86"/>
      <c r="Z90" s="88" t="s">
        <v>1075</v>
      </c>
      <c r="AA90" s="86"/>
      <c r="AB90" s="86"/>
      <c r="AC90" s="88" t="s">
        <v>1075</v>
      </c>
      <c r="AD90" s="86"/>
      <c r="AE90" s="86"/>
      <c r="AF90" s="88" t="s">
        <v>1075</v>
      </c>
      <c r="AG90" s="86"/>
      <c r="AH90" s="86"/>
      <c r="AI90" s="93" t="s">
        <v>1076</v>
      </c>
      <c r="AJ90" s="86">
        <f t="shared" si="26"/>
        <v>3000000</v>
      </c>
      <c r="AK90" s="107"/>
      <c r="AL90" s="108">
        <f t="shared" si="19"/>
        <v>0</v>
      </c>
      <c r="AM90" s="109">
        <f t="shared" si="20"/>
        <v>3000000</v>
      </c>
      <c r="AN90" s="110">
        <f t="shared" si="21"/>
        <v>0</v>
      </c>
      <c r="AO90" s="109">
        <f t="shared" si="22"/>
        <v>3000000</v>
      </c>
      <c r="AP90" s="117" t="str">
        <f t="shared" si="24"/>
        <v>数据正确</v>
      </c>
    </row>
    <row r="91" s="37" customFormat="1" customHeight="1" outlineLevel="1" spans="1:42">
      <c r="A91" s="56"/>
      <c r="B91" s="56" t="s">
        <v>83</v>
      </c>
      <c r="C91" s="56" t="s">
        <v>84</v>
      </c>
      <c r="D91" s="61">
        <v>156.1</v>
      </c>
      <c r="E91" s="63" t="s">
        <v>1072</v>
      </c>
      <c r="F91" s="59" t="s">
        <v>24</v>
      </c>
      <c r="G91" s="63" t="s">
        <v>75</v>
      </c>
      <c r="H91" s="64">
        <v>42886</v>
      </c>
      <c r="I91" s="86">
        <f t="shared" si="25"/>
        <v>3000000</v>
      </c>
      <c r="J91" s="62" t="s">
        <v>1085</v>
      </c>
      <c r="K91" s="62" t="s">
        <v>1074</v>
      </c>
      <c r="L91" s="62"/>
      <c r="M91" s="87" t="s">
        <v>278</v>
      </c>
      <c r="N91" s="88" t="s">
        <v>1075</v>
      </c>
      <c r="O91" s="86"/>
      <c r="P91" s="86">
        <f t="shared" si="27"/>
        <v>0</v>
      </c>
      <c r="Q91" s="88" t="s">
        <v>1075</v>
      </c>
      <c r="R91" s="86"/>
      <c r="S91" s="86"/>
      <c r="T91" s="88" t="s">
        <v>1075</v>
      </c>
      <c r="U91" s="86"/>
      <c r="V91" s="86"/>
      <c r="W91" s="88" t="s">
        <v>1075</v>
      </c>
      <c r="X91" s="86"/>
      <c r="Y91" s="86"/>
      <c r="Z91" s="88" t="s">
        <v>1075</v>
      </c>
      <c r="AA91" s="86"/>
      <c r="AB91" s="86"/>
      <c r="AC91" s="88" t="s">
        <v>1075</v>
      </c>
      <c r="AD91" s="86"/>
      <c r="AE91" s="86"/>
      <c r="AF91" s="88" t="s">
        <v>1075</v>
      </c>
      <c r="AG91" s="86"/>
      <c r="AH91" s="86"/>
      <c r="AI91" s="93" t="s">
        <v>1076</v>
      </c>
      <c r="AJ91" s="86">
        <f t="shared" si="26"/>
        <v>3000000</v>
      </c>
      <c r="AK91" s="107"/>
      <c r="AL91" s="108">
        <f t="shared" si="19"/>
        <v>0</v>
      </c>
      <c r="AM91" s="109">
        <f t="shared" si="20"/>
        <v>3000000</v>
      </c>
      <c r="AN91" s="110">
        <f t="shared" si="21"/>
        <v>0</v>
      </c>
      <c r="AO91" s="109">
        <f t="shared" si="22"/>
        <v>3000000</v>
      </c>
      <c r="AP91" s="117" t="str">
        <f t="shared" si="24"/>
        <v>数据正确</v>
      </c>
    </row>
    <row r="92" s="37" customFormat="1" customHeight="1" outlineLevel="1" spans="1:42">
      <c r="A92" s="56"/>
      <c r="B92" s="56" t="s">
        <v>83</v>
      </c>
      <c r="C92" s="56" t="s">
        <v>84</v>
      </c>
      <c r="D92" s="61">
        <v>156.11</v>
      </c>
      <c r="E92" s="63" t="s">
        <v>1072</v>
      </c>
      <c r="F92" s="59" t="s">
        <v>24</v>
      </c>
      <c r="G92" s="63" t="s">
        <v>75</v>
      </c>
      <c r="H92" s="64">
        <v>42886</v>
      </c>
      <c r="I92" s="86">
        <f t="shared" si="25"/>
        <v>3000000</v>
      </c>
      <c r="J92" s="62" t="s">
        <v>1086</v>
      </c>
      <c r="K92" s="62" t="s">
        <v>1074</v>
      </c>
      <c r="L92" s="62"/>
      <c r="M92" s="87" t="s">
        <v>278</v>
      </c>
      <c r="N92" s="88" t="s">
        <v>1075</v>
      </c>
      <c r="O92" s="86"/>
      <c r="P92" s="86">
        <f t="shared" si="27"/>
        <v>0</v>
      </c>
      <c r="Q92" s="88" t="s">
        <v>1075</v>
      </c>
      <c r="R92" s="86"/>
      <c r="S92" s="86"/>
      <c r="T92" s="88" t="s">
        <v>1075</v>
      </c>
      <c r="U92" s="86"/>
      <c r="V92" s="86"/>
      <c r="W92" s="88" t="s">
        <v>1075</v>
      </c>
      <c r="X92" s="86"/>
      <c r="Y92" s="86"/>
      <c r="Z92" s="88" t="s">
        <v>1075</v>
      </c>
      <c r="AA92" s="86"/>
      <c r="AB92" s="86"/>
      <c r="AC92" s="88" t="s">
        <v>1075</v>
      </c>
      <c r="AD92" s="86"/>
      <c r="AE92" s="86"/>
      <c r="AF92" s="88" t="s">
        <v>1075</v>
      </c>
      <c r="AG92" s="86"/>
      <c r="AH92" s="86"/>
      <c r="AI92" s="93" t="s">
        <v>1076</v>
      </c>
      <c r="AJ92" s="86">
        <f t="shared" si="26"/>
        <v>3000000</v>
      </c>
      <c r="AK92" s="107"/>
      <c r="AL92" s="108">
        <f t="shared" si="19"/>
        <v>0</v>
      </c>
      <c r="AM92" s="109">
        <f t="shared" si="20"/>
        <v>3000000</v>
      </c>
      <c r="AN92" s="110">
        <f t="shared" si="21"/>
        <v>0</v>
      </c>
      <c r="AO92" s="109">
        <f t="shared" si="22"/>
        <v>3000000</v>
      </c>
      <c r="AP92" s="117" t="str">
        <f t="shared" si="24"/>
        <v>数据正确</v>
      </c>
    </row>
    <row r="93" s="37" customFormat="1" customHeight="1" outlineLevel="1" spans="1:42">
      <c r="A93" s="56"/>
      <c r="B93" s="56" t="s">
        <v>83</v>
      </c>
      <c r="C93" s="56" t="s">
        <v>84</v>
      </c>
      <c r="D93" s="61">
        <v>156.12</v>
      </c>
      <c r="E93" s="63" t="s">
        <v>1072</v>
      </c>
      <c r="F93" s="59" t="s">
        <v>24</v>
      </c>
      <c r="G93" s="63" t="s">
        <v>75</v>
      </c>
      <c r="H93" s="64">
        <v>42886</v>
      </c>
      <c r="I93" s="86">
        <f t="shared" si="25"/>
        <v>3000000</v>
      </c>
      <c r="J93" s="62" t="s">
        <v>1087</v>
      </c>
      <c r="K93" s="62" t="s">
        <v>1074</v>
      </c>
      <c r="L93" s="62"/>
      <c r="M93" s="87" t="s">
        <v>278</v>
      </c>
      <c r="N93" s="88" t="s">
        <v>1075</v>
      </c>
      <c r="O93" s="86"/>
      <c r="P93" s="86">
        <f t="shared" si="27"/>
        <v>0</v>
      </c>
      <c r="Q93" s="88" t="s">
        <v>1075</v>
      </c>
      <c r="R93" s="86"/>
      <c r="S93" s="86"/>
      <c r="T93" s="88" t="s">
        <v>1075</v>
      </c>
      <c r="U93" s="86"/>
      <c r="V93" s="86"/>
      <c r="W93" s="88" t="s">
        <v>1075</v>
      </c>
      <c r="X93" s="86"/>
      <c r="Y93" s="86"/>
      <c r="Z93" s="88" t="s">
        <v>1075</v>
      </c>
      <c r="AA93" s="86"/>
      <c r="AB93" s="86"/>
      <c r="AC93" s="88" t="s">
        <v>1075</v>
      </c>
      <c r="AD93" s="86"/>
      <c r="AE93" s="86"/>
      <c r="AF93" s="88" t="s">
        <v>1075</v>
      </c>
      <c r="AG93" s="86"/>
      <c r="AH93" s="86"/>
      <c r="AI93" s="93" t="s">
        <v>1076</v>
      </c>
      <c r="AJ93" s="86">
        <f t="shared" si="26"/>
        <v>3000000</v>
      </c>
      <c r="AK93" s="107"/>
      <c r="AL93" s="108">
        <f t="shared" si="19"/>
        <v>0</v>
      </c>
      <c r="AM93" s="109">
        <f t="shared" si="20"/>
        <v>3000000</v>
      </c>
      <c r="AN93" s="110">
        <f t="shared" si="21"/>
        <v>0</v>
      </c>
      <c r="AO93" s="109">
        <f t="shared" si="22"/>
        <v>3000000</v>
      </c>
      <c r="AP93" s="117" t="str">
        <f t="shared" si="24"/>
        <v>数据正确</v>
      </c>
    </row>
    <row r="94" s="37" customFormat="1" customHeight="1" outlineLevel="1" spans="1:42">
      <c r="A94" s="56"/>
      <c r="B94" s="56" t="s">
        <v>83</v>
      </c>
      <c r="C94" s="56" t="s">
        <v>84</v>
      </c>
      <c r="D94" s="61">
        <v>156.13</v>
      </c>
      <c r="E94" s="63" t="s">
        <v>1072</v>
      </c>
      <c r="F94" s="59" t="s">
        <v>24</v>
      </c>
      <c r="G94" s="63" t="s">
        <v>75</v>
      </c>
      <c r="H94" s="64">
        <v>42886</v>
      </c>
      <c r="I94" s="86">
        <f t="shared" si="25"/>
        <v>3000000</v>
      </c>
      <c r="J94" s="62" t="s">
        <v>1088</v>
      </c>
      <c r="K94" s="62" t="s">
        <v>1074</v>
      </c>
      <c r="L94" s="62"/>
      <c r="M94" s="87" t="s">
        <v>278</v>
      </c>
      <c r="N94" s="88" t="s">
        <v>1075</v>
      </c>
      <c r="O94" s="86"/>
      <c r="P94" s="86">
        <f t="shared" si="27"/>
        <v>0</v>
      </c>
      <c r="Q94" s="88" t="s">
        <v>1075</v>
      </c>
      <c r="R94" s="86"/>
      <c r="S94" s="86"/>
      <c r="T94" s="88" t="s">
        <v>1075</v>
      </c>
      <c r="U94" s="86"/>
      <c r="V94" s="86"/>
      <c r="W94" s="88" t="s">
        <v>1075</v>
      </c>
      <c r="X94" s="86"/>
      <c r="Y94" s="86"/>
      <c r="Z94" s="88" t="s">
        <v>1075</v>
      </c>
      <c r="AA94" s="86"/>
      <c r="AB94" s="86"/>
      <c r="AC94" s="88" t="s">
        <v>1075</v>
      </c>
      <c r="AD94" s="86"/>
      <c r="AE94" s="86"/>
      <c r="AF94" s="88" t="s">
        <v>1075</v>
      </c>
      <c r="AG94" s="86"/>
      <c r="AH94" s="86"/>
      <c r="AI94" s="93" t="s">
        <v>1076</v>
      </c>
      <c r="AJ94" s="86">
        <f t="shared" si="26"/>
        <v>3000000</v>
      </c>
      <c r="AK94" s="107"/>
      <c r="AL94" s="108">
        <f t="shared" si="19"/>
        <v>0</v>
      </c>
      <c r="AM94" s="109">
        <f t="shared" si="20"/>
        <v>3000000</v>
      </c>
      <c r="AN94" s="110">
        <f t="shared" si="21"/>
        <v>0</v>
      </c>
      <c r="AO94" s="109">
        <f t="shared" si="22"/>
        <v>3000000</v>
      </c>
      <c r="AP94" s="117" t="str">
        <f t="shared" si="24"/>
        <v>数据正确</v>
      </c>
    </row>
    <row r="95" s="37" customFormat="1" customHeight="1" outlineLevel="1" spans="1:42">
      <c r="A95" s="56"/>
      <c r="B95" s="56" t="s">
        <v>83</v>
      </c>
      <c r="C95" s="56" t="s">
        <v>84</v>
      </c>
      <c r="D95" s="61">
        <v>156.14</v>
      </c>
      <c r="E95" s="63" t="s">
        <v>1072</v>
      </c>
      <c r="F95" s="59" t="s">
        <v>24</v>
      </c>
      <c r="G95" s="63" t="s">
        <v>75</v>
      </c>
      <c r="H95" s="64">
        <v>42886</v>
      </c>
      <c r="I95" s="86">
        <f t="shared" si="25"/>
        <v>3000000</v>
      </c>
      <c r="J95" s="62" t="s">
        <v>1089</v>
      </c>
      <c r="K95" s="62" t="s">
        <v>1074</v>
      </c>
      <c r="L95" s="62"/>
      <c r="M95" s="87" t="s">
        <v>278</v>
      </c>
      <c r="N95" s="88" t="s">
        <v>1075</v>
      </c>
      <c r="O95" s="86"/>
      <c r="P95" s="86">
        <f t="shared" si="27"/>
        <v>0</v>
      </c>
      <c r="Q95" s="88" t="s">
        <v>1075</v>
      </c>
      <c r="R95" s="86"/>
      <c r="S95" s="86"/>
      <c r="T95" s="88" t="s">
        <v>1075</v>
      </c>
      <c r="U95" s="86"/>
      <c r="V95" s="86"/>
      <c r="W95" s="88" t="s">
        <v>1075</v>
      </c>
      <c r="X95" s="86"/>
      <c r="Y95" s="86"/>
      <c r="Z95" s="88" t="s">
        <v>1075</v>
      </c>
      <c r="AA95" s="86"/>
      <c r="AB95" s="86"/>
      <c r="AC95" s="88" t="s">
        <v>1075</v>
      </c>
      <c r="AD95" s="86"/>
      <c r="AE95" s="86"/>
      <c r="AF95" s="88" t="s">
        <v>1075</v>
      </c>
      <c r="AG95" s="86"/>
      <c r="AH95" s="86"/>
      <c r="AI95" s="93" t="s">
        <v>1076</v>
      </c>
      <c r="AJ95" s="86">
        <f t="shared" si="26"/>
        <v>3000000</v>
      </c>
      <c r="AK95" s="107"/>
      <c r="AL95" s="108">
        <f t="shared" si="19"/>
        <v>0</v>
      </c>
      <c r="AM95" s="109">
        <f t="shared" si="20"/>
        <v>3000000</v>
      </c>
      <c r="AN95" s="110">
        <f t="shared" si="21"/>
        <v>0</v>
      </c>
      <c r="AO95" s="109">
        <f t="shared" si="22"/>
        <v>3000000</v>
      </c>
      <c r="AP95" s="117" t="str">
        <f t="shared" si="24"/>
        <v>数据正确</v>
      </c>
    </row>
    <row r="96" s="37" customFormat="1" customHeight="1" outlineLevel="1" spans="1:42">
      <c r="A96" s="56"/>
      <c r="B96" s="56" t="s">
        <v>83</v>
      </c>
      <c r="C96" s="56" t="s">
        <v>84</v>
      </c>
      <c r="D96" s="61">
        <v>156.15</v>
      </c>
      <c r="E96" s="63" t="s">
        <v>1072</v>
      </c>
      <c r="F96" s="59" t="s">
        <v>24</v>
      </c>
      <c r="G96" s="63" t="s">
        <v>75</v>
      </c>
      <c r="H96" s="64">
        <v>42886</v>
      </c>
      <c r="I96" s="86">
        <f t="shared" si="25"/>
        <v>3000000</v>
      </c>
      <c r="J96" s="62" t="s">
        <v>1090</v>
      </c>
      <c r="K96" s="62" t="s">
        <v>1074</v>
      </c>
      <c r="L96" s="62"/>
      <c r="M96" s="87" t="s">
        <v>278</v>
      </c>
      <c r="N96" s="88" t="s">
        <v>1075</v>
      </c>
      <c r="O96" s="86"/>
      <c r="P96" s="86">
        <f t="shared" si="27"/>
        <v>0</v>
      </c>
      <c r="Q96" s="88" t="s">
        <v>1075</v>
      </c>
      <c r="R96" s="86"/>
      <c r="S96" s="86"/>
      <c r="T96" s="88" t="s">
        <v>1075</v>
      </c>
      <c r="U96" s="86"/>
      <c r="V96" s="86"/>
      <c r="W96" s="88" t="s">
        <v>1075</v>
      </c>
      <c r="X96" s="86"/>
      <c r="Y96" s="86"/>
      <c r="Z96" s="88" t="s">
        <v>1075</v>
      </c>
      <c r="AA96" s="86"/>
      <c r="AB96" s="86"/>
      <c r="AC96" s="88" t="s">
        <v>1075</v>
      </c>
      <c r="AD96" s="86"/>
      <c r="AE96" s="86"/>
      <c r="AF96" s="88" t="s">
        <v>1075</v>
      </c>
      <c r="AG96" s="86"/>
      <c r="AH96" s="86"/>
      <c r="AI96" s="93" t="s">
        <v>1076</v>
      </c>
      <c r="AJ96" s="86">
        <f t="shared" si="26"/>
        <v>3000000</v>
      </c>
      <c r="AK96" s="107"/>
      <c r="AL96" s="108">
        <f t="shared" si="19"/>
        <v>0</v>
      </c>
      <c r="AM96" s="109">
        <f t="shared" si="20"/>
        <v>3000000</v>
      </c>
      <c r="AN96" s="110">
        <f t="shared" si="21"/>
        <v>0</v>
      </c>
      <c r="AO96" s="109">
        <f t="shared" si="22"/>
        <v>3000000</v>
      </c>
      <c r="AP96" s="117" t="str">
        <f t="shared" si="24"/>
        <v>数据正确</v>
      </c>
    </row>
    <row r="97" s="37" customFormat="1" customHeight="1" outlineLevel="1" spans="1:42">
      <c r="A97" s="56"/>
      <c r="B97" s="56" t="s">
        <v>83</v>
      </c>
      <c r="C97" s="56" t="s">
        <v>84</v>
      </c>
      <c r="D97" s="61">
        <v>156.16</v>
      </c>
      <c r="E97" s="63" t="s">
        <v>1072</v>
      </c>
      <c r="F97" s="59" t="s">
        <v>24</v>
      </c>
      <c r="G97" s="63" t="s">
        <v>75</v>
      </c>
      <c r="H97" s="64">
        <v>42886</v>
      </c>
      <c r="I97" s="86">
        <f t="shared" si="25"/>
        <v>3000000</v>
      </c>
      <c r="J97" s="62" t="s">
        <v>1091</v>
      </c>
      <c r="K97" s="62" t="s">
        <v>1074</v>
      </c>
      <c r="L97" s="62"/>
      <c r="M97" s="87" t="s">
        <v>278</v>
      </c>
      <c r="N97" s="88" t="s">
        <v>1075</v>
      </c>
      <c r="O97" s="86"/>
      <c r="P97" s="86">
        <f t="shared" si="27"/>
        <v>0</v>
      </c>
      <c r="Q97" s="88" t="s">
        <v>1075</v>
      </c>
      <c r="R97" s="86"/>
      <c r="S97" s="86"/>
      <c r="T97" s="88" t="s">
        <v>1075</v>
      </c>
      <c r="U97" s="86"/>
      <c r="V97" s="86"/>
      <c r="W97" s="88" t="s">
        <v>1075</v>
      </c>
      <c r="X97" s="86"/>
      <c r="Y97" s="86"/>
      <c r="Z97" s="88" t="s">
        <v>1075</v>
      </c>
      <c r="AA97" s="86"/>
      <c r="AB97" s="86"/>
      <c r="AC97" s="88" t="s">
        <v>1075</v>
      </c>
      <c r="AD97" s="86"/>
      <c r="AE97" s="86"/>
      <c r="AF97" s="88" t="s">
        <v>1075</v>
      </c>
      <c r="AG97" s="86"/>
      <c r="AH97" s="86"/>
      <c r="AI97" s="93" t="s">
        <v>1076</v>
      </c>
      <c r="AJ97" s="86">
        <f t="shared" si="26"/>
        <v>3000000</v>
      </c>
      <c r="AK97" s="107"/>
      <c r="AL97" s="108">
        <f t="shared" si="19"/>
        <v>0</v>
      </c>
      <c r="AM97" s="109">
        <f t="shared" si="20"/>
        <v>3000000</v>
      </c>
      <c r="AN97" s="110">
        <f t="shared" si="21"/>
        <v>0</v>
      </c>
      <c r="AO97" s="109">
        <f t="shared" si="22"/>
        <v>3000000</v>
      </c>
      <c r="AP97" s="117" t="str">
        <f t="shared" si="24"/>
        <v>数据正确</v>
      </c>
    </row>
    <row r="98" s="37" customFormat="1" customHeight="1" outlineLevel="1" spans="1:42">
      <c r="A98" s="56"/>
      <c r="B98" s="56" t="s">
        <v>83</v>
      </c>
      <c r="C98" s="56" t="s">
        <v>84</v>
      </c>
      <c r="D98" s="61">
        <v>156.17</v>
      </c>
      <c r="E98" s="63" t="s">
        <v>1072</v>
      </c>
      <c r="F98" s="59" t="s">
        <v>24</v>
      </c>
      <c r="G98" s="63" t="s">
        <v>75</v>
      </c>
      <c r="H98" s="64">
        <v>42886</v>
      </c>
      <c r="I98" s="86">
        <f t="shared" si="25"/>
        <v>3000000</v>
      </c>
      <c r="J98" s="62" t="s">
        <v>1092</v>
      </c>
      <c r="K98" s="62" t="s">
        <v>1074</v>
      </c>
      <c r="L98" s="62"/>
      <c r="M98" s="87" t="s">
        <v>278</v>
      </c>
      <c r="N98" s="88" t="s">
        <v>1075</v>
      </c>
      <c r="O98" s="86"/>
      <c r="P98" s="86">
        <f t="shared" si="27"/>
        <v>0</v>
      </c>
      <c r="Q98" s="88" t="s">
        <v>1075</v>
      </c>
      <c r="R98" s="86"/>
      <c r="S98" s="86"/>
      <c r="T98" s="88" t="s">
        <v>1075</v>
      </c>
      <c r="U98" s="86"/>
      <c r="V98" s="86"/>
      <c r="W98" s="88" t="s">
        <v>1075</v>
      </c>
      <c r="X98" s="86"/>
      <c r="Y98" s="86"/>
      <c r="Z98" s="88" t="s">
        <v>1075</v>
      </c>
      <c r="AA98" s="86"/>
      <c r="AB98" s="86"/>
      <c r="AC98" s="88" t="s">
        <v>1075</v>
      </c>
      <c r="AD98" s="86"/>
      <c r="AE98" s="86"/>
      <c r="AF98" s="88" t="s">
        <v>1075</v>
      </c>
      <c r="AG98" s="86"/>
      <c r="AH98" s="86"/>
      <c r="AI98" s="93" t="s">
        <v>1076</v>
      </c>
      <c r="AJ98" s="86">
        <f t="shared" si="26"/>
        <v>3000000</v>
      </c>
      <c r="AK98" s="107"/>
      <c r="AL98" s="108">
        <f t="shared" si="19"/>
        <v>0</v>
      </c>
      <c r="AM98" s="109">
        <f t="shared" si="20"/>
        <v>3000000</v>
      </c>
      <c r="AN98" s="110">
        <f t="shared" si="21"/>
        <v>0</v>
      </c>
      <c r="AO98" s="109">
        <f t="shared" si="22"/>
        <v>3000000</v>
      </c>
      <c r="AP98" s="117" t="str">
        <f t="shared" si="24"/>
        <v>数据正确</v>
      </c>
    </row>
    <row r="99" s="37" customFormat="1" customHeight="1" outlineLevel="1" spans="1:42">
      <c r="A99" s="56"/>
      <c r="B99" s="56" t="s">
        <v>83</v>
      </c>
      <c r="C99" s="56" t="s">
        <v>84</v>
      </c>
      <c r="D99" s="61">
        <v>156.18</v>
      </c>
      <c r="E99" s="63" t="s">
        <v>1072</v>
      </c>
      <c r="F99" s="59" t="s">
        <v>24</v>
      </c>
      <c r="G99" s="63" t="s">
        <v>75</v>
      </c>
      <c r="H99" s="64">
        <v>42886</v>
      </c>
      <c r="I99" s="86">
        <f t="shared" si="25"/>
        <v>3000000</v>
      </c>
      <c r="J99" s="62" t="s">
        <v>1093</v>
      </c>
      <c r="K99" s="62" t="s">
        <v>1074</v>
      </c>
      <c r="L99" s="62"/>
      <c r="M99" s="87" t="s">
        <v>278</v>
      </c>
      <c r="N99" s="88" t="s">
        <v>1075</v>
      </c>
      <c r="O99" s="86"/>
      <c r="P99" s="86">
        <f t="shared" si="27"/>
        <v>0</v>
      </c>
      <c r="Q99" s="88" t="s">
        <v>1075</v>
      </c>
      <c r="R99" s="86"/>
      <c r="S99" s="86"/>
      <c r="T99" s="88" t="s">
        <v>1075</v>
      </c>
      <c r="U99" s="86"/>
      <c r="V99" s="86"/>
      <c r="W99" s="88" t="s">
        <v>1075</v>
      </c>
      <c r="X99" s="86"/>
      <c r="Y99" s="86"/>
      <c r="Z99" s="88" t="s">
        <v>1075</v>
      </c>
      <c r="AA99" s="86"/>
      <c r="AB99" s="86"/>
      <c r="AC99" s="88" t="s">
        <v>1075</v>
      </c>
      <c r="AD99" s="86"/>
      <c r="AE99" s="86"/>
      <c r="AF99" s="88" t="s">
        <v>1075</v>
      </c>
      <c r="AG99" s="86"/>
      <c r="AH99" s="86"/>
      <c r="AI99" s="93" t="s">
        <v>1076</v>
      </c>
      <c r="AJ99" s="86">
        <f t="shared" si="26"/>
        <v>3000000</v>
      </c>
      <c r="AK99" s="107"/>
      <c r="AL99" s="108">
        <f t="shared" si="19"/>
        <v>0</v>
      </c>
      <c r="AM99" s="109">
        <f t="shared" si="20"/>
        <v>3000000</v>
      </c>
      <c r="AN99" s="110">
        <f t="shared" si="21"/>
        <v>0</v>
      </c>
      <c r="AO99" s="109">
        <f t="shared" si="22"/>
        <v>3000000</v>
      </c>
      <c r="AP99" s="117" t="str">
        <f t="shared" si="24"/>
        <v>数据正确</v>
      </c>
    </row>
    <row r="100" s="37" customFormat="1" customHeight="1" outlineLevel="1" spans="1:42">
      <c r="A100" s="56"/>
      <c r="B100" s="56" t="s">
        <v>83</v>
      </c>
      <c r="C100" s="56" t="s">
        <v>84</v>
      </c>
      <c r="D100" s="61">
        <v>156.19</v>
      </c>
      <c r="E100" s="63" t="s">
        <v>1072</v>
      </c>
      <c r="F100" s="59" t="s">
        <v>24</v>
      </c>
      <c r="G100" s="63" t="s">
        <v>75</v>
      </c>
      <c r="H100" s="64">
        <v>42886</v>
      </c>
      <c r="I100" s="86">
        <f t="shared" si="25"/>
        <v>3000000</v>
      </c>
      <c r="J100" s="62" t="s">
        <v>1094</v>
      </c>
      <c r="K100" s="62" t="s">
        <v>1074</v>
      </c>
      <c r="L100" s="62"/>
      <c r="M100" s="87" t="s">
        <v>278</v>
      </c>
      <c r="N100" s="88" t="s">
        <v>1075</v>
      </c>
      <c r="O100" s="86"/>
      <c r="P100" s="86">
        <f t="shared" si="27"/>
        <v>0</v>
      </c>
      <c r="Q100" s="88" t="s">
        <v>1075</v>
      </c>
      <c r="R100" s="86"/>
      <c r="S100" s="86"/>
      <c r="T100" s="88" t="s">
        <v>1075</v>
      </c>
      <c r="U100" s="86"/>
      <c r="V100" s="86"/>
      <c r="W100" s="88" t="s">
        <v>1075</v>
      </c>
      <c r="X100" s="86"/>
      <c r="Y100" s="86"/>
      <c r="Z100" s="88" t="s">
        <v>1075</v>
      </c>
      <c r="AA100" s="86"/>
      <c r="AB100" s="86"/>
      <c r="AC100" s="88" t="s">
        <v>1075</v>
      </c>
      <c r="AD100" s="86"/>
      <c r="AE100" s="86"/>
      <c r="AF100" s="88" t="s">
        <v>1075</v>
      </c>
      <c r="AG100" s="86"/>
      <c r="AH100" s="86"/>
      <c r="AI100" s="93" t="s">
        <v>1076</v>
      </c>
      <c r="AJ100" s="86">
        <f t="shared" si="26"/>
        <v>3000000</v>
      </c>
      <c r="AK100" s="107"/>
      <c r="AL100" s="108">
        <f t="shared" si="19"/>
        <v>0</v>
      </c>
      <c r="AM100" s="109">
        <f t="shared" si="20"/>
        <v>3000000</v>
      </c>
      <c r="AN100" s="110">
        <f t="shared" si="21"/>
        <v>0</v>
      </c>
      <c r="AO100" s="109">
        <f t="shared" si="22"/>
        <v>3000000</v>
      </c>
      <c r="AP100" s="117" t="str">
        <f t="shared" si="24"/>
        <v>数据正确</v>
      </c>
    </row>
    <row r="101" s="37" customFormat="1" customHeight="1" spans="1:46">
      <c r="A101" s="130" t="str">
        <f>IF(AN101=100%,"已完毕","")</f>
        <v/>
      </c>
      <c r="B101" s="130" t="s">
        <v>83</v>
      </c>
      <c r="C101" s="56" t="s">
        <v>84</v>
      </c>
      <c r="D101" s="125">
        <v>156</v>
      </c>
      <c r="E101" s="127" t="s">
        <v>1072</v>
      </c>
      <c r="F101" s="59" t="s">
        <v>24</v>
      </c>
      <c r="G101" s="127" t="s">
        <v>75</v>
      </c>
      <c r="H101" s="128">
        <v>42886</v>
      </c>
      <c r="I101" s="148">
        <v>57000000</v>
      </c>
      <c r="J101" s="126" t="s">
        <v>1095</v>
      </c>
      <c r="K101" s="126" t="s">
        <v>1074</v>
      </c>
      <c r="L101" s="126"/>
      <c r="M101" s="146" t="s">
        <v>278</v>
      </c>
      <c r="N101" s="147" t="s">
        <v>1075</v>
      </c>
      <c r="O101" s="148">
        <f>SUM(O82:O100)</f>
        <v>3105356.04</v>
      </c>
      <c r="P101" s="148">
        <f>SUM(P82:P100)</f>
        <v>2484000.002</v>
      </c>
      <c r="Q101" s="147" t="s">
        <v>1075</v>
      </c>
      <c r="R101" s="148"/>
      <c r="S101" s="148">
        <f>SUM(S82:S100)</f>
        <v>0</v>
      </c>
      <c r="T101" s="147" t="s">
        <v>1075</v>
      </c>
      <c r="U101" s="148"/>
      <c r="V101" s="148">
        <f>SUM(V82:V100)</f>
        <v>0</v>
      </c>
      <c r="W101" s="147" t="s">
        <v>1075</v>
      </c>
      <c r="X101" s="148"/>
      <c r="Y101" s="148">
        <f>SUM(Y82:Y100)</f>
        <v>0</v>
      </c>
      <c r="Z101" s="147" t="s">
        <v>1075</v>
      </c>
      <c r="AA101" s="148"/>
      <c r="AB101" s="148">
        <f>SUM(AB82:AB100)</f>
        <v>0</v>
      </c>
      <c r="AC101" s="147" t="s">
        <v>1075</v>
      </c>
      <c r="AD101" s="148"/>
      <c r="AE101" s="148">
        <f>SUM(AE82:AE100)</f>
        <v>0</v>
      </c>
      <c r="AF101" s="147" t="s">
        <v>1075</v>
      </c>
      <c r="AG101" s="148"/>
      <c r="AH101" s="148">
        <f>SUM(AH82:AH100)</f>
        <v>0</v>
      </c>
      <c r="AI101" s="170" t="s">
        <v>1076</v>
      </c>
      <c r="AJ101" s="148">
        <f t="shared" si="26"/>
        <v>53894643.96</v>
      </c>
      <c r="AK101" s="161">
        <f>SUM(AK82:AK100)</f>
        <v>0</v>
      </c>
      <c r="AL101" s="162">
        <f t="shared" si="19"/>
        <v>2484000.002</v>
      </c>
      <c r="AM101" s="155">
        <f t="shared" si="20"/>
        <v>54515999.998</v>
      </c>
      <c r="AN101" s="163">
        <f t="shared" si="21"/>
        <v>0.0435789474035088</v>
      </c>
      <c r="AO101" s="155">
        <f t="shared" si="22"/>
        <v>57000000</v>
      </c>
      <c r="AP101" s="168" t="str">
        <f t="shared" si="24"/>
        <v>数据正确</v>
      </c>
      <c r="AQ101" s="120" t="s">
        <v>1096</v>
      </c>
      <c r="AR101" s="120" t="s">
        <v>112</v>
      </c>
      <c r="AS101" s="120"/>
      <c r="AT101" s="120"/>
    </row>
    <row r="102" s="37" customFormat="1" customHeight="1" outlineLevel="1" spans="1:42">
      <c r="A102" s="56"/>
      <c r="B102" s="56" t="s">
        <v>83</v>
      </c>
      <c r="C102" s="56" t="s">
        <v>84</v>
      </c>
      <c r="D102" s="169">
        <v>154.01</v>
      </c>
      <c r="E102" s="63" t="s">
        <v>1097</v>
      </c>
      <c r="F102" s="59" t="s">
        <v>24</v>
      </c>
      <c r="G102" s="63" t="s">
        <v>75</v>
      </c>
      <c r="H102" s="64">
        <v>42896</v>
      </c>
      <c r="I102" s="86">
        <f t="shared" ref="I102:I116" si="28">57000000/15</f>
        <v>3800000</v>
      </c>
      <c r="J102" s="62" t="s">
        <v>1098</v>
      </c>
      <c r="K102" s="62" t="s">
        <v>919</v>
      </c>
      <c r="L102" s="62"/>
      <c r="M102" s="87" t="s">
        <v>278</v>
      </c>
      <c r="N102" s="88" t="s">
        <v>1075</v>
      </c>
      <c r="O102" s="86"/>
      <c r="P102" s="86">
        <f t="shared" ref="P102:P115" si="29">O102*0.8</f>
        <v>0</v>
      </c>
      <c r="Q102" s="88" t="s">
        <v>1075</v>
      </c>
      <c r="R102" s="86"/>
      <c r="S102" s="86">
        <f>R102*0.8</f>
        <v>0</v>
      </c>
      <c r="T102" s="88" t="s">
        <v>1075</v>
      </c>
      <c r="U102" s="86"/>
      <c r="V102" s="86"/>
      <c r="W102" s="88" t="s">
        <v>1075</v>
      </c>
      <c r="X102" s="86"/>
      <c r="Y102" s="86"/>
      <c r="Z102" s="88" t="s">
        <v>1075</v>
      </c>
      <c r="AA102" s="86"/>
      <c r="AB102" s="86"/>
      <c r="AC102" s="88" t="s">
        <v>1075</v>
      </c>
      <c r="AD102" s="86"/>
      <c r="AE102" s="86"/>
      <c r="AF102" s="88" t="s">
        <v>1075</v>
      </c>
      <c r="AG102" s="86"/>
      <c r="AH102" s="86"/>
      <c r="AI102" s="93" t="s">
        <v>1076</v>
      </c>
      <c r="AJ102" s="86">
        <f t="shared" si="26"/>
        <v>3800000</v>
      </c>
      <c r="AK102" s="107"/>
      <c r="AL102" s="108">
        <f t="shared" si="19"/>
        <v>0</v>
      </c>
      <c r="AM102" s="109">
        <f t="shared" si="20"/>
        <v>3800000</v>
      </c>
      <c r="AN102" s="110">
        <f t="shared" si="21"/>
        <v>0</v>
      </c>
      <c r="AO102" s="109">
        <f t="shared" si="22"/>
        <v>3800000</v>
      </c>
      <c r="AP102" s="117" t="str">
        <f t="shared" si="24"/>
        <v>数据正确</v>
      </c>
    </row>
    <row r="103" s="37" customFormat="1" customHeight="1" outlineLevel="1" spans="1:42">
      <c r="A103" s="56"/>
      <c r="B103" s="56" t="s">
        <v>83</v>
      </c>
      <c r="C103" s="56" t="s">
        <v>84</v>
      </c>
      <c r="D103" s="169">
        <v>154.02</v>
      </c>
      <c r="E103" s="63" t="s">
        <v>1097</v>
      </c>
      <c r="F103" s="59" t="s">
        <v>24</v>
      </c>
      <c r="G103" s="63" t="s">
        <v>75</v>
      </c>
      <c r="H103" s="64">
        <v>42896</v>
      </c>
      <c r="I103" s="86">
        <f t="shared" si="28"/>
        <v>3800000</v>
      </c>
      <c r="J103" s="62" t="s">
        <v>1099</v>
      </c>
      <c r="K103" s="62" t="s">
        <v>919</v>
      </c>
      <c r="L103" s="62"/>
      <c r="M103" s="87" t="s">
        <v>278</v>
      </c>
      <c r="N103" s="88" t="s">
        <v>1075</v>
      </c>
      <c r="O103" s="86">
        <v>753651</v>
      </c>
      <c r="P103" s="86">
        <f t="shared" si="29"/>
        <v>602920.8</v>
      </c>
      <c r="Q103" s="88" t="s">
        <v>1075</v>
      </c>
      <c r="R103" s="86">
        <v>2268129.33</v>
      </c>
      <c r="S103" s="86">
        <f t="shared" ref="S103:S116" si="30">R103*0.8</f>
        <v>1814503.464</v>
      </c>
      <c r="T103" s="88" t="s">
        <v>1075</v>
      </c>
      <c r="U103" s="86"/>
      <c r="V103" s="86"/>
      <c r="W103" s="88" t="s">
        <v>1075</v>
      </c>
      <c r="X103" s="86"/>
      <c r="Y103" s="86"/>
      <c r="Z103" s="88" t="s">
        <v>1075</v>
      </c>
      <c r="AA103" s="86"/>
      <c r="AB103" s="86"/>
      <c r="AC103" s="88" t="s">
        <v>1075</v>
      </c>
      <c r="AD103" s="86"/>
      <c r="AE103" s="86"/>
      <c r="AF103" s="88" t="s">
        <v>1075</v>
      </c>
      <c r="AG103" s="86"/>
      <c r="AH103" s="86"/>
      <c r="AI103" s="93" t="s">
        <v>1076</v>
      </c>
      <c r="AJ103" s="86">
        <f t="shared" si="26"/>
        <v>778219.67</v>
      </c>
      <c r="AK103" s="107"/>
      <c r="AL103" s="108">
        <f t="shared" si="19"/>
        <v>2417424.264</v>
      </c>
      <c r="AM103" s="109">
        <f t="shared" si="20"/>
        <v>1382575.736</v>
      </c>
      <c r="AN103" s="110">
        <f t="shared" si="21"/>
        <v>0.63616428</v>
      </c>
      <c r="AO103" s="109">
        <f t="shared" si="22"/>
        <v>3800000</v>
      </c>
      <c r="AP103" s="117" t="str">
        <f t="shared" si="24"/>
        <v>数据正确</v>
      </c>
    </row>
    <row r="104" s="37" customFormat="1" customHeight="1" outlineLevel="1" spans="1:42">
      <c r="A104" s="56"/>
      <c r="B104" s="56" t="s">
        <v>83</v>
      </c>
      <c r="C104" s="56" t="s">
        <v>84</v>
      </c>
      <c r="D104" s="169">
        <v>154.03</v>
      </c>
      <c r="E104" s="63" t="s">
        <v>1097</v>
      </c>
      <c r="F104" s="59" t="s">
        <v>24</v>
      </c>
      <c r="G104" s="63" t="s">
        <v>75</v>
      </c>
      <c r="H104" s="64">
        <v>42896</v>
      </c>
      <c r="I104" s="86">
        <f t="shared" si="28"/>
        <v>3800000</v>
      </c>
      <c r="J104" s="62" t="s">
        <v>1100</v>
      </c>
      <c r="K104" s="62" t="s">
        <v>919</v>
      </c>
      <c r="L104" s="62"/>
      <c r="M104" s="87" t="s">
        <v>278</v>
      </c>
      <c r="N104" s="88" t="s">
        <v>1075</v>
      </c>
      <c r="O104" s="86"/>
      <c r="P104" s="86">
        <f t="shared" si="29"/>
        <v>0</v>
      </c>
      <c r="Q104" s="88" t="s">
        <v>1075</v>
      </c>
      <c r="R104" s="86"/>
      <c r="S104" s="86">
        <f t="shared" si="30"/>
        <v>0</v>
      </c>
      <c r="T104" s="88" t="s">
        <v>1075</v>
      </c>
      <c r="U104" s="86"/>
      <c r="V104" s="86"/>
      <c r="W104" s="88" t="s">
        <v>1075</v>
      </c>
      <c r="X104" s="86"/>
      <c r="Y104" s="86"/>
      <c r="Z104" s="88" t="s">
        <v>1075</v>
      </c>
      <c r="AA104" s="86"/>
      <c r="AB104" s="86"/>
      <c r="AC104" s="88" t="s">
        <v>1075</v>
      </c>
      <c r="AD104" s="86"/>
      <c r="AE104" s="86"/>
      <c r="AF104" s="88" t="s">
        <v>1075</v>
      </c>
      <c r="AG104" s="86"/>
      <c r="AH104" s="86"/>
      <c r="AI104" s="93" t="s">
        <v>1076</v>
      </c>
      <c r="AJ104" s="86">
        <f t="shared" si="26"/>
        <v>3800000</v>
      </c>
      <c r="AK104" s="107"/>
      <c r="AL104" s="108">
        <f t="shared" si="19"/>
        <v>0</v>
      </c>
      <c r="AM104" s="109">
        <f t="shared" si="20"/>
        <v>3800000</v>
      </c>
      <c r="AN104" s="110">
        <f t="shared" si="21"/>
        <v>0</v>
      </c>
      <c r="AO104" s="109">
        <f t="shared" si="22"/>
        <v>3800000</v>
      </c>
      <c r="AP104" s="117" t="str">
        <f t="shared" si="24"/>
        <v>数据正确</v>
      </c>
    </row>
    <row r="105" s="37" customFormat="1" customHeight="1" outlineLevel="1" spans="1:42">
      <c r="A105" s="56"/>
      <c r="B105" s="56" t="s">
        <v>83</v>
      </c>
      <c r="C105" s="56" t="s">
        <v>84</v>
      </c>
      <c r="D105" s="169">
        <v>154.04</v>
      </c>
      <c r="E105" s="63" t="s">
        <v>1097</v>
      </c>
      <c r="F105" s="59" t="s">
        <v>24</v>
      </c>
      <c r="G105" s="63" t="s">
        <v>75</v>
      </c>
      <c r="H105" s="64">
        <v>42896</v>
      </c>
      <c r="I105" s="86">
        <f t="shared" si="28"/>
        <v>3800000</v>
      </c>
      <c r="J105" s="62" t="s">
        <v>1101</v>
      </c>
      <c r="K105" s="62" t="s">
        <v>919</v>
      </c>
      <c r="L105" s="62"/>
      <c r="M105" s="87" t="s">
        <v>278</v>
      </c>
      <c r="N105" s="88" t="s">
        <v>1075</v>
      </c>
      <c r="O105" s="86"/>
      <c r="P105" s="86">
        <f t="shared" si="29"/>
        <v>0</v>
      </c>
      <c r="Q105" s="88" t="s">
        <v>1075</v>
      </c>
      <c r="R105" s="86"/>
      <c r="S105" s="86">
        <f t="shared" si="30"/>
        <v>0</v>
      </c>
      <c r="T105" s="88" t="s">
        <v>1075</v>
      </c>
      <c r="U105" s="86"/>
      <c r="V105" s="86"/>
      <c r="W105" s="88" t="s">
        <v>1075</v>
      </c>
      <c r="X105" s="86"/>
      <c r="Y105" s="86"/>
      <c r="Z105" s="88" t="s">
        <v>1075</v>
      </c>
      <c r="AA105" s="86"/>
      <c r="AB105" s="86"/>
      <c r="AC105" s="88" t="s">
        <v>1075</v>
      </c>
      <c r="AD105" s="86"/>
      <c r="AE105" s="86"/>
      <c r="AF105" s="88" t="s">
        <v>1075</v>
      </c>
      <c r="AG105" s="86"/>
      <c r="AH105" s="86"/>
      <c r="AI105" s="93" t="s">
        <v>1076</v>
      </c>
      <c r="AJ105" s="86">
        <f t="shared" si="26"/>
        <v>3800000</v>
      </c>
      <c r="AK105" s="107"/>
      <c r="AL105" s="108">
        <f t="shared" si="19"/>
        <v>0</v>
      </c>
      <c r="AM105" s="109">
        <f t="shared" si="20"/>
        <v>3800000</v>
      </c>
      <c r="AN105" s="110">
        <f t="shared" si="21"/>
        <v>0</v>
      </c>
      <c r="AO105" s="109">
        <f t="shared" si="22"/>
        <v>3800000</v>
      </c>
      <c r="AP105" s="117" t="str">
        <f t="shared" si="24"/>
        <v>数据正确</v>
      </c>
    </row>
    <row r="106" s="37" customFormat="1" customHeight="1" outlineLevel="1" spans="1:42">
      <c r="A106" s="56"/>
      <c r="B106" s="56" t="s">
        <v>83</v>
      </c>
      <c r="C106" s="56" t="s">
        <v>84</v>
      </c>
      <c r="D106" s="169">
        <v>154.05</v>
      </c>
      <c r="E106" s="63" t="s">
        <v>1097</v>
      </c>
      <c r="F106" s="59" t="s">
        <v>24</v>
      </c>
      <c r="G106" s="63" t="s">
        <v>75</v>
      </c>
      <c r="H106" s="64">
        <v>42896</v>
      </c>
      <c r="I106" s="86">
        <f t="shared" si="28"/>
        <v>3800000</v>
      </c>
      <c r="J106" s="62" t="s">
        <v>1102</v>
      </c>
      <c r="K106" s="62" t="s">
        <v>919</v>
      </c>
      <c r="L106" s="62"/>
      <c r="M106" s="87" t="s">
        <v>278</v>
      </c>
      <c r="N106" s="88" t="s">
        <v>1075</v>
      </c>
      <c r="O106" s="86"/>
      <c r="P106" s="86">
        <f t="shared" si="29"/>
        <v>0</v>
      </c>
      <c r="Q106" s="88" t="s">
        <v>1075</v>
      </c>
      <c r="R106" s="86">
        <v>184886.51</v>
      </c>
      <c r="S106" s="86">
        <f t="shared" si="30"/>
        <v>147909.208</v>
      </c>
      <c r="T106" s="88" t="s">
        <v>1075</v>
      </c>
      <c r="U106" s="86"/>
      <c r="V106" s="86"/>
      <c r="W106" s="88" t="s">
        <v>1075</v>
      </c>
      <c r="X106" s="86"/>
      <c r="Y106" s="86"/>
      <c r="Z106" s="88" t="s">
        <v>1075</v>
      </c>
      <c r="AA106" s="86"/>
      <c r="AB106" s="86"/>
      <c r="AC106" s="88" t="s">
        <v>1075</v>
      </c>
      <c r="AD106" s="86"/>
      <c r="AE106" s="86"/>
      <c r="AF106" s="88" t="s">
        <v>1075</v>
      </c>
      <c r="AG106" s="86"/>
      <c r="AH106" s="86"/>
      <c r="AI106" s="93" t="s">
        <v>1076</v>
      </c>
      <c r="AJ106" s="86">
        <f t="shared" si="26"/>
        <v>3615113.49</v>
      </c>
      <c r="AK106" s="107"/>
      <c r="AL106" s="108">
        <f t="shared" si="19"/>
        <v>147909.208</v>
      </c>
      <c r="AM106" s="109">
        <f t="shared" si="20"/>
        <v>3652090.792</v>
      </c>
      <c r="AN106" s="110">
        <f t="shared" si="21"/>
        <v>0.0389234757894737</v>
      </c>
      <c r="AO106" s="109">
        <f t="shared" si="22"/>
        <v>3800000</v>
      </c>
      <c r="AP106" s="117" t="str">
        <f t="shared" si="24"/>
        <v>数据正确</v>
      </c>
    </row>
    <row r="107" s="120" customFormat="1" customHeight="1" outlineLevel="1" spans="1:46">
      <c r="A107" s="56"/>
      <c r="B107" s="56" t="s">
        <v>83</v>
      </c>
      <c r="C107" s="56" t="s">
        <v>84</v>
      </c>
      <c r="D107" s="169">
        <v>154.06</v>
      </c>
      <c r="E107" s="63" t="s">
        <v>1097</v>
      </c>
      <c r="F107" s="59" t="s">
        <v>24</v>
      </c>
      <c r="G107" s="63" t="s">
        <v>75</v>
      </c>
      <c r="H107" s="64">
        <v>42896</v>
      </c>
      <c r="I107" s="86">
        <f t="shared" si="28"/>
        <v>3800000</v>
      </c>
      <c r="J107" s="62" t="s">
        <v>1103</v>
      </c>
      <c r="K107" s="62" t="s">
        <v>919</v>
      </c>
      <c r="L107" s="62"/>
      <c r="M107" s="87" t="s">
        <v>278</v>
      </c>
      <c r="N107" s="88" t="s">
        <v>1075</v>
      </c>
      <c r="O107" s="86"/>
      <c r="P107" s="86">
        <f t="shared" si="29"/>
        <v>0</v>
      </c>
      <c r="Q107" s="88" t="s">
        <v>1075</v>
      </c>
      <c r="R107" s="86"/>
      <c r="S107" s="86">
        <f t="shared" si="30"/>
        <v>0</v>
      </c>
      <c r="T107" s="88" t="s">
        <v>1075</v>
      </c>
      <c r="U107" s="86"/>
      <c r="V107" s="86"/>
      <c r="W107" s="88" t="s">
        <v>1075</v>
      </c>
      <c r="X107" s="86"/>
      <c r="Y107" s="86"/>
      <c r="Z107" s="88" t="s">
        <v>1075</v>
      </c>
      <c r="AA107" s="86"/>
      <c r="AB107" s="86"/>
      <c r="AC107" s="88" t="s">
        <v>1075</v>
      </c>
      <c r="AD107" s="86"/>
      <c r="AE107" s="86"/>
      <c r="AF107" s="88" t="s">
        <v>1075</v>
      </c>
      <c r="AG107" s="86"/>
      <c r="AH107" s="86"/>
      <c r="AI107" s="93" t="s">
        <v>1076</v>
      </c>
      <c r="AJ107" s="86">
        <f t="shared" si="26"/>
        <v>3800000</v>
      </c>
      <c r="AK107" s="107"/>
      <c r="AL107" s="108">
        <f t="shared" si="19"/>
        <v>0</v>
      </c>
      <c r="AM107" s="109">
        <f t="shared" si="20"/>
        <v>3800000</v>
      </c>
      <c r="AN107" s="110">
        <f t="shared" si="21"/>
        <v>0</v>
      </c>
      <c r="AO107" s="109">
        <f t="shared" si="22"/>
        <v>3800000</v>
      </c>
      <c r="AP107" s="117" t="str">
        <f t="shared" si="24"/>
        <v>数据正确</v>
      </c>
      <c r="AQ107" s="37"/>
      <c r="AR107" s="37"/>
      <c r="AS107" s="37"/>
      <c r="AT107" s="37"/>
    </row>
    <row r="108" s="37" customFormat="1" customHeight="1" outlineLevel="1" spans="1:42">
      <c r="A108" s="56"/>
      <c r="B108" s="56" t="s">
        <v>83</v>
      </c>
      <c r="C108" s="56" t="s">
        <v>84</v>
      </c>
      <c r="D108" s="169">
        <v>154.07</v>
      </c>
      <c r="E108" s="63" t="s">
        <v>1097</v>
      </c>
      <c r="F108" s="59" t="s">
        <v>24</v>
      </c>
      <c r="G108" s="63" t="s">
        <v>75</v>
      </c>
      <c r="H108" s="64">
        <v>42896</v>
      </c>
      <c r="I108" s="86">
        <f t="shared" si="28"/>
        <v>3800000</v>
      </c>
      <c r="J108" s="62" t="s">
        <v>1104</v>
      </c>
      <c r="K108" s="62" t="s">
        <v>919</v>
      </c>
      <c r="L108" s="62"/>
      <c r="M108" s="87" t="s">
        <v>278</v>
      </c>
      <c r="N108" s="88" t="s">
        <v>1075</v>
      </c>
      <c r="O108" s="86"/>
      <c r="P108" s="86">
        <f t="shared" si="29"/>
        <v>0</v>
      </c>
      <c r="Q108" s="88" t="s">
        <v>1075</v>
      </c>
      <c r="R108" s="86"/>
      <c r="S108" s="86">
        <f t="shared" si="30"/>
        <v>0</v>
      </c>
      <c r="T108" s="88" t="s">
        <v>1075</v>
      </c>
      <c r="U108" s="86"/>
      <c r="V108" s="86"/>
      <c r="W108" s="88" t="s">
        <v>1075</v>
      </c>
      <c r="X108" s="86"/>
      <c r="Y108" s="86"/>
      <c r="Z108" s="88" t="s">
        <v>1075</v>
      </c>
      <c r="AA108" s="86"/>
      <c r="AB108" s="86"/>
      <c r="AC108" s="88" t="s">
        <v>1075</v>
      </c>
      <c r="AD108" s="86"/>
      <c r="AE108" s="86"/>
      <c r="AF108" s="88" t="s">
        <v>1075</v>
      </c>
      <c r="AG108" s="86"/>
      <c r="AH108" s="86"/>
      <c r="AI108" s="93" t="s">
        <v>1076</v>
      </c>
      <c r="AJ108" s="86">
        <f t="shared" si="26"/>
        <v>3800000</v>
      </c>
      <c r="AK108" s="107"/>
      <c r="AL108" s="108">
        <f t="shared" si="19"/>
        <v>0</v>
      </c>
      <c r="AM108" s="109">
        <f t="shared" si="20"/>
        <v>3800000</v>
      </c>
      <c r="AN108" s="110">
        <f t="shared" si="21"/>
        <v>0</v>
      </c>
      <c r="AO108" s="109">
        <f t="shared" si="22"/>
        <v>3800000</v>
      </c>
      <c r="AP108" s="117" t="str">
        <f t="shared" si="24"/>
        <v>数据正确</v>
      </c>
    </row>
    <row r="109" s="37" customFormat="1" customHeight="1" outlineLevel="1" spans="1:42">
      <c r="A109" s="56"/>
      <c r="B109" s="56" t="s">
        <v>83</v>
      </c>
      <c r="C109" s="56" t="s">
        <v>84</v>
      </c>
      <c r="D109" s="169">
        <v>154.08</v>
      </c>
      <c r="E109" s="63" t="s">
        <v>1097</v>
      </c>
      <c r="F109" s="59" t="s">
        <v>24</v>
      </c>
      <c r="G109" s="63" t="s">
        <v>75</v>
      </c>
      <c r="H109" s="64">
        <v>42896</v>
      </c>
      <c r="I109" s="86">
        <f t="shared" si="28"/>
        <v>3800000</v>
      </c>
      <c r="J109" s="62" t="s">
        <v>1105</v>
      </c>
      <c r="K109" s="62" t="s">
        <v>919</v>
      </c>
      <c r="L109" s="62"/>
      <c r="M109" s="87" t="s">
        <v>278</v>
      </c>
      <c r="N109" s="88" t="s">
        <v>1075</v>
      </c>
      <c r="O109" s="86"/>
      <c r="P109" s="86">
        <f t="shared" si="29"/>
        <v>0</v>
      </c>
      <c r="Q109" s="88" t="s">
        <v>1075</v>
      </c>
      <c r="R109" s="86">
        <v>1239303.76</v>
      </c>
      <c r="S109" s="86">
        <f t="shared" si="30"/>
        <v>991443.008</v>
      </c>
      <c r="T109" s="88" t="s">
        <v>1075</v>
      </c>
      <c r="U109" s="86"/>
      <c r="V109" s="86"/>
      <c r="W109" s="88" t="s">
        <v>1075</v>
      </c>
      <c r="X109" s="86"/>
      <c r="Y109" s="86"/>
      <c r="Z109" s="88" t="s">
        <v>1075</v>
      </c>
      <c r="AA109" s="86"/>
      <c r="AB109" s="86"/>
      <c r="AC109" s="88" t="s">
        <v>1075</v>
      </c>
      <c r="AD109" s="86"/>
      <c r="AE109" s="86"/>
      <c r="AF109" s="88" t="s">
        <v>1075</v>
      </c>
      <c r="AG109" s="86"/>
      <c r="AH109" s="86"/>
      <c r="AI109" s="93" t="s">
        <v>1076</v>
      </c>
      <c r="AJ109" s="86">
        <f t="shared" si="26"/>
        <v>2560696.24</v>
      </c>
      <c r="AK109" s="107"/>
      <c r="AL109" s="108">
        <f t="shared" si="19"/>
        <v>991443.008</v>
      </c>
      <c r="AM109" s="109">
        <f t="shared" si="20"/>
        <v>2808556.992</v>
      </c>
      <c r="AN109" s="110">
        <f t="shared" si="21"/>
        <v>0.260906054736842</v>
      </c>
      <c r="AO109" s="109">
        <f t="shared" si="22"/>
        <v>3800000</v>
      </c>
      <c r="AP109" s="117" t="str">
        <f t="shared" si="24"/>
        <v>数据正确</v>
      </c>
    </row>
    <row r="110" s="37" customFormat="1" customHeight="1" outlineLevel="1" spans="1:42">
      <c r="A110" s="56"/>
      <c r="B110" s="56" t="s">
        <v>83</v>
      </c>
      <c r="C110" s="56" t="s">
        <v>84</v>
      </c>
      <c r="D110" s="169">
        <v>154.09</v>
      </c>
      <c r="E110" s="63" t="s">
        <v>1097</v>
      </c>
      <c r="F110" s="59" t="s">
        <v>24</v>
      </c>
      <c r="G110" s="63" t="s">
        <v>75</v>
      </c>
      <c r="H110" s="64">
        <v>42896</v>
      </c>
      <c r="I110" s="86">
        <f t="shared" si="28"/>
        <v>3800000</v>
      </c>
      <c r="J110" s="62" t="s">
        <v>1106</v>
      </c>
      <c r="K110" s="62" t="s">
        <v>919</v>
      </c>
      <c r="L110" s="62"/>
      <c r="M110" s="87" t="s">
        <v>278</v>
      </c>
      <c r="N110" s="88" t="s">
        <v>1075</v>
      </c>
      <c r="O110" s="86"/>
      <c r="P110" s="86">
        <f t="shared" si="29"/>
        <v>0</v>
      </c>
      <c r="Q110" s="88" t="s">
        <v>1075</v>
      </c>
      <c r="R110" s="86"/>
      <c r="S110" s="86">
        <f t="shared" si="30"/>
        <v>0</v>
      </c>
      <c r="T110" s="88" t="s">
        <v>1075</v>
      </c>
      <c r="U110" s="86"/>
      <c r="V110" s="86"/>
      <c r="W110" s="88" t="s">
        <v>1075</v>
      </c>
      <c r="X110" s="86"/>
      <c r="Y110" s="86"/>
      <c r="Z110" s="88" t="s">
        <v>1075</v>
      </c>
      <c r="AA110" s="86"/>
      <c r="AB110" s="86"/>
      <c r="AC110" s="88" t="s">
        <v>1075</v>
      </c>
      <c r="AD110" s="86"/>
      <c r="AE110" s="86"/>
      <c r="AF110" s="88" t="s">
        <v>1075</v>
      </c>
      <c r="AG110" s="86"/>
      <c r="AH110" s="86"/>
      <c r="AI110" s="93" t="s">
        <v>1076</v>
      </c>
      <c r="AJ110" s="86">
        <f t="shared" si="26"/>
        <v>3800000</v>
      </c>
      <c r="AK110" s="107"/>
      <c r="AL110" s="108">
        <f t="shared" si="19"/>
        <v>0</v>
      </c>
      <c r="AM110" s="109">
        <f t="shared" si="20"/>
        <v>3800000</v>
      </c>
      <c r="AN110" s="110">
        <f t="shared" si="21"/>
        <v>0</v>
      </c>
      <c r="AO110" s="109">
        <f t="shared" si="22"/>
        <v>3800000</v>
      </c>
      <c r="AP110" s="117" t="str">
        <f t="shared" si="24"/>
        <v>数据正确</v>
      </c>
    </row>
    <row r="111" s="37" customFormat="1" customHeight="1" outlineLevel="1" spans="1:42">
      <c r="A111" s="56"/>
      <c r="B111" s="56" t="s">
        <v>83</v>
      </c>
      <c r="C111" s="56" t="s">
        <v>84</v>
      </c>
      <c r="D111" s="169">
        <v>154.1</v>
      </c>
      <c r="E111" s="63" t="s">
        <v>1097</v>
      </c>
      <c r="F111" s="59" t="s">
        <v>24</v>
      </c>
      <c r="G111" s="63" t="s">
        <v>75</v>
      </c>
      <c r="H111" s="64">
        <v>42896</v>
      </c>
      <c r="I111" s="86">
        <f t="shared" si="28"/>
        <v>3800000</v>
      </c>
      <c r="J111" s="62" t="s">
        <v>1107</v>
      </c>
      <c r="K111" s="62" t="s">
        <v>919</v>
      </c>
      <c r="L111" s="62"/>
      <c r="M111" s="87" t="s">
        <v>278</v>
      </c>
      <c r="N111" s="88" t="s">
        <v>1075</v>
      </c>
      <c r="O111" s="86"/>
      <c r="P111" s="86">
        <f t="shared" si="29"/>
        <v>0</v>
      </c>
      <c r="Q111" s="88" t="s">
        <v>1075</v>
      </c>
      <c r="R111" s="86"/>
      <c r="S111" s="86">
        <f t="shared" si="30"/>
        <v>0</v>
      </c>
      <c r="T111" s="88" t="s">
        <v>1075</v>
      </c>
      <c r="U111" s="86"/>
      <c r="V111" s="86"/>
      <c r="W111" s="88" t="s">
        <v>1075</v>
      </c>
      <c r="X111" s="86"/>
      <c r="Y111" s="86"/>
      <c r="Z111" s="88" t="s">
        <v>1075</v>
      </c>
      <c r="AA111" s="86"/>
      <c r="AB111" s="86"/>
      <c r="AC111" s="88" t="s">
        <v>1075</v>
      </c>
      <c r="AD111" s="86"/>
      <c r="AE111" s="86"/>
      <c r="AF111" s="88" t="s">
        <v>1075</v>
      </c>
      <c r="AG111" s="86"/>
      <c r="AH111" s="86"/>
      <c r="AI111" s="93" t="s">
        <v>1076</v>
      </c>
      <c r="AJ111" s="86">
        <f t="shared" si="26"/>
        <v>3800000</v>
      </c>
      <c r="AK111" s="107"/>
      <c r="AL111" s="108">
        <f t="shared" si="19"/>
        <v>0</v>
      </c>
      <c r="AM111" s="109">
        <f t="shared" si="20"/>
        <v>3800000</v>
      </c>
      <c r="AN111" s="110">
        <f t="shared" si="21"/>
        <v>0</v>
      </c>
      <c r="AO111" s="109">
        <f t="shared" si="22"/>
        <v>3800000</v>
      </c>
      <c r="AP111" s="117" t="str">
        <f t="shared" si="24"/>
        <v>数据正确</v>
      </c>
    </row>
    <row r="112" s="37" customFormat="1" customHeight="1" outlineLevel="1" spans="1:42">
      <c r="A112" s="56"/>
      <c r="B112" s="56" t="s">
        <v>83</v>
      </c>
      <c r="C112" s="56" t="s">
        <v>84</v>
      </c>
      <c r="D112" s="169">
        <v>154.11</v>
      </c>
      <c r="E112" s="63" t="s">
        <v>1097</v>
      </c>
      <c r="F112" s="59" t="s">
        <v>24</v>
      </c>
      <c r="G112" s="63" t="s">
        <v>75</v>
      </c>
      <c r="H112" s="64">
        <v>42896</v>
      </c>
      <c r="I112" s="86">
        <f t="shared" si="28"/>
        <v>3800000</v>
      </c>
      <c r="J112" s="62" t="s">
        <v>1108</v>
      </c>
      <c r="K112" s="62" t="s">
        <v>919</v>
      </c>
      <c r="L112" s="62"/>
      <c r="M112" s="87" t="s">
        <v>278</v>
      </c>
      <c r="N112" s="88" t="s">
        <v>1075</v>
      </c>
      <c r="O112" s="86"/>
      <c r="P112" s="86">
        <f t="shared" si="29"/>
        <v>0</v>
      </c>
      <c r="Q112" s="88" t="s">
        <v>1075</v>
      </c>
      <c r="R112" s="86"/>
      <c r="S112" s="86">
        <f t="shared" si="30"/>
        <v>0</v>
      </c>
      <c r="T112" s="88" t="s">
        <v>1075</v>
      </c>
      <c r="U112" s="86"/>
      <c r="V112" s="86"/>
      <c r="W112" s="88" t="s">
        <v>1075</v>
      </c>
      <c r="X112" s="86"/>
      <c r="Y112" s="86"/>
      <c r="Z112" s="88" t="s">
        <v>1075</v>
      </c>
      <c r="AA112" s="86"/>
      <c r="AB112" s="86"/>
      <c r="AC112" s="88" t="s">
        <v>1075</v>
      </c>
      <c r="AD112" s="86"/>
      <c r="AE112" s="86"/>
      <c r="AF112" s="88" t="s">
        <v>1075</v>
      </c>
      <c r="AG112" s="86"/>
      <c r="AH112" s="86"/>
      <c r="AI112" s="93" t="s">
        <v>1076</v>
      </c>
      <c r="AJ112" s="86">
        <f t="shared" si="26"/>
        <v>3800000</v>
      </c>
      <c r="AK112" s="107"/>
      <c r="AL112" s="108">
        <f t="shared" si="19"/>
        <v>0</v>
      </c>
      <c r="AM112" s="109">
        <f t="shared" si="20"/>
        <v>3800000</v>
      </c>
      <c r="AN112" s="110">
        <f t="shared" si="21"/>
        <v>0</v>
      </c>
      <c r="AO112" s="109">
        <f t="shared" si="22"/>
        <v>3800000</v>
      </c>
      <c r="AP112" s="117" t="str">
        <f t="shared" si="24"/>
        <v>数据正确</v>
      </c>
    </row>
    <row r="113" s="37" customFormat="1" customHeight="1" outlineLevel="1" spans="1:42">
      <c r="A113" s="56"/>
      <c r="B113" s="56" t="s">
        <v>83</v>
      </c>
      <c r="C113" s="56" t="s">
        <v>84</v>
      </c>
      <c r="D113" s="169">
        <v>154.12</v>
      </c>
      <c r="E113" s="63" t="s">
        <v>1097</v>
      </c>
      <c r="F113" s="59" t="s">
        <v>24</v>
      </c>
      <c r="G113" s="63" t="s">
        <v>75</v>
      </c>
      <c r="H113" s="64">
        <v>42896</v>
      </c>
      <c r="I113" s="86">
        <f t="shared" si="28"/>
        <v>3800000</v>
      </c>
      <c r="J113" s="62" t="s">
        <v>1109</v>
      </c>
      <c r="K113" s="62" t="s">
        <v>919</v>
      </c>
      <c r="L113" s="62"/>
      <c r="M113" s="87" t="s">
        <v>278</v>
      </c>
      <c r="N113" s="88" t="s">
        <v>1075</v>
      </c>
      <c r="O113" s="86"/>
      <c r="P113" s="86">
        <f t="shared" si="29"/>
        <v>0</v>
      </c>
      <c r="Q113" s="88" t="s">
        <v>1075</v>
      </c>
      <c r="R113" s="86"/>
      <c r="S113" s="86">
        <f t="shared" si="30"/>
        <v>0</v>
      </c>
      <c r="T113" s="88" t="s">
        <v>1075</v>
      </c>
      <c r="U113" s="86"/>
      <c r="V113" s="86"/>
      <c r="W113" s="88" t="s">
        <v>1075</v>
      </c>
      <c r="X113" s="86"/>
      <c r="Y113" s="86"/>
      <c r="Z113" s="88" t="s">
        <v>1075</v>
      </c>
      <c r="AA113" s="86"/>
      <c r="AB113" s="86"/>
      <c r="AC113" s="88" t="s">
        <v>1075</v>
      </c>
      <c r="AD113" s="86"/>
      <c r="AE113" s="86"/>
      <c r="AF113" s="88" t="s">
        <v>1075</v>
      </c>
      <c r="AG113" s="86"/>
      <c r="AH113" s="86"/>
      <c r="AI113" s="93" t="s">
        <v>1076</v>
      </c>
      <c r="AJ113" s="86">
        <f t="shared" si="26"/>
        <v>3800000</v>
      </c>
      <c r="AK113" s="107"/>
      <c r="AL113" s="108">
        <f t="shared" si="19"/>
        <v>0</v>
      </c>
      <c r="AM113" s="109">
        <f t="shared" si="20"/>
        <v>3800000</v>
      </c>
      <c r="AN113" s="110">
        <f t="shared" si="21"/>
        <v>0</v>
      </c>
      <c r="AO113" s="109">
        <f t="shared" si="22"/>
        <v>3800000</v>
      </c>
      <c r="AP113" s="117" t="str">
        <f t="shared" si="24"/>
        <v>数据正确</v>
      </c>
    </row>
    <row r="114" s="37" customFormat="1" customHeight="1" outlineLevel="1" spans="1:42">
      <c r="A114" s="56"/>
      <c r="B114" s="56" t="s">
        <v>83</v>
      </c>
      <c r="C114" s="56" t="s">
        <v>84</v>
      </c>
      <c r="D114" s="169">
        <v>154.13</v>
      </c>
      <c r="E114" s="63" t="s">
        <v>1097</v>
      </c>
      <c r="F114" s="59" t="s">
        <v>24</v>
      </c>
      <c r="G114" s="63" t="s">
        <v>75</v>
      </c>
      <c r="H114" s="64">
        <v>42896</v>
      </c>
      <c r="I114" s="86">
        <f t="shared" si="28"/>
        <v>3800000</v>
      </c>
      <c r="J114" s="62" t="s">
        <v>1110</v>
      </c>
      <c r="K114" s="62" t="s">
        <v>919</v>
      </c>
      <c r="L114" s="62"/>
      <c r="M114" s="87" t="s">
        <v>278</v>
      </c>
      <c r="N114" s="88" t="s">
        <v>1075</v>
      </c>
      <c r="O114" s="86"/>
      <c r="P114" s="86">
        <f t="shared" si="29"/>
        <v>0</v>
      </c>
      <c r="Q114" s="88" t="s">
        <v>1075</v>
      </c>
      <c r="R114" s="86"/>
      <c r="S114" s="86">
        <f t="shared" si="30"/>
        <v>0</v>
      </c>
      <c r="T114" s="88" t="s">
        <v>1075</v>
      </c>
      <c r="U114" s="86"/>
      <c r="V114" s="86"/>
      <c r="W114" s="88" t="s">
        <v>1075</v>
      </c>
      <c r="X114" s="86"/>
      <c r="Y114" s="86"/>
      <c r="Z114" s="88" t="s">
        <v>1075</v>
      </c>
      <c r="AA114" s="86"/>
      <c r="AB114" s="86"/>
      <c r="AC114" s="88" t="s">
        <v>1075</v>
      </c>
      <c r="AD114" s="86"/>
      <c r="AE114" s="86"/>
      <c r="AF114" s="88" t="s">
        <v>1075</v>
      </c>
      <c r="AG114" s="86"/>
      <c r="AH114" s="86"/>
      <c r="AI114" s="93" t="s">
        <v>1076</v>
      </c>
      <c r="AJ114" s="86">
        <f t="shared" si="26"/>
        <v>3800000</v>
      </c>
      <c r="AK114" s="107"/>
      <c r="AL114" s="108">
        <f t="shared" si="19"/>
        <v>0</v>
      </c>
      <c r="AM114" s="109">
        <f t="shared" si="20"/>
        <v>3800000</v>
      </c>
      <c r="AN114" s="110">
        <f t="shared" si="21"/>
        <v>0</v>
      </c>
      <c r="AO114" s="109">
        <f t="shared" si="22"/>
        <v>3800000</v>
      </c>
      <c r="AP114" s="117" t="str">
        <f t="shared" si="24"/>
        <v>数据正确</v>
      </c>
    </row>
    <row r="115" s="37" customFormat="1" customHeight="1" outlineLevel="1" spans="1:42">
      <c r="A115" s="56"/>
      <c r="B115" s="56" t="s">
        <v>83</v>
      </c>
      <c r="C115" s="56" t="s">
        <v>84</v>
      </c>
      <c r="D115" s="169">
        <v>154.14</v>
      </c>
      <c r="E115" s="63" t="s">
        <v>1097</v>
      </c>
      <c r="F115" s="59" t="s">
        <v>24</v>
      </c>
      <c r="G115" s="63" t="s">
        <v>75</v>
      </c>
      <c r="H115" s="64">
        <v>42896</v>
      </c>
      <c r="I115" s="86">
        <f t="shared" si="28"/>
        <v>3800000</v>
      </c>
      <c r="J115" s="62" t="s">
        <v>1111</v>
      </c>
      <c r="K115" s="62" t="s">
        <v>919</v>
      </c>
      <c r="L115" s="62"/>
      <c r="M115" s="87" t="s">
        <v>278</v>
      </c>
      <c r="N115" s="88" t="s">
        <v>1075</v>
      </c>
      <c r="O115" s="86">
        <v>738108</v>
      </c>
      <c r="P115" s="86">
        <f t="shared" si="29"/>
        <v>590486.4</v>
      </c>
      <c r="Q115" s="88" t="s">
        <v>1075</v>
      </c>
      <c r="R115" s="86">
        <f>226684.46-0.06</f>
        <v>226684.4</v>
      </c>
      <c r="S115" s="86">
        <f>R115*0.8-203.2</f>
        <v>181144.32</v>
      </c>
      <c r="T115" s="88" t="s">
        <v>1075</v>
      </c>
      <c r="U115" s="86"/>
      <c r="V115" s="86"/>
      <c r="W115" s="88" t="s">
        <v>1075</v>
      </c>
      <c r="X115" s="86"/>
      <c r="Y115" s="86"/>
      <c r="Z115" s="88" t="s">
        <v>1075</v>
      </c>
      <c r="AA115" s="86"/>
      <c r="AB115" s="86"/>
      <c r="AC115" s="88" t="s">
        <v>1075</v>
      </c>
      <c r="AD115" s="86"/>
      <c r="AE115" s="86"/>
      <c r="AF115" s="88" t="s">
        <v>1075</v>
      </c>
      <c r="AG115" s="86"/>
      <c r="AH115" s="86"/>
      <c r="AI115" s="93" t="s">
        <v>1076</v>
      </c>
      <c r="AJ115" s="86">
        <f t="shared" si="26"/>
        <v>2835207.6</v>
      </c>
      <c r="AK115" s="107"/>
      <c r="AL115" s="108">
        <f t="shared" si="19"/>
        <v>771630.72</v>
      </c>
      <c r="AM115" s="109">
        <f t="shared" si="20"/>
        <v>3028369.28</v>
      </c>
      <c r="AN115" s="110">
        <f t="shared" si="21"/>
        <v>0.203060715789474</v>
      </c>
      <c r="AO115" s="109">
        <f t="shared" si="22"/>
        <v>3800000</v>
      </c>
      <c r="AP115" s="117" t="str">
        <f t="shared" si="24"/>
        <v>数据正确</v>
      </c>
    </row>
    <row r="116" s="37" customFormat="1" customHeight="1" outlineLevel="1" spans="1:42">
      <c r="A116" s="56"/>
      <c r="B116" s="56" t="s">
        <v>83</v>
      </c>
      <c r="C116" s="56" t="s">
        <v>84</v>
      </c>
      <c r="D116" s="169">
        <v>154.15</v>
      </c>
      <c r="E116" s="63" t="s">
        <v>1097</v>
      </c>
      <c r="F116" s="59" t="s">
        <v>24</v>
      </c>
      <c r="G116" s="63" t="s">
        <v>75</v>
      </c>
      <c r="H116" s="64">
        <v>42896</v>
      </c>
      <c r="I116" s="86">
        <f t="shared" si="28"/>
        <v>3800000</v>
      </c>
      <c r="J116" s="62" t="s">
        <v>1112</v>
      </c>
      <c r="K116" s="62" t="s">
        <v>919</v>
      </c>
      <c r="L116" s="62"/>
      <c r="M116" s="87" t="s">
        <v>278</v>
      </c>
      <c r="N116" s="88" t="s">
        <v>1075</v>
      </c>
      <c r="O116" s="86">
        <v>462634</v>
      </c>
      <c r="P116" s="86">
        <f>O116*0.8-514.4</f>
        <v>369592.8</v>
      </c>
      <c r="Q116" s="88" t="s">
        <v>1075</v>
      </c>
      <c r="R116" s="86"/>
      <c r="S116" s="86">
        <f t="shared" si="30"/>
        <v>0</v>
      </c>
      <c r="T116" s="88" t="s">
        <v>1075</v>
      </c>
      <c r="U116" s="86"/>
      <c r="V116" s="86"/>
      <c r="W116" s="88" t="s">
        <v>1075</v>
      </c>
      <c r="X116" s="86"/>
      <c r="Y116" s="86"/>
      <c r="Z116" s="88" t="s">
        <v>1075</v>
      </c>
      <c r="AA116" s="86"/>
      <c r="AB116" s="86"/>
      <c r="AC116" s="88" t="s">
        <v>1075</v>
      </c>
      <c r="AD116" s="86"/>
      <c r="AE116" s="86"/>
      <c r="AF116" s="88" t="s">
        <v>1075</v>
      </c>
      <c r="AG116" s="86"/>
      <c r="AH116" s="86"/>
      <c r="AI116" s="93" t="s">
        <v>1076</v>
      </c>
      <c r="AJ116" s="86">
        <f t="shared" si="26"/>
        <v>3337366</v>
      </c>
      <c r="AK116" s="107"/>
      <c r="AL116" s="108">
        <f t="shared" si="19"/>
        <v>369592.8</v>
      </c>
      <c r="AM116" s="109">
        <f t="shared" si="20"/>
        <v>3430407.2</v>
      </c>
      <c r="AN116" s="110">
        <f t="shared" si="21"/>
        <v>0.0972612631578947</v>
      </c>
      <c r="AO116" s="109">
        <f t="shared" si="22"/>
        <v>3800000</v>
      </c>
      <c r="AP116" s="117" t="str">
        <f t="shared" si="24"/>
        <v>数据正确</v>
      </c>
    </row>
    <row r="117" s="37" customFormat="1" customHeight="1" spans="1:46">
      <c r="A117" s="130" t="str">
        <f t="shared" ref="A117:A129" si="31">IF(AN117=100%,"已完毕","")</f>
        <v/>
      </c>
      <c r="B117" s="130" t="s">
        <v>83</v>
      </c>
      <c r="C117" s="56" t="s">
        <v>84</v>
      </c>
      <c r="D117" s="125">
        <v>154</v>
      </c>
      <c r="E117" s="127" t="s">
        <v>1097</v>
      </c>
      <c r="F117" s="59" t="s">
        <v>24</v>
      </c>
      <c r="G117" s="127" t="s">
        <v>75</v>
      </c>
      <c r="H117" s="128">
        <v>42896</v>
      </c>
      <c r="I117" s="148">
        <v>57000000</v>
      </c>
      <c r="J117" s="126" t="s">
        <v>1113</v>
      </c>
      <c r="K117" s="126" t="s">
        <v>919</v>
      </c>
      <c r="L117" s="126"/>
      <c r="M117" s="146" t="s">
        <v>278</v>
      </c>
      <c r="N117" s="147" t="s">
        <v>1075</v>
      </c>
      <c r="O117" s="148">
        <f>SUM(O102:O116)</f>
        <v>1954393</v>
      </c>
      <c r="P117" s="148">
        <f>SUM(P102:P116)</f>
        <v>1563000</v>
      </c>
      <c r="Q117" s="147" t="s">
        <v>1075</v>
      </c>
      <c r="R117" s="148">
        <f>SUM(R102:R116)</f>
        <v>3919004</v>
      </c>
      <c r="S117" s="148">
        <f>SUM(S102:S116)</f>
        <v>3135000</v>
      </c>
      <c r="T117" s="147" t="s">
        <v>1075</v>
      </c>
      <c r="U117" s="148">
        <f>SUM(U102:U116)</f>
        <v>0</v>
      </c>
      <c r="V117" s="148">
        <f>SUM(V102:V116)</f>
        <v>0</v>
      </c>
      <c r="W117" s="147" t="s">
        <v>1075</v>
      </c>
      <c r="X117" s="148">
        <f>SUM(X102:X116)</f>
        <v>0</v>
      </c>
      <c r="Y117" s="148">
        <f>SUM(Y102:Y116)</f>
        <v>0</v>
      </c>
      <c r="Z117" s="147" t="s">
        <v>1075</v>
      </c>
      <c r="AA117" s="148">
        <f>SUM(AA102:AA116)</f>
        <v>0</v>
      </c>
      <c r="AB117" s="148">
        <f>SUM(AB102:AB116)</f>
        <v>0</v>
      </c>
      <c r="AC117" s="147" t="s">
        <v>1075</v>
      </c>
      <c r="AD117" s="148">
        <f>SUM(AD102:AD116)</f>
        <v>0</v>
      </c>
      <c r="AE117" s="148">
        <f>SUM(AE102:AE116)</f>
        <v>0</v>
      </c>
      <c r="AF117" s="147" t="s">
        <v>1075</v>
      </c>
      <c r="AG117" s="148">
        <f>SUM(AG102:AG116)</f>
        <v>0</v>
      </c>
      <c r="AH117" s="148">
        <f>SUM(AH102:AH116)</f>
        <v>0</v>
      </c>
      <c r="AI117" s="170" t="s">
        <v>1076</v>
      </c>
      <c r="AJ117" s="148">
        <f>SUM(AJ102:AJ116)</f>
        <v>51126603</v>
      </c>
      <c r="AK117" s="161">
        <f>SUM(AK102:AK116)</f>
        <v>0</v>
      </c>
      <c r="AL117" s="108">
        <f t="shared" si="19"/>
        <v>4698000</v>
      </c>
      <c r="AM117" s="109">
        <f t="shared" si="20"/>
        <v>52302000</v>
      </c>
      <c r="AN117" s="110">
        <f t="shared" si="21"/>
        <v>0.082421052631579</v>
      </c>
      <c r="AO117" s="109">
        <f t="shared" si="22"/>
        <v>57000000</v>
      </c>
      <c r="AP117" s="117" t="str">
        <f t="shared" si="24"/>
        <v>数据正确</v>
      </c>
      <c r="AQ117" s="120" t="s">
        <v>1096</v>
      </c>
      <c r="AR117" s="120" t="s">
        <v>112</v>
      </c>
      <c r="AS117" s="120"/>
      <c r="AT117" s="120"/>
    </row>
    <row r="118" s="37" customFormat="1" customHeight="1" spans="1:42">
      <c r="A118" s="56" t="str">
        <f t="shared" si="31"/>
        <v>已完毕</v>
      </c>
      <c r="B118" s="56" t="s">
        <v>83</v>
      </c>
      <c r="C118" s="56" t="s">
        <v>84</v>
      </c>
      <c r="D118" s="61">
        <v>158</v>
      </c>
      <c r="E118" s="63" t="s">
        <v>1114</v>
      </c>
      <c r="F118" s="59" t="s">
        <v>24</v>
      </c>
      <c r="G118" s="63" t="s">
        <v>75</v>
      </c>
      <c r="H118" s="64">
        <v>42896</v>
      </c>
      <c r="I118" s="144">
        <v>60000</v>
      </c>
      <c r="J118" s="62" t="s">
        <v>1115</v>
      </c>
      <c r="K118" s="62" t="s">
        <v>1116</v>
      </c>
      <c r="L118" s="62"/>
      <c r="M118" s="87" t="s">
        <v>76</v>
      </c>
      <c r="N118" s="88" t="s">
        <v>1117</v>
      </c>
      <c r="O118" s="86">
        <f>I118</f>
        <v>60000</v>
      </c>
      <c r="P118" s="86">
        <v>60000</v>
      </c>
      <c r="Q118" s="93"/>
      <c r="R118" s="86"/>
      <c r="S118" s="86"/>
      <c r="T118" s="93"/>
      <c r="U118" s="86"/>
      <c r="V118" s="86"/>
      <c r="W118" s="93"/>
      <c r="X118" s="86"/>
      <c r="Y118" s="86"/>
      <c r="Z118" s="93"/>
      <c r="AA118" s="86"/>
      <c r="AB118" s="86"/>
      <c r="AC118" s="93"/>
      <c r="AD118" s="86"/>
      <c r="AE118" s="86"/>
      <c r="AF118" s="93"/>
      <c r="AG118" s="86"/>
      <c r="AH118" s="86"/>
      <c r="AI118" s="93"/>
      <c r="AJ118" s="86"/>
      <c r="AK118" s="107"/>
      <c r="AL118" s="108">
        <f t="shared" si="19"/>
        <v>60000</v>
      </c>
      <c r="AM118" s="109">
        <f t="shared" si="20"/>
        <v>0</v>
      </c>
      <c r="AN118" s="110">
        <f t="shared" si="21"/>
        <v>1</v>
      </c>
      <c r="AO118" s="109">
        <f t="shared" si="22"/>
        <v>60000</v>
      </c>
      <c r="AP118" s="117" t="str">
        <f t="shared" si="24"/>
        <v>数据正确</v>
      </c>
    </row>
    <row r="119" s="37" customFormat="1" customHeight="1" spans="1:42">
      <c r="A119" s="56" t="str">
        <f t="shared" si="31"/>
        <v/>
      </c>
      <c r="B119" s="56" t="s">
        <v>83</v>
      </c>
      <c r="C119" s="56" t="s">
        <v>84</v>
      </c>
      <c r="D119" s="61">
        <v>157</v>
      </c>
      <c r="E119" s="63" t="s">
        <v>1118</v>
      </c>
      <c r="F119" s="59" t="s">
        <v>24</v>
      </c>
      <c r="G119" s="63" t="s">
        <v>75</v>
      </c>
      <c r="H119" s="64">
        <v>42901</v>
      </c>
      <c r="I119" s="144">
        <v>200000</v>
      </c>
      <c r="J119" s="62" t="s">
        <v>1119</v>
      </c>
      <c r="K119" s="62" t="s">
        <v>914</v>
      </c>
      <c r="L119" s="62"/>
      <c r="M119" s="87" t="s">
        <v>76</v>
      </c>
      <c r="N119" s="88" t="s">
        <v>1120</v>
      </c>
      <c r="O119" s="86">
        <f>I119*0.95</f>
        <v>190000</v>
      </c>
      <c r="P119" s="86"/>
      <c r="Q119" s="93" t="s">
        <v>1121</v>
      </c>
      <c r="R119" s="86">
        <f>I119*0.05</f>
        <v>10000</v>
      </c>
      <c r="S119" s="86"/>
      <c r="T119" s="93"/>
      <c r="U119" s="86"/>
      <c r="V119" s="86"/>
      <c r="W119" s="93"/>
      <c r="X119" s="86"/>
      <c r="Y119" s="86"/>
      <c r="Z119" s="93"/>
      <c r="AA119" s="86"/>
      <c r="AB119" s="86"/>
      <c r="AC119" s="93"/>
      <c r="AD119" s="86"/>
      <c r="AE119" s="86"/>
      <c r="AF119" s="93"/>
      <c r="AG119" s="86"/>
      <c r="AH119" s="86"/>
      <c r="AI119" s="93"/>
      <c r="AJ119" s="86"/>
      <c r="AK119" s="107"/>
      <c r="AL119" s="108">
        <f t="shared" si="19"/>
        <v>0</v>
      </c>
      <c r="AM119" s="109">
        <f t="shared" si="20"/>
        <v>200000</v>
      </c>
      <c r="AN119" s="110">
        <f t="shared" si="21"/>
        <v>0</v>
      </c>
      <c r="AO119" s="109">
        <f t="shared" si="22"/>
        <v>200000</v>
      </c>
      <c r="AP119" s="117" t="str">
        <f t="shared" si="24"/>
        <v>数据正确</v>
      </c>
    </row>
    <row r="120" s="37" customFormat="1" customHeight="1" spans="1:42">
      <c r="A120" s="37" t="str">
        <f t="shared" si="31"/>
        <v/>
      </c>
      <c r="B120" s="37" t="s">
        <v>83</v>
      </c>
      <c r="C120" s="37" t="s">
        <v>84</v>
      </c>
      <c r="D120" s="61">
        <v>74</v>
      </c>
      <c r="E120" s="62" t="s">
        <v>1122</v>
      </c>
      <c r="F120" s="63" t="s">
        <v>24</v>
      </c>
      <c r="G120" s="63">
        <v>2017050051</v>
      </c>
      <c r="H120" s="64">
        <v>42905</v>
      </c>
      <c r="I120" s="144">
        <v>768068.21</v>
      </c>
      <c r="J120" s="62" t="s">
        <v>1123</v>
      </c>
      <c r="K120" s="62" t="s">
        <v>1124</v>
      </c>
      <c r="L120" s="62"/>
      <c r="M120" s="87" t="s">
        <v>76</v>
      </c>
      <c r="N120" s="88" t="s">
        <v>1125</v>
      </c>
      <c r="O120" s="86">
        <v>400000</v>
      </c>
      <c r="P120" s="86">
        <v>400000</v>
      </c>
      <c r="Q120" s="93" t="s">
        <v>1126</v>
      </c>
      <c r="R120" s="86">
        <v>368068.21</v>
      </c>
      <c r="S120" s="86"/>
      <c r="T120" s="93"/>
      <c r="U120" s="86"/>
      <c r="V120" s="86"/>
      <c r="W120" s="93"/>
      <c r="X120" s="86"/>
      <c r="Y120" s="86"/>
      <c r="Z120" s="93"/>
      <c r="AA120" s="86"/>
      <c r="AB120" s="86"/>
      <c r="AC120" s="93"/>
      <c r="AD120" s="86"/>
      <c r="AE120" s="86"/>
      <c r="AF120" s="93"/>
      <c r="AG120" s="86"/>
      <c r="AH120" s="86"/>
      <c r="AI120" s="93"/>
      <c r="AJ120" s="86"/>
      <c r="AK120" s="107"/>
      <c r="AL120" s="108">
        <f t="shared" si="19"/>
        <v>400000</v>
      </c>
      <c r="AM120" s="109">
        <f t="shared" si="20"/>
        <v>368068.21</v>
      </c>
      <c r="AN120" s="110">
        <f t="shared" si="21"/>
        <v>0.520787079574612</v>
      </c>
      <c r="AO120" s="109">
        <f t="shared" si="22"/>
        <v>768068.21</v>
      </c>
      <c r="AP120" s="117" t="str">
        <f t="shared" si="24"/>
        <v>数据正确</v>
      </c>
    </row>
    <row r="121" s="37" customFormat="1" customHeight="1" spans="1:42">
      <c r="A121" s="37" t="str">
        <f t="shared" si="31"/>
        <v>已完毕</v>
      </c>
      <c r="B121" s="37" t="s">
        <v>83</v>
      </c>
      <c r="C121" s="37" t="s">
        <v>84</v>
      </c>
      <c r="D121" s="61">
        <v>69</v>
      </c>
      <c r="E121" s="62" t="s">
        <v>1127</v>
      </c>
      <c r="F121" s="63" t="s">
        <v>24</v>
      </c>
      <c r="G121" s="63">
        <v>2017060007</v>
      </c>
      <c r="H121" s="64">
        <v>42912</v>
      </c>
      <c r="I121" s="144">
        <v>100000</v>
      </c>
      <c r="J121" s="62" t="s">
        <v>1128</v>
      </c>
      <c r="K121" s="62" t="s">
        <v>267</v>
      </c>
      <c r="L121" s="62"/>
      <c r="M121" s="87" t="s">
        <v>278</v>
      </c>
      <c r="N121" s="88" t="s">
        <v>1129</v>
      </c>
      <c r="O121" s="86">
        <f>I121</f>
        <v>100000</v>
      </c>
      <c r="P121" s="86">
        <v>100000</v>
      </c>
      <c r="Q121" s="93"/>
      <c r="R121" s="86"/>
      <c r="S121" s="86"/>
      <c r="T121" s="93"/>
      <c r="U121" s="86"/>
      <c r="V121" s="86"/>
      <c r="W121" s="93"/>
      <c r="X121" s="86"/>
      <c r="Y121" s="86"/>
      <c r="Z121" s="93"/>
      <c r="AA121" s="86"/>
      <c r="AB121" s="86"/>
      <c r="AC121" s="93"/>
      <c r="AD121" s="86"/>
      <c r="AE121" s="86"/>
      <c r="AF121" s="93"/>
      <c r="AG121" s="86"/>
      <c r="AH121" s="86"/>
      <c r="AI121" s="93"/>
      <c r="AJ121" s="86"/>
      <c r="AK121" s="107"/>
      <c r="AL121" s="108">
        <f t="shared" si="19"/>
        <v>100000</v>
      </c>
      <c r="AM121" s="109">
        <f t="shared" si="20"/>
        <v>0</v>
      </c>
      <c r="AN121" s="110">
        <f t="shared" si="21"/>
        <v>1</v>
      </c>
      <c r="AO121" s="109">
        <f t="shared" si="22"/>
        <v>100000</v>
      </c>
      <c r="AP121" s="117" t="str">
        <f t="shared" si="24"/>
        <v>数据正确</v>
      </c>
    </row>
    <row r="122" s="37" customFormat="1" customHeight="1" spans="1:42">
      <c r="A122" s="37" t="str">
        <f t="shared" si="31"/>
        <v>已完毕</v>
      </c>
      <c r="B122" s="37" t="s">
        <v>83</v>
      </c>
      <c r="C122" s="37" t="s">
        <v>84</v>
      </c>
      <c r="D122" s="61">
        <v>71</v>
      </c>
      <c r="E122" s="62" t="s">
        <v>1130</v>
      </c>
      <c r="F122" s="63" t="s">
        <v>24</v>
      </c>
      <c r="G122" s="63">
        <v>2017060007</v>
      </c>
      <c r="H122" s="64">
        <v>42912</v>
      </c>
      <c r="I122" s="144">
        <v>56000</v>
      </c>
      <c r="J122" s="62" t="s">
        <v>1131</v>
      </c>
      <c r="K122" s="62" t="s">
        <v>1132</v>
      </c>
      <c r="L122" s="62"/>
      <c r="M122" s="87" t="s">
        <v>76</v>
      </c>
      <c r="N122" s="88" t="s">
        <v>1129</v>
      </c>
      <c r="O122" s="86">
        <f>I122</f>
        <v>56000</v>
      </c>
      <c r="P122" s="86">
        <v>56000</v>
      </c>
      <c r="Q122" s="93"/>
      <c r="R122" s="86"/>
      <c r="S122" s="86"/>
      <c r="T122" s="93"/>
      <c r="U122" s="86"/>
      <c r="V122" s="86"/>
      <c r="W122" s="93"/>
      <c r="X122" s="86"/>
      <c r="Y122" s="86"/>
      <c r="Z122" s="93"/>
      <c r="AA122" s="86"/>
      <c r="AB122" s="86"/>
      <c r="AC122" s="93"/>
      <c r="AD122" s="86"/>
      <c r="AE122" s="86"/>
      <c r="AF122" s="93"/>
      <c r="AG122" s="86"/>
      <c r="AH122" s="86"/>
      <c r="AI122" s="93"/>
      <c r="AJ122" s="86"/>
      <c r="AK122" s="107"/>
      <c r="AL122" s="108">
        <f t="shared" si="19"/>
        <v>56000</v>
      </c>
      <c r="AM122" s="109">
        <f t="shared" si="20"/>
        <v>0</v>
      </c>
      <c r="AN122" s="110">
        <f t="shared" si="21"/>
        <v>1</v>
      </c>
      <c r="AO122" s="109">
        <f t="shared" si="22"/>
        <v>56000</v>
      </c>
      <c r="AP122" s="117" t="str">
        <f t="shared" si="24"/>
        <v>数据正确</v>
      </c>
    </row>
    <row r="123" s="37" customFormat="1" customHeight="1" spans="1:42">
      <c r="A123" s="37" t="str">
        <f t="shared" si="31"/>
        <v>已完毕</v>
      </c>
      <c r="B123" s="37" t="s">
        <v>83</v>
      </c>
      <c r="C123" s="37" t="s">
        <v>84</v>
      </c>
      <c r="D123" s="61">
        <v>150</v>
      </c>
      <c r="E123" s="62" t="s">
        <v>1133</v>
      </c>
      <c r="F123" s="63" t="s">
        <v>24</v>
      </c>
      <c r="G123" s="129">
        <v>2017060075</v>
      </c>
      <c r="H123" s="64">
        <v>42916</v>
      </c>
      <c r="I123" s="144">
        <v>49000</v>
      </c>
      <c r="J123" s="62" t="s">
        <v>1134</v>
      </c>
      <c r="K123" s="62" t="s">
        <v>1135</v>
      </c>
      <c r="L123" s="62"/>
      <c r="M123" s="87" t="s">
        <v>278</v>
      </c>
      <c r="N123" s="88" t="s">
        <v>1136</v>
      </c>
      <c r="O123" s="86">
        <f>I123</f>
        <v>49000</v>
      </c>
      <c r="P123" s="86">
        <v>49000</v>
      </c>
      <c r="Q123" s="93"/>
      <c r="R123" s="86"/>
      <c r="S123" s="86"/>
      <c r="T123" s="93"/>
      <c r="U123" s="86"/>
      <c r="V123" s="86"/>
      <c r="W123" s="93"/>
      <c r="X123" s="86"/>
      <c r="Y123" s="86"/>
      <c r="Z123" s="93"/>
      <c r="AA123" s="86"/>
      <c r="AB123" s="86"/>
      <c r="AC123" s="93"/>
      <c r="AD123" s="86"/>
      <c r="AE123" s="86"/>
      <c r="AF123" s="93"/>
      <c r="AG123" s="86"/>
      <c r="AH123" s="86"/>
      <c r="AI123" s="93"/>
      <c r="AJ123" s="86"/>
      <c r="AK123" s="107"/>
      <c r="AL123" s="108">
        <f t="shared" si="19"/>
        <v>49000</v>
      </c>
      <c r="AM123" s="109">
        <f t="shared" si="20"/>
        <v>0</v>
      </c>
      <c r="AN123" s="110">
        <f t="shared" si="21"/>
        <v>1</v>
      </c>
      <c r="AO123" s="109">
        <f t="shared" si="22"/>
        <v>49000</v>
      </c>
      <c r="AP123" s="117" t="str">
        <f t="shared" si="24"/>
        <v>数据正确</v>
      </c>
    </row>
    <row r="124" s="37" customFormat="1" customHeight="1" spans="1:44">
      <c r="A124" s="37" t="str">
        <f t="shared" si="31"/>
        <v>已完毕</v>
      </c>
      <c r="B124" s="37" t="s">
        <v>83</v>
      </c>
      <c r="C124" s="37" t="s">
        <v>84</v>
      </c>
      <c r="D124" s="61">
        <v>147</v>
      </c>
      <c r="E124" s="62" t="s">
        <v>1137</v>
      </c>
      <c r="F124" s="63" t="s">
        <v>24</v>
      </c>
      <c r="G124" s="63">
        <v>2017060045</v>
      </c>
      <c r="H124" s="64">
        <v>42917</v>
      </c>
      <c r="I124" s="144">
        <v>6000</v>
      </c>
      <c r="J124" s="62" t="s">
        <v>1138</v>
      </c>
      <c r="K124" s="62" t="s">
        <v>1139</v>
      </c>
      <c r="L124" s="62"/>
      <c r="M124" s="87" t="s">
        <v>76</v>
      </c>
      <c r="N124" s="88" t="s">
        <v>1140</v>
      </c>
      <c r="O124" s="86">
        <v>6000</v>
      </c>
      <c r="P124" s="86">
        <v>6000</v>
      </c>
      <c r="Q124" s="93"/>
      <c r="R124" s="86"/>
      <c r="S124" s="86"/>
      <c r="T124" s="93"/>
      <c r="U124" s="86"/>
      <c r="V124" s="86"/>
      <c r="W124" s="93"/>
      <c r="X124" s="86"/>
      <c r="Y124" s="86"/>
      <c r="Z124" s="93"/>
      <c r="AA124" s="86"/>
      <c r="AB124" s="86"/>
      <c r="AC124" s="93"/>
      <c r="AD124" s="86"/>
      <c r="AE124" s="86"/>
      <c r="AF124" s="93"/>
      <c r="AG124" s="86"/>
      <c r="AH124" s="86"/>
      <c r="AI124" s="93"/>
      <c r="AJ124" s="86"/>
      <c r="AK124" s="107"/>
      <c r="AL124" s="108">
        <f t="shared" si="19"/>
        <v>6000</v>
      </c>
      <c r="AM124" s="109">
        <f t="shared" si="20"/>
        <v>0</v>
      </c>
      <c r="AN124" s="110">
        <f t="shared" si="21"/>
        <v>1</v>
      </c>
      <c r="AO124" s="109">
        <f t="shared" si="22"/>
        <v>6000</v>
      </c>
      <c r="AP124" s="117" t="str">
        <f t="shared" si="24"/>
        <v>数据正确</v>
      </c>
      <c r="AQ124" s="37" t="s">
        <v>106</v>
      </c>
      <c r="AR124" s="37" t="s">
        <v>106</v>
      </c>
    </row>
    <row r="125" s="37" customFormat="1" customHeight="1" spans="1:44">
      <c r="A125" s="37" t="str">
        <f t="shared" si="31"/>
        <v>已完毕</v>
      </c>
      <c r="B125" s="37" t="s">
        <v>83</v>
      </c>
      <c r="C125" s="37" t="s">
        <v>84</v>
      </c>
      <c r="D125" s="61">
        <v>155</v>
      </c>
      <c r="E125" s="62" t="s">
        <v>1141</v>
      </c>
      <c r="F125" s="63" t="s">
        <v>24</v>
      </c>
      <c r="G125" s="63">
        <v>2017060075</v>
      </c>
      <c r="H125" s="64">
        <v>42921</v>
      </c>
      <c r="I125" s="144">
        <v>44560</v>
      </c>
      <c r="J125" s="62" t="s">
        <v>1142</v>
      </c>
      <c r="K125" s="62" t="s">
        <v>1143</v>
      </c>
      <c r="L125" s="62"/>
      <c r="M125" s="87" t="s">
        <v>76</v>
      </c>
      <c r="N125" s="88" t="s">
        <v>1136</v>
      </c>
      <c r="O125" s="86">
        <f>I125</f>
        <v>44560</v>
      </c>
      <c r="P125" s="86">
        <v>44560</v>
      </c>
      <c r="Q125" s="93"/>
      <c r="R125" s="86"/>
      <c r="S125" s="86"/>
      <c r="T125" s="93"/>
      <c r="U125" s="86"/>
      <c r="V125" s="86"/>
      <c r="W125" s="93"/>
      <c r="X125" s="86"/>
      <c r="Y125" s="86"/>
      <c r="Z125" s="93"/>
      <c r="AA125" s="86"/>
      <c r="AB125" s="86"/>
      <c r="AC125" s="93"/>
      <c r="AD125" s="86"/>
      <c r="AE125" s="86"/>
      <c r="AF125" s="93"/>
      <c r="AG125" s="86"/>
      <c r="AH125" s="86"/>
      <c r="AI125" s="93"/>
      <c r="AJ125" s="86"/>
      <c r="AK125" s="107"/>
      <c r="AL125" s="108">
        <f t="shared" si="19"/>
        <v>44560</v>
      </c>
      <c r="AM125" s="109">
        <f t="shared" si="20"/>
        <v>0</v>
      </c>
      <c r="AN125" s="110">
        <f t="shared" si="21"/>
        <v>1</v>
      </c>
      <c r="AO125" s="109">
        <f t="shared" si="22"/>
        <v>44560</v>
      </c>
      <c r="AP125" s="117" t="str">
        <f t="shared" si="24"/>
        <v>数据正确</v>
      </c>
      <c r="AQ125" s="37" t="s">
        <v>106</v>
      </c>
      <c r="AR125" s="37" t="s">
        <v>106</v>
      </c>
    </row>
    <row r="126" s="37" customFormat="1" customHeight="1" spans="1:42">
      <c r="A126" s="37" t="str">
        <f t="shared" si="31"/>
        <v>已完毕</v>
      </c>
      <c r="B126" s="37" t="s">
        <v>83</v>
      </c>
      <c r="C126" s="37" t="s">
        <v>84</v>
      </c>
      <c r="D126" s="61">
        <v>177</v>
      </c>
      <c r="E126" s="62" t="s">
        <v>1144</v>
      </c>
      <c r="F126" s="63" t="s">
        <v>24</v>
      </c>
      <c r="G126" s="63"/>
      <c r="H126" s="64">
        <v>42924</v>
      </c>
      <c r="I126" s="144">
        <v>0.001</v>
      </c>
      <c r="J126" s="62" t="s">
        <v>1145</v>
      </c>
      <c r="K126" s="62" t="s">
        <v>1146</v>
      </c>
      <c r="L126" s="62"/>
      <c r="M126" s="87" t="s">
        <v>76</v>
      </c>
      <c r="N126" s="88" t="s">
        <v>1147</v>
      </c>
      <c r="O126" s="86">
        <f>I126*0.9</f>
        <v>0.0009</v>
      </c>
      <c r="P126" s="86">
        <v>0.001</v>
      </c>
      <c r="Q126" s="88" t="s">
        <v>1147</v>
      </c>
      <c r="R126" s="86">
        <f>I126*0.1</f>
        <v>0.0001</v>
      </c>
      <c r="S126" s="86"/>
      <c r="T126" s="93"/>
      <c r="U126" s="86"/>
      <c r="V126" s="86"/>
      <c r="W126" s="93"/>
      <c r="X126" s="86"/>
      <c r="Y126" s="86"/>
      <c r="Z126" s="93"/>
      <c r="AA126" s="86"/>
      <c r="AB126" s="86"/>
      <c r="AC126" s="93"/>
      <c r="AD126" s="86"/>
      <c r="AE126" s="86"/>
      <c r="AF126" s="93"/>
      <c r="AG126" s="86"/>
      <c r="AH126" s="86"/>
      <c r="AI126" s="93"/>
      <c r="AJ126" s="86"/>
      <c r="AK126" s="107"/>
      <c r="AL126" s="108">
        <f t="shared" si="19"/>
        <v>0.001</v>
      </c>
      <c r="AM126" s="109">
        <f t="shared" si="20"/>
        <v>0</v>
      </c>
      <c r="AN126" s="110">
        <f t="shared" si="21"/>
        <v>1</v>
      </c>
      <c r="AO126" s="109">
        <f t="shared" si="22"/>
        <v>0.001</v>
      </c>
      <c r="AP126" s="117" t="str">
        <f t="shared" si="24"/>
        <v>数据正确</v>
      </c>
    </row>
    <row r="127" s="120" customFormat="1" customHeight="1" spans="1:46">
      <c r="A127" s="37" t="str">
        <f t="shared" si="31"/>
        <v>已完毕</v>
      </c>
      <c r="B127" s="37" t="s">
        <v>83</v>
      </c>
      <c r="C127" s="37" t="s">
        <v>84</v>
      </c>
      <c r="D127" s="61">
        <v>178</v>
      </c>
      <c r="E127" s="62" t="s">
        <v>1148</v>
      </c>
      <c r="F127" s="63" t="s">
        <v>24</v>
      </c>
      <c r="G127" s="63"/>
      <c r="H127" s="64">
        <v>42928</v>
      </c>
      <c r="I127" s="144">
        <v>0.001</v>
      </c>
      <c r="J127" s="62" t="s">
        <v>1145</v>
      </c>
      <c r="K127" s="62" t="s">
        <v>1149</v>
      </c>
      <c r="L127" s="62"/>
      <c r="M127" s="87" t="s">
        <v>76</v>
      </c>
      <c r="N127" s="88" t="s">
        <v>1147</v>
      </c>
      <c r="O127" s="86">
        <f>I127*0.9</f>
        <v>0.0009</v>
      </c>
      <c r="P127" s="86">
        <v>0.001</v>
      </c>
      <c r="Q127" s="88" t="s">
        <v>1147</v>
      </c>
      <c r="R127" s="86">
        <f>I127*0.1</f>
        <v>0.0001</v>
      </c>
      <c r="S127" s="86"/>
      <c r="T127" s="93"/>
      <c r="U127" s="86"/>
      <c r="V127" s="86"/>
      <c r="W127" s="93"/>
      <c r="X127" s="86"/>
      <c r="Y127" s="86"/>
      <c r="Z127" s="93"/>
      <c r="AA127" s="86"/>
      <c r="AB127" s="86"/>
      <c r="AC127" s="93"/>
      <c r="AD127" s="86"/>
      <c r="AE127" s="86"/>
      <c r="AF127" s="93"/>
      <c r="AG127" s="86"/>
      <c r="AH127" s="86"/>
      <c r="AI127" s="93"/>
      <c r="AJ127" s="86"/>
      <c r="AK127" s="107"/>
      <c r="AL127" s="108">
        <f t="shared" si="19"/>
        <v>0.001</v>
      </c>
      <c r="AM127" s="109">
        <f t="shared" si="20"/>
        <v>0</v>
      </c>
      <c r="AN127" s="110">
        <f t="shared" si="21"/>
        <v>1</v>
      </c>
      <c r="AO127" s="109">
        <f t="shared" si="22"/>
        <v>0.001</v>
      </c>
      <c r="AP127" s="117" t="str">
        <f t="shared" si="24"/>
        <v>数据正确</v>
      </c>
      <c r="AQ127" s="37"/>
      <c r="AR127" s="37"/>
      <c r="AS127" s="37"/>
      <c r="AT127" s="37"/>
    </row>
    <row r="128" s="37" customFormat="1" customHeight="1" spans="1:42">
      <c r="A128" s="37" t="str">
        <f t="shared" ref="A128:A149" si="32">IF(AN128=100%,"已完毕","")</f>
        <v/>
      </c>
      <c r="B128" s="37" t="s">
        <v>83</v>
      </c>
      <c r="C128" s="37" t="s">
        <v>84</v>
      </c>
      <c r="D128" s="61">
        <v>151</v>
      </c>
      <c r="E128" s="62" t="s">
        <v>1150</v>
      </c>
      <c r="F128" s="63" t="s">
        <v>24</v>
      </c>
      <c r="G128" s="63">
        <v>2017060075</v>
      </c>
      <c r="H128" s="64">
        <v>42934</v>
      </c>
      <c r="I128" s="144">
        <v>13447582</v>
      </c>
      <c r="J128" s="62" t="s">
        <v>1151</v>
      </c>
      <c r="K128" s="62" t="s">
        <v>1152</v>
      </c>
      <c r="L128" s="62"/>
      <c r="M128" s="87" t="s">
        <v>278</v>
      </c>
      <c r="N128" s="88" t="s">
        <v>1153</v>
      </c>
      <c r="O128" s="86">
        <f>I128*0.1</f>
        <v>1344758.2</v>
      </c>
      <c r="P128" s="86">
        <f>I128*0.1</f>
        <v>1344758.2</v>
      </c>
      <c r="Q128" s="93" t="s">
        <v>1154</v>
      </c>
      <c r="R128" s="86">
        <f>I128*0.8</f>
        <v>10758065.6</v>
      </c>
      <c r="S128" s="86"/>
      <c r="T128" s="93" t="s">
        <v>1155</v>
      </c>
      <c r="U128" s="86">
        <f>I128*0.1</f>
        <v>1344758.2</v>
      </c>
      <c r="V128" s="86"/>
      <c r="W128" s="93"/>
      <c r="X128" s="86"/>
      <c r="Y128" s="86"/>
      <c r="Z128" s="93"/>
      <c r="AA128" s="86"/>
      <c r="AB128" s="86"/>
      <c r="AC128" s="93"/>
      <c r="AD128" s="86"/>
      <c r="AE128" s="86"/>
      <c r="AF128" s="93"/>
      <c r="AG128" s="86"/>
      <c r="AH128" s="86"/>
      <c r="AI128" s="93"/>
      <c r="AJ128" s="86"/>
      <c r="AK128" s="107"/>
      <c r="AL128" s="108">
        <f t="shared" si="19"/>
        <v>1344758.2</v>
      </c>
      <c r="AM128" s="109">
        <f t="shared" si="20"/>
        <v>12102823.8</v>
      </c>
      <c r="AN128" s="110">
        <f t="shared" si="21"/>
        <v>0.1</v>
      </c>
      <c r="AO128" s="109">
        <f t="shared" si="22"/>
        <v>13447582</v>
      </c>
      <c r="AP128" s="117" t="str">
        <f t="shared" si="24"/>
        <v>数据正确</v>
      </c>
    </row>
    <row r="129" s="37" customFormat="1" customHeight="1" spans="1:42">
      <c r="A129" s="37" t="str">
        <f t="shared" si="32"/>
        <v/>
      </c>
      <c r="B129" s="37" t="s">
        <v>83</v>
      </c>
      <c r="C129" s="37" t="s">
        <v>84</v>
      </c>
      <c r="D129" s="61">
        <v>197</v>
      </c>
      <c r="E129" s="62" t="s">
        <v>1156</v>
      </c>
      <c r="F129" s="63" t="s">
        <v>24</v>
      </c>
      <c r="G129" s="63"/>
      <c r="H129" s="64">
        <v>42964</v>
      </c>
      <c r="I129" s="86">
        <f>50000*166</f>
        <v>8300000</v>
      </c>
      <c r="J129" s="62" t="s">
        <v>1157</v>
      </c>
      <c r="K129" s="62" t="s">
        <v>879</v>
      </c>
      <c r="L129" s="62"/>
      <c r="M129" s="87" t="s">
        <v>76</v>
      </c>
      <c r="N129" s="88" t="s">
        <v>1158</v>
      </c>
      <c r="O129" s="86">
        <f>I129</f>
        <v>8300000</v>
      </c>
      <c r="P129" s="86">
        <v>1660000</v>
      </c>
      <c r="Q129" s="93"/>
      <c r="R129" s="86"/>
      <c r="S129" s="86"/>
      <c r="T129" s="93"/>
      <c r="U129" s="86"/>
      <c r="V129" s="86"/>
      <c r="W129" s="93"/>
      <c r="X129" s="86"/>
      <c r="Y129" s="86"/>
      <c r="Z129" s="93"/>
      <c r="AA129" s="86"/>
      <c r="AB129" s="86"/>
      <c r="AC129" s="93"/>
      <c r="AD129" s="86"/>
      <c r="AE129" s="86"/>
      <c r="AF129" s="93"/>
      <c r="AG129" s="86"/>
      <c r="AH129" s="86"/>
      <c r="AI129" s="93"/>
      <c r="AJ129" s="86"/>
      <c r="AK129" s="107"/>
      <c r="AL129" s="108">
        <f t="shared" si="19"/>
        <v>1660000</v>
      </c>
      <c r="AM129" s="109">
        <f t="shared" si="20"/>
        <v>6640000</v>
      </c>
      <c r="AN129" s="110">
        <f t="shared" si="21"/>
        <v>0.2</v>
      </c>
      <c r="AO129" s="109">
        <f t="shared" si="22"/>
        <v>8300000</v>
      </c>
      <c r="AP129" s="117" t="str">
        <f t="shared" si="24"/>
        <v>数据正确</v>
      </c>
    </row>
    <row r="130" s="37" customFormat="1" customHeight="1" spans="1:42">
      <c r="A130" s="37" t="str">
        <f t="shared" si="32"/>
        <v/>
      </c>
      <c r="B130" s="37" t="s">
        <v>83</v>
      </c>
      <c r="C130" s="37" t="s">
        <v>84</v>
      </c>
      <c r="D130" s="61">
        <v>202</v>
      </c>
      <c r="E130" s="63" t="s">
        <v>75</v>
      </c>
      <c r="F130" s="59" t="s">
        <v>24</v>
      </c>
      <c r="G130" s="63" t="s">
        <v>75</v>
      </c>
      <c r="H130" s="64">
        <v>42977</v>
      </c>
      <c r="I130" s="144">
        <v>3000000</v>
      </c>
      <c r="J130" s="62" t="s">
        <v>1159</v>
      </c>
      <c r="K130" s="62" t="s">
        <v>1160</v>
      </c>
      <c r="L130" s="62"/>
      <c r="M130" s="87"/>
      <c r="N130" s="88"/>
      <c r="O130" s="86">
        <v>3000000</v>
      </c>
      <c r="P130" s="86"/>
      <c r="Q130" s="93"/>
      <c r="R130" s="86"/>
      <c r="S130" s="86"/>
      <c r="T130" s="93"/>
      <c r="U130" s="86"/>
      <c r="V130" s="86"/>
      <c r="W130" s="93"/>
      <c r="X130" s="86"/>
      <c r="Y130" s="86"/>
      <c r="Z130" s="93"/>
      <c r="AA130" s="86"/>
      <c r="AB130" s="86"/>
      <c r="AC130" s="93"/>
      <c r="AD130" s="86"/>
      <c r="AE130" s="86"/>
      <c r="AF130" s="93"/>
      <c r="AG130" s="86"/>
      <c r="AH130" s="86"/>
      <c r="AI130" s="93"/>
      <c r="AJ130" s="86"/>
      <c r="AK130" s="107"/>
      <c r="AL130" s="108">
        <f t="shared" si="19"/>
        <v>0</v>
      </c>
      <c r="AM130" s="109">
        <f t="shared" si="20"/>
        <v>3000000</v>
      </c>
      <c r="AN130" s="110">
        <f t="shared" si="21"/>
        <v>0</v>
      </c>
      <c r="AO130" s="109">
        <f t="shared" si="22"/>
        <v>3000000</v>
      </c>
      <c r="AP130" s="117" t="str">
        <f t="shared" si="24"/>
        <v>数据正确</v>
      </c>
    </row>
    <row r="131" s="37" customFormat="1" customHeight="1" spans="1:42">
      <c r="A131" s="37" t="str">
        <f t="shared" si="32"/>
        <v/>
      </c>
      <c r="B131" s="37" t="s">
        <v>83</v>
      </c>
      <c r="C131" s="37" t="s">
        <v>84</v>
      </c>
      <c r="D131" s="61">
        <v>206</v>
      </c>
      <c r="E131" s="63" t="s">
        <v>1161</v>
      </c>
      <c r="F131" s="59" t="s">
        <v>24</v>
      </c>
      <c r="G131" s="63" t="s">
        <v>75</v>
      </c>
      <c r="H131" s="64">
        <v>42977</v>
      </c>
      <c r="I131" s="144">
        <v>1800000</v>
      </c>
      <c r="J131" s="62" t="s">
        <v>1162</v>
      </c>
      <c r="K131" s="62" t="s">
        <v>1163</v>
      </c>
      <c r="L131" s="62"/>
      <c r="M131" s="87"/>
      <c r="N131" s="88" t="s">
        <v>75</v>
      </c>
      <c r="O131" s="86">
        <v>1800000</v>
      </c>
      <c r="P131" s="86"/>
      <c r="Q131" s="93"/>
      <c r="R131" s="86"/>
      <c r="S131" s="86"/>
      <c r="T131" s="93"/>
      <c r="U131" s="86"/>
      <c r="V131" s="86"/>
      <c r="W131" s="93"/>
      <c r="X131" s="86"/>
      <c r="Y131" s="86"/>
      <c r="Z131" s="93"/>
      <c r="AA131" s="86"/>
      <c r="AB131" s="86"/>
      <c r="AC131" s="93"/>
      <c r="AD131" s="86"/>
      <c r="AE131" s="86"/>
      <c r="AF131" s="93"/>
      <c r="AG131" s="86"/>
      <c r="AH131" s="86"/>
      <c r="AI131" s="93"/>
      <c r="AJ131" s="86"/>
      <c r="AK131" s="107"/>
      <c r="AL131" s="108">
        <f t="shared" si="19"/>
        <v>0</v>
      </c>
      <c r="AM131" s="109">
        <f t="shared" si="20"/>
        <v>1800000</v>
      </c>
      <c r="AN131" s="110">
        <f t="shared" si="21"/>
        <v>0</v>
      </c>
      <c r="AO131" s="109">
        <f t="shared" si="22"/>
        <v>1800000</v>
      </c>
      <c r="AP131" s="117" t="str">
        <f t="shared" si="24"/>
        <v>数据正确</v>
      </c>
    </row>
    <row r="132" s="37" customFormat="1" customHeight="1" outlineLevel="1" spans="1:42">
      <c r="A132" s="37" t="str">
        <f t="shared" si="32"/>
        <v/>
      </c>
      <c r="B132" s="120" t="s">
        <v>83</v>
      </c>
      <c r="C132" s="120" t="s">
        <v>84</v>
      </c>
      <c r="D132" s="61">
        <v>207.01</v>
      </c>
      <c r="E132" s="63" t="s">
        <v>1164</v>
      </c>
      <c r="F132" s="59" t="s">
        <v>24</v>
      </c>
      <c r="G132" s="63" t="s">
        <v>75</v>
      </c>
      <c r="H132" s="64">
        <v>42944</v>
      </c>
      <c r="I132" s="86">
        <v>6000000</v>
      </c>
      <c r="J132" s="62" t="s">
        <v>1165</v>
      </c>
      <c r="K132" s="62" t="s">
        <v>1166</v>
      </c>
      <c r="L132" s="62"/>
      <c r="M132" s="87"/>
      <c r="N132" s="88" t="s">
        <v>1167</v>
      </c>
      <c r="O132" s="86">
        <v>86346</v>
      </c>
      <c r="P132" s="86">
        <f>O132*0.8</f>
        <v>69076.8</v>
      </c>
      <c r="Q132" s="88" t="s">
        <v>1167</v>
      </c>
      <c r="R132" s="86"/>
      <c r="S132" s="86"/>
      <c r="T132" s="88" t="s">
        <v>1167</v>
      </c>
      <c r="U132" s="86"/>
      <c r="V132" s="86"/>
      <c r="W132" s="88" t="s">
        <v>1167</v>
      </c>
      <c r="X132" s="86"/>
      <c r="Y132" s="86"/>
      <c r="Z132" s="88" t="s">
        <v>1167</v>
      </c>
      <c r="AA132" s="86"/>
      <c r="AB132" s="86"/>
      <c r="AC132" s="88" t="s">
        <v>1167</v>
      </c>
      <c r="AD132" s="86"/>
      <c r="AE132" s="86"/>
      <c r="AF132" s="88" t="s">
        <v>1167</v>
      </c>
      <c r="AG132" s="86"/>
      <c r="AH132" s="86"/>
      <c r="AI132" s="88" t="s">
        <v>1167</v>
      </c>
      <c r="AJ132" s="86">
        <f>I132-O132-R132-U132-X132-AA132-AD132-AG132</f>
        <v>5913654</v>
      </c>
      <c r="AK132" s="107"/>
      <c r="AL132" s="108">
        <f t="shared" ref="AL132:AL145" si="33">P132+S132+V132+Y132+AB132+AE132+AH132+AK132</f>
        <v>69076.8</v>
      </c>
      <c r="AM132" s="109">
        <f t="shared" ref="AM132:AM145" si="34">I132-AL132</f>
        <v>5930923.2</v>
      </c>
      <c r="AN132" s="110">
        <f t="shared" ref="AN132:AN145" si="35">AL132/I132</f>
        <v>0.0115128</v>
      </c>
      <c r="AO132" s="109">
        <f t="shared" ref="AO132:AO145" si="36">O132+R132+U132+X132+AA132+AD132+AG132+AJ132</f>
        <v>6000000</v>
      </c>
      <c r="AP132" s="117" t="str">
        <f t="shared" ref="AP132:AP149" si="37">IF(AO132-I132=0,"数据正确","数据错误")</f>
        <v>数据正确</v>
      </c>
    </row>
    <row r="133" s="37" customFormat="1" customHeight="1" outlineLevel="1" spans="1:42">
      <c r="A133" s="37" t="str">
        <f t="shared" si="32"/>
        <v/>
      </c>
      <c r="B133" s="120" t="s">
        <v>83</v>
      </c>
      <c r="C133" s="120" t="s">
        <v>84</v>
      </c>
      <c r="D133" s="61">
        <v>207.02</v>
      </c>
      <c r="E133" s="63" t="s">
        <v>1164</v>
      </c>
      <c r="F133" s="59" t="s">
        <v>24</v>
      </c>
      <c r="G133" s="63" t="s">
        <v>75</v>
      </c>
      <c r="H133" s="64">
        <v>42944</v>
      </c>
      <c r="I133" s="86">
        <v>6000000</v>
      </c>
      <c r="J133" s="62" t="s">
        <v>641</v>
      </c>
      <c r="K133" s="62" t="s">
        <v>1166</v>
      </c>
      <c r="L133" s="62"/>
      <c r="M133" s="87"/>
      <c r="N133" s="88" t="s">
        <v>1167</v>
      </c>
      <c r="O133" s="86"/>
      <c r="P133" s="86"/>
      <c r="Q133" s="88" t="s">
        <v>1167</v>
      </c>
      <c r="R133" s="86"/>
      <c r="S133" s="86"/>
      <c r="T133" s="88" t="s">
        <v>1167</v>
      </c>
      <c r="U133" s="86"/>
      <c r="V133" s="86"/>
      <c r="W133" s="88" t="s">
        <v>1167</v>
      </c>
      <c r="X133" s="86"/>
      <c r="Y133" s="86"/>
      <c r="Z133" s="88" t="s">
        <v>1167</v>
      </c>
      <c r="AA133" s="86"/>
      <c r="AB133" s="86"/>
      <c r="AC133" s="88" t="s">
        <v>1167</v>
      </c>
      <c r="AD133" s="86"/>
      <c r="AE133" s="86"/>
      <c r="AF133" s="88" t="s">
        <v>1167</v>
      </c>
      <c r="AG133" s="86"/>
      <c r="AH133" s="86"/>
      <c r="AI133" s="88" t="s">
        <v>1167</v>
      </c>
      <c r="AJ133" s="86">
        <f t="shared" ref="AJ133:AJ143" si="38">I133-O133-R133-U133-X133-AA133-AD133-AG133</f>
        <v>6000000</v>
      </c>
      <c r="AK133" s="107"/>
      <c r="AL133" s="108">
        <f t="shared" si="33"/>
        <v>0</v>
      </c>
      <c r="AM133" s="109">
        <f t="shared" si="34"/>
        <v>6000000</v>
      </c>
      <c r="AN133" s="110">
        <f t="shared" si="35"/>
        <v>0</v>
      </c>
      <c r="AO133" s="109">
        <f t="shared" si="36"/>
        <v>6000000</v>
      </c>
      <c r="AP133" s="117" t="str">
        <f t="shared" si="37"/>
        <v>数据正确</v>
      </c>
    </row>
    <row r="134" s="37" customFormat="1" customHeight="1" outlineLevel="1" spans="1:42">
      <c r="A134" s="37" t="str">
        <f t="shared" si="32"/>
        <v/>
      </c>
      <c r="B134" s="120" t="s">
        <v>83</v>
      </c>
      <c r="C134" s="120" t="s">
        <v>84</v>
      </c>
      <c r="D134" s="61">
        <v>207.03</v>
      </c>
      <c r="E134" s="63" t="s">
        <v>1164</v>
      </c>
      <c r="F134" s="59" t="s">
        <v>24</v>
      </c>
      <c r="G134" s="63" t="s">
        <v>75</v>
      </c>
      <c r="H134" s="64">
        <v>42944</v>
      </c>
      <c r="I134" s="86">
        <v>6000000</v>
      </c>
      <c r="J134" s="62" t="s">
        <v>532</v>
      </c>
      <c r="K134" s="62" t="s">
        <v>1166</v>
      </c>
      <c r="L134" s="62"/>
      <c r="M134" s="87"/>
      <c r="N134" s="88" t="s">
        <v>1167</v>
      </c>
      <c r="O134" s="86">
        <v>636901</v>
      </c>
      <c r="P134" s="86">
        <f>O134*0.8</f>
        <v>509520.8</v>
      </c>
      <c r="Q134" s="88" t="s">
        <v>1167</v>
      </c>
      <c r="R134" s="86"/>
      <c r="S134" s="86"/>
      <c r="T134" s="88" t="s">
        <v>1167</v>
      </c>
      <c r="U134" s="86"/>
      <c r="V134" s="86"/>
      <c r="W134" s="88" t="s">
        <v>1167</v>
      </c>
      <c r="X134" s="86"/>
      <c r="Y134" s="86"/>
      <c r="Z134" s="88" t="s">
        <v>1167</v>
      </c>
      <c r="AA134" s="86"/>
      <c r="AB134" s="86"/>
      <c r="AC134" s="88" t="s">
        <v>1167</v>
      </c>
      <c r="AD134" s="86"/>
      <c r="AE134" s="86"/>
      <c r="AF134" s="88" t="s">
        <v>1167</v>
      </c>
      <c r="AG134" s="86"/>
      <c r="AH134" s="86"/>
      <c r="AI134" s="88" t="s">
        <v>1167</v>
      </c>
      <c r="AJ134" s="86">
        <f t="shared" si="38"/>
        <v>5363099</v>
      </c>
      <c r="AK134" s="107"/>
      <c r="AL134" s="108">
        <f t="shared" si="33"/>
        <v>509520.8</v>
      </c>
      <c r="AM134" s="109">
        <f t="shared" si="34"/>
        <v>5490479.2</v>
      </c>
      <c r="AN134" s="110">
        <f t="shared" si="35"/>
        <v>0.0849201333333333</v>
      </c>
      <c r="AO134" s="109">
        <f t="shared" si="36"/>
        <v>6000000</v>
      </c>
      <c r="AP134" s="117" t="str">
        <f t="shared" si="37"/>
        <v>数据正确</v>
      </c>
    </row>
    <row r="135" s="37" customFormat="1" customHeight="1" outlineLevel="1" spans="1:42">
      <c r="A135" s="37" t="str">
        <f t="shared" si="32"/>
        <v/>
      </c>
      <c r="B135" s="120" t="s">
        <v>83</v>
      </c>
      <c r="C135" s="120" t="s">
        <v>84</v>
      </c>
      <c r="D135" s="61">
        <v>207.04</v>
      </c>
      <c r="E135" s="63" t="s">
        <v>1164</v>
      </c>
      <c r="F135" s="59" t="s">
        <v>24</v>
      </c>
      <c r="G135" s="63" t="s">
        <v>75</v>
      </c>
      <c r="H135" s="64">
        <v>42944</v>
      </c>
      <c r="I135" s="86">
        <v>6000000</v>
      </c>
      <c r="J135" s="62" t="s">
        <v>1168</v>
      </c>
      <c r="K135" s="62" t="s">
        <v>1166</v>
      </c>
      <c r="L135" s="62"/>
      <c r="M135" s="87"/>
      <c r="N135" s="88" t="s">
        <v>1167</v>
      </c>
      <c r="O135" s="86"/>
      <c r="P135" s="86"/>
      <c r="Q135" s="88" t="s">
        <v>1167</v>
      </c>
      <c r="R135" s="86"/>
      <c r="S135" s="86"/>
      <c r="T135" s="88" t="s">
        <v>1167</v>
      </c>
      <c r="U135" s="86"/>
      <c r="V135" s="86"/>
      <c r="W135" s="88" t="s">
        <v>1167</v>
      </c>
      <c r="X135" s="86"/>
      <c r="Y135" s="86"/>
      <c r="Z135" s="88" t="s">
        <v>1167</v>
      </c>
      <c r="AA135" s="86"/>
      <c r="AB135" s="86"/>
      <c r="AC135" s="88" t="s">
        <v>1167</v>
      </c>
      <c r="AD135" s="86"/>
      <c r="AE135" s="86"/>
      <c r="AF135" s="88" t="s">
        <v>1167</v>
      </c>
      <c r="AG135" s="86"/>
      <c r="AH135" s="86"/>
      <c r="AI135" s="88" t="s">
        <v>1167</v>
      </c>
      <c r="AJ135" s="86">
        <f t="shared" si="38"/>
        <v>6000000</v>
      </c>
      <c r="AK135" s="107"/>
      <c r="AL135" s="108">
        <f t="shared" si="33"/>
        <v>0</v>
      </c>
      <c r="AM135" s="109">
        <f t="shared" si="34"/>
        <v>6000000</v>
      </c>
      <c r="AN135" s="110">
        <f t="shared" si="35"/>
        <v>0</v>
      </c>
      <c r="AO135" s="109">
        <f t="shared" si="36"/>
        <v>6000000</v>
      </c>
      <c r="AP135" s="117" t="str">
        <f t="shared" si="37"/>
        <v>数据正确</v>
      </c>
    </row>
    <row r="136" s="37" customFormat="1" customHeight="1" outlineLevel="1" spans="1:42">
      <c r="A136" s="37" t="str">
        <f t="shared" si="32"/>
        <v/>
      </c>
      <c r="B136" s="120" t="s">
        <v>83</v>
      </c>
      <c r="C136" s="120" t="s">
        <v>84</v>
      </c>
      <c r="D136" s="61">
        <v>207.05</v>
      </c>
      <c r="E136" s="63" t="s">
        <v>1164</v>
      </c>
      <c r="F136" s="59" t="s">
        <v>24</v>
      </c>
      <c r="G136" s="63" t="s">
        <v>75</v>
      </c>
      <c r="H136" s="64">
        <v>42944</v>
      </c>
      <c r="I136" s="86">
        <v>6000000</v>
      </c>
      <c r="J136" s="62" t="s">
        <v>1169</v>
      </c>
      <c r="K136" s="62" t="s">
        <v>1166</v>
      </c>
      <c r="L136" s="62"/>
      <c r="M136" s="87"/>
      <c r="N136" s="88" t="s">
        <v>1167</v>
      </c>
      <c r="O136" s="86"/>
      <c r="P136" s="86"/>
      <c r="Q136" s="88" t="s">
        <v>1167</v>
      </c>
      <c r="R136" s="86"/>
      <c r="S136" s="86"/>
      <c r="T136" s="88" t="s">
        <v>1167</v>
      </c>
      <c r="U136" s="86"/>
      <c r="V136" s="86"/>
      <c r="W136" s="88" t="s">
        <v>1167</v>
      </c>
      <c r="X136" s="86"/>
      <c r="Y136" s="86"/>
      <c r="Z136" s="88" t="s">
        <v>1167</v>
      </c>
      <c r="AA136" s="86"/>
      <c r="AB136" s="86"/>
      <c r="AC136" s="88" t="s">
        <v>1167</v>
      </c>
      <c r="AD136" s="86"/>
      <c r="AE136" s="86"/>
      <c r="AF136" s="88" t="s">
        <v>1167</v>
      </c>
      <c r="AG136" s="86"/>
      <c r="AH136" s="86"/>
      <c r="AI136" s="88" t="s">
        <v>1167</v>
      </c>
      <c r="AJ136" s="86">
        <f t="shared" si="38"/>
        <v>6000000</v>
      </c>
      <c r="AK136" s="107"/>
      <c r="AL136" s="108">
        <f t="shared" si="33"/>
        <v>0</v>
      </c>
      <c r="AM136" s="109">
        <f t="shared" si="34"/>
        <v>6000000</v>
      </c>
      <c r="AN136" s="110">
        <f t="shared" si="35"/>
        <v>0</v>
      </c>
      <c r="AO136" s="109">
        <f t="shared" si="36"/>
        <v>6000000</v>
      </c>
      <c r="AP136" s="117" t="str">
        <f t="shared" si="37"/>
        <v>数据正确</v>
      </c>
    </row>
    <row r="137" s="37" customFormat="1" customHeight="1" outlineLevel="1" spans="1:42">
      <c r="A137" s="37" t="str">
        <f t="shared" si="32"/>
        <v/>
      </c>
      <c r="B137" s="120" t="s">
        <v>83</v>
      </c>
      <c r="C137" s="120" t="s">
        <v>84</v>
      </c>
      <c r="D137" s="61">
        <v>207.06</v>
      </c>
      <c r="E137" s="63" t="s">
        <v>1164</v>
      </c>
      <c r="F137" s="59" t="s">
        <v>24</v>
      </c>
      <c r="G137" s="63" t="s">
        <v>75</v>
      </c>
      <c r="H137" s="64">
        <v>42944</v>
      </c>
      <c r="I137" s="86">
        <v>6000000</v>
      </c>
      <c r="J137" s="62" t="s">
        <v>1170</v>
      </c>
      <c r="K137" s="62" t="s">
        <v>1166</v>
      </c>
      <c r="L137" s="62"/>
      <c r="M137" s="87"/>
      <c r="N137" s="88" t="s">
        <v>1167</v>
      </c>
      <c r="O137" s="86"/>
      <c r="P137" s="86"/>
      <c r="Q137" s="88" t="s">
        <v>1167</v>
      </c>
      <c r="R137" s="86"/>
      <c r="S137" s="86"/>
      <c r="T137" s="88" t="s">
        <v>1167</v>
      </c>
      <c r="U137" s="86"/>
      <c r="V137" s="86"/>
      <c r="W137" s="88" t="s">
        <v>1167</v>
      </c>
      <c r="X137" s="86"/>
      <c r="Y137" s="86"/>
      <c r="Z137" s="88" t="s">
        <v>1167</v>
      </c>
      <c r="AA137" s="86"/>
      <c r="AB137" s="86"/>
      <c r="AC137" s="88" t="s">
        <v>1167</v>
      </c>
      <c r="AD137" s="86"/>
      <c r="AE137" s="86"/>
      <c r="AF137" s="88" t="s">
        <v>1167</v>
      </c>
      <c r="AG137" s="86"/>
      <c r="AH137" s="86"/>
      <c r="AI137" s="88" t="s">
        <v>1167</v>
      </c>
      <c r="AJ137" s="86">
        <f t="shared" si="38"/>
        <v>6000000</v>
      </c>
      <c r="AK137" s="107"/>
      <c r="AL137" s="108">
        <f t="shared" si="33"/>
        <v>0</v>
      </c>
      <c r="AM137" s="109">
        <f t="shared" si="34"/>
        <v>6000000</v>
      </c>
      <c r="AN137" s="110">
        <f t="shared" si="35"/>
        <v>0</v>
      </c>
      <c r="AO137" s="109">
        <f t="shared" si="36"/>
        <v>6000000</v>
      </c>
      <c r="AP137" s="117" t="str">
        <f t="shared" si="37"/>
        <v>数据正确</v>
      </c>
    </row>
    <row r="138" s="37" customFormat="1" customHeight="1" outlineLevel="1" spans="1:42">
      <c r="A138" s="37" t="str">
        <f t="shared" si="32"/>
        <v/>
      </c>
      <c r="B138" s="120" t="s">
        <v>83</v>
      </c>
      <c r="C138" s="120" t="s">
        <v>84</v>
      </c>
      <c r="D138" s="61">
        <v>207.07</v>
      </c>
      <c r="E138" s="63" t="s">
        <v>1164</v>
      </c>
      <c r="F138" s="59" t="s">
        <v>24</v>
      </c>
      <c r="G138" s="63" t="s">
        <v>75</v>
      </c>
      <c r="H138" s="64">
        <v>42944</v>
      </c>
      <c r="I138" s="86">
        <v>6000000</v>
      </c>
      <c r="J138" s="62" t="s">
        <v>1171</v>
      </c>
      <c r="K138" s="62" t="s">
        <v>1166</v>
      </c>
      <c r="L138" s="62"/>
      <c r="M138" s="87"/>
      <c r="N138" s="88" t="s">
        <v>1167</v>
      </c>
      <c r="O138" s="86"/>
      <c r="P138" s="86"/>
      <c r="Q138" s="88" t="s">
        <v>1167</v>
      </c>
      <c r="R138" s="86"/>
      <c r="S138" s="86"/>
      <c r="T138" s="88" t="s">
        <v>1167</v>
      </c>
      <c r="U138" s="86"/>
      <c r="V138" s="86"/>
      <c r="W138" s="88" t="s">
        <v>1167</v>
      </c>
      <c r="X138" s="86"/>
      <c r="Y138" s="86"/>
      <c r="Z138" s="88" t="s">
        <v>1167</v>
      </c>
      <c r="AA138" s="86"/>
      <c r="AB138" s="86"/>
      <c r="AC138" s="88" t="s">
        <v>1167</v>
      </c>
      <c r="AD138" s="86"/>
      <c r="AE138" s="86"/>
      <c r="AF138" s="88" t="s">
        <v>1167</v>
      </c>
      <c r="AG138" s="86"/>
      <c r="AH138" s="86"/>
      <c r="AI138" s="88" t="s">
        <v>1167</v>
      </c>
      <c r="AJ138" s="86">
        <f t="shared" si="38"/>
        <v>6000000</v>
      </c>
      <c r="AK138" s="107"/>
      <c r="AL138" s="108">
        <f t="shared" si="33"/>
        <v>0</v>
      </c>
      <c r="AM138" s="109">
        <f t="shared" si="34"/>
        <v>6000000</v>
      </c>
      <c r="AN138" s="110">
        <f t="shared" si="35"/>
        <v>0</v>
      </c>
      <c r="AO138" s="109">
        <f t="shared" si="36"/>
        <v>6000000</v>
      </c>
      <c r="AP138" s="117" t="str">
        <f t="shared" si="37"/>
        <v>数据正确</v>
      </c>
    </row>
    <row r="139" s="37" customFormat="1" customHeight="1" outlineLevel="1" spans="1:42">
      <c r="A139" s="37" t="str">
        <f t="shared" si="32"/>
        <v/>
      </c>
      <c r="B139" s="120" t="s">
        <v>83</v>
      </c>
      <c r="C139" s="120" t="s">
        <v>84</v>
      </c>
      <c r="D139" s="61">
        <v>207.08</v>
      </c>
      <c r="E139" s="63" t="s">
        <v>1164</v>
      </c>
      <c r="F139" s="59" t="s">
        <v>24</v>
      </c>
      <c r="G139" s="63" t="s">
        <v>75</v>
      </c>
      <c r="H139" s="64">
        <v>42944</v>
      </c>
      <c r="I139" s="86">
        <v>6000000</v>
      </c>
      <c r="J139" s="62" t="s">
        <v>1172</v>
      </c>
      <c r="K139" s="62" t="s">
        <v>1166</v>
      </c>
      <c r="L139" s="62"/>
      <c r="M139" s="87"/>
      <c r="N139" s="88" t="s">
        <v>1167</v>
      </c>
      <c r="O139" s="86"/>
      <c r="P139" s="86"/>
      <c r="Q139" s="88" t="s">
        <v>1167</v>
      </c>
      <c r="R139" s="86"/>
      <c r="S139" s="86"/>
      <c r="T139" s="88" t="s">
        <v>1167</v>
      </c>
      <c r="U139" s="86"/>
      <c r="V139" s="86"/>
      <c r="W139" s="88" t="s">
        <v>1167</v>
      </c>
      <c r="X139" s="86"/>
      <c r="Y139" s="86"/>
      <c r="Z139" s="88" t="s">
        <v>1167</v>
      </c>
      <c r="AA139" s="86"/>
      <c r="AB139" s="86"/>
      <c r="AC139" s="88" t="s">
        <v>1167</v>
      </c>
      <c r="AD139" s="86"/>
      <c r="AE139" s="86"/>
      <c r="AF139" s="88" t="s">
        <v>1167</v>
      </c>
      <c r="AG139" s="86"/>
      <c r="AH139" s="86"/>
      <c r="AI139" s="88" t="s">
        <v>1167</v>
      </c>
      <c r="AJ139" s="86">
        <f t="shared" si="38"/>
        <v>6000000</v>
      </c>
      <c r="AK139" s="107"/>
      <c r="AL139" s="108">
        <f t="shared" si="33"/>
        <v>0</v>
      </c>
      <c r="AM139" s="109">
        <f t="shared" si="34"/>
        <v>6000000</v>
      </c>
      <c r="AN139" s="110">
        <f t="shared" si="35"/>
        <v>0</v>
      </c>
      <c r="AO139" s="109">
        <f t="shared" si="36"/>
        <v>6000000</v>
      </c>
      <c r="AP139" s="117" t="str">
        <f t="shared" si="37"/>
        <v>数据正确</v>
      </c>
    </row>
    <row r="140" s="37" customFormat="1" customHeight="1" outlineLevel="1" spans="1:42">
      <c r="A140" s="37" t="str">
        <f t="shared" si="32"/>
        <v/>
      </c>
      <c r="B140" s="120" t="s">
        <v>83</v>
      </c>
      <c r="C140" s="120" t="s">
        <v>84</v>
      </c>
      <c r="D140" s="61">
        <v>207.09</v>
      </c>
      <c r="E140" s="63" t="s">
        <v>1164</v>
      </c>
      <c r="F140" s="59" t="s">
        <v>24</v>
      </c>
      <c r="G140" s="63" t="s">
        <v>75</v>
      </c>
      <c r="H140" s="64">
        <v>42944</v>
      </c>
      <c r="I140" s="86">
        <v>6000000</v>
      </c>
      <c r="J140" s="62" t="s">
        <v>1173</v>
      </c>
      <c r="K140" s="62" t="s">
        <v>1166</v>
      </c>
      <c r="L140" s="62"/>
      <c r="M140" s="87"/>
      <c r="N140" s="88" t="s">
        <v>1167</v>
      </c>
      <c r="O140" s="86"/>
      <c r="P140" s="86"/>
      <c r="Q140" s="88" t="s">
        <v>1167</v>
      </c>
      <c r="R140" s="86"/>
      <c r="S140" s="86"/>
      <c r="T140" s="88" t="s">
        <v>1167</v>
      </c>
      <c r="U140" s="86"/>
      <c r="V140" s="86"/>
      <c r="W140" s="88" t="s">
        <v>1167</v>
      </c>
      <c r="X140" s="86"/>
      <c r="Y140" s="86"/>
      <c r="Z140" s="88" t="s">
        <v>1167</v>
      </c>
      <c r="AA140" s="86"/>
      <c r="AB140" s="86"/>
      <c r="AC140" s="88" t="s">
        <v>1167</v>
      </c>
      <c r="AD140" s="86"/>
      <c r="AE140" s="86"/>
      <c r="AF140" s="88" t="s">
        <v>1167</v>
      </c>
      <c r="AG140" s="86"/>
      <c r="AH140" s="86"/>
      <c r="AI140" s="88" t="s">
        <v>1167</v>
      </c>
      <c r="AJ140" s="86">
        <f t="shared" si="38"/>
        <v>6000000</v>
      </c>
      <c r="AK140" s="107"/>
      <c r="AL140" s="108">
        <f t="shared" si="33"/>
        <v>0</v>
      </c>
      <c r="AM140" s="109">
        <f t="shared" si="34"/>
        <v>6000000</v>
      </c>
      <c r="AN140" s="110">
        <f t="shared" si="35"/>
        <v>0</v>
      </c>
      <c r="AO140" s="109">
        <f t="shared" si="36"/>
        <v>6000000</v>
      </c>
      <c r="AP140" s="117" t="str">
        <f t="shared" si="37"/>
        <v>数据正确</v>
      </c>
    </row>
    <row r="141" s="37" customFormat="1" customHeight="1" outlineLevel="1" spans="1:42">
      <c r="A141" s="37" t="str">
        <f t="shared" si="32"/>
        <v/>
      </c>
      <c r="B141" s="120" t="s">
        <v>83</v>
      </c>
      <c r="C141" s="120" t="s">
        <v>84</v>
      </c>
      <c r="D141" s="61">
        <v>207.1</v>
      </c>
      <c r="E141" s="63" t="s">
        <v>1164</v>
      </c>
      <c r="F141" s="59" t="s">
        <v>24</v>
      </c>
      <c r="G141" s="63" t="s">
        <v>75</v>
      </c>
      <c r="H141" s="64">
        <v>42944</v>
      </c>
      <c r="I141" s="86">
        <v>6000000</v>
      </c>
      <c r="J141" s="62" t="s">
        <v>1174</v>
      </c>
      <c r="K141" s="62" t="s">
        <v>1166</v>
      </c>
      <c r="L141" s="62"/>
      <c r="M141" s="87"/>
      <c r="N141" s="88" t="s">
        <v>1167</v>
      </c>
      <c r="O141" s="86"/>
      <c r="P141" s="86"/>
      <c r="Q141" s="88" t="s">
        <v>1167</v>
      </c>
      <c r="R141" s="86"/>
      <c r="S141" s="86"/>
      <c r="T141" s="88" t="s">
        <v>1167</v>
      </c>
      <c r="U141" s="86"/>
      <c r="V141" s="86"/>
      <c r="W141" s="88" t="s">
        <v>1167</v>
      </c>
      <c r="X141" s="86"/>
      <c r="Y141" s="86"/>
      <c r="Z141" s="88" t="s">
        <v>1167</v>
      </c>
      <c r="AA141" s="86"/>
      <c r="AB141" s="86"/>
      <c r="AC141" s="88" t="s">
        <v>1167</v>
      </c>
      <c r="AD141" s="86"/>
      <c r="AE141" s="86"/>
      <c r="AF141" s="88" t="s">
        <v>1167</v>
      </c>
      <c r="AG141" s="86"/>
      <c r="AH141" s="86"/>
      <c r="AI141" s="88" t="s">
        <v>1167</v>
      </c>
      <c r="AJ141" s="86">
        <f t="shared" si="38"/>
        <v>6000000</v>
      </c>
      <c r="AK141" s="107"/>
      <c r="AL141" s="108">
        <f t="shared" si="33"/>
        <v>0</v>
      </c>
      <c r="AM141" s="109">
        <f t="shared" si="34"/>
        <v>6000000</v>
      </c>
      <c r="AN141" s="110">
        <f t="shared" si="35"/>
        <v>0</v>
      </c>
      <c r="AO141" s="109">
        <f t="shared" si="36"/>
        <v>6000000</v>
      </c>
      <c r="AP141" s="117" t="str">
        <f t="shared" si="37"/>
        <v>数据正确</v>
      </c>
    </row>
    <row r="142" s="37" customFormat="1" customHeight="1" outlineLevel="1" spans="1:42">
      <c r="A142" s="37" t="str">
        <f t="shared" si="32"/>
        <v/>
      </c>
      <c r="B142" s="120" t="s">
        <v>83</v>
      </c>
      <c r="C142" s="120" t="s">
        <v>84</v>
      </c>
      <c r="D142" s="61">
        <v>207.11</v>
      </c>
      <c r="E142" s="63" t="s">
        <v>1164</v>
      </c>
      <c r="F142" s="59" t="s">
        <v>24</v>
      </c>
      <c r="G142" s="63" t="s">
        <v>75</v>
      </c>
      <c r="H142" s="64">
        <v>42944</v>
      </c>
      <c r="I142" s="86">
        <v>10000000</v>
      </c>
      <c r="J142" s="62" t="s">
        <v>691</v>
      </c>
      <c r="K142" s="62" t="s">
        <v>1166</v>
      </c>
      <c r="L142" s="62"/>
      <c r="M142" s="87"/>
      <c r="N142" s="88" t="s">
        <v>1167</v>
      </c>
      <c r="O142" s="86"/>
      <c r="P142" s="86"/>
      <c r="Q142" s="88" t="s">
        <v>1167</v>
      </c>
      <c r="R142" s="86"/>
      <c r="S142" s="86"/>
      <c r="T142" s="88" t="s">
        <v>1167</v>
      </c>
      <c r="U142" s="86"/>
      <c r="V142" s="86"/>
      <c r="W142" s="88" t="s">
        <v>1167</v>
      </c>
      <c r="X142" s="86"/>
      <c r="Y142" s="86"/>
      <c r="Z142" s="88" t="s">
        <v>1167</v>
      </c>
      <c r="AA142" s="86"/>
      <c r="AB142" s="86"/>
      <c r="AC142" s="88" t="s">
        <v>1167</v>
      </c>
      <c r="AD142" s="86"/>
      <c r="AE142" s="86"/>
      <c r="AF142" s="88" t="s">
        <v>1167</v>
      </c>
      <c r="AG142" s="86"/>
      <c r="AH142" s="86"/>
      <c r="AI142" s="88" t="s">
        <v>1167</v>
      </c>
      <c r="AJ142" s="86">
        <f t="shared" si="38"/>
        <v>10000000</v>
      </c>
      <c r="AK142" s="107"/>
      <c r="AL142" s="108">
        <f t="shared" si="33"/>
        <v>0</v>
      </c>
      <c r="AM142" s="109">
        <f t="shared" si="34"/>
        <v>10000000</v>
      </c>
      <c r="AN142" s="110">
        <f t="shared" si="35"/>
        <v>0</v>
      </c>
      <c r="AO142" s="109">
        <f t="shared" si="36"/>
        <v>10000000</v>
      </c>
      <c r="AP142" s="117" t="str">
        <f t="shared" si="37"/>
        <v>数据正确</v>
      </c>
    </row>
    <row r="143" s="37" customFormat="1" customHeight="1" outlineLevel="1" spans="1:42">
      <c r="A143" s="37" t="e">
        <f t="shared" si="32"/>
        <v>#DIV/0!</v>
      </c>
      <c r="B143" s="120" t="s">
        <v>83</v>
      </c>
      <c r="C143" s="120" t="s">
        <v>84</v>
      </c>
      <c r="D143" s="61">
        <v>207.11</v>
      </c>
      <c r="E143" s="63" t="s">
        <v>1164</v>
      </c>
      <c r="F143" s="59" t="s">
        <v>24</v>
      </c>
      <c r="G143" s="63" t="s">
        <v>75</v>
      </c>
      <c r="H143" s="64">
        <v>42944</v>
      </c>
      <c r="I143" s="86">
        <v>0</v>
      </c>
      <c r="J143" s="62" t="s">
        <v>1175</v>
      </c>
      <c r="K143" s="62" t="s">
        <v>1166</v>
      </c>
      <c r="L143" s="62"/>
      <c r="M143" s="87"/>
      <c r="N143" s="88" t="s">
        <v>1167</v>
      </c>
      <c r="O143" s="86"/>
      <c r="P143" s="86">
        <v>-597.6</v>
      </c>
      <c r="Q143" s="88" t="s">
        <v>1167</v>
      </c>
      <c r="R143" s="86"/>
      <c r="S143" s="86"/>
      <c r="T143" s="88" t="s">
        <v>1167</v>
      </c>
      <c r="U143" s="86"/>
      <c r="V143" s="86"/>
      <c r="W143" s="88" t="s">
        <v>1167</v>
      </c>
      <c r="X143" s="86"/>
      <c r="Y143" s="86"/>
      <c r="Z143" s="88" t="s">
        <v>1167</v>
      </c>
      <c r="AA143" s="86"/>
      <c r="AB143" s="86"/>
      <c r="AC143" s="88" t="s">
        <v>1167</v>
      </c>
      <c r="AD143" s="86"/>
      <c r="AE143" s="86"/>
      <c r="AF143" s="88" t="s">
        <v>1167</v>
      </c>
      <c r="AG143" s="86"/>
      <c r="AH143" s="86"/>
      <c r="AI143" s="88" t="s">
        <v>1167</v>
      </c>
      <c r="AJ143" s="86">
        <f t="shared" si="38"/>
        <v>0</v>
      </c>
      <c r="AK143" s="107"/>
      <c r="AL143" s="108">
        <f t="shared" si="33"/>
        <v>-597.6</v>
      </c>
      <c r="AM143" s="109">
        <f t="shared" si="34"/>
        <v>597.6</v>
      </c>
      <c r="AN143" s="110" t="e">
        <f t="shared" si="35"/>
        <v>#DIV/0!</v>
      </c>
      <c r="AO143" s="109">
        <f t="shared" si="36"/>
        <v>0</v>
      </c>
      <c r="AP143" s="117" t="str">
        <f t="shared" si="37"/>
        <v>数据正确</v>
      </c>
    </row>
    <row r="144" s="120" customFormat="1" customHeight="1" spans="1:44">
      <c r="A144" s="37" t="str">
        <f t="shared" si="32"/>
        <v/>
      </c>
      <c r="B144" s="120" t="s">
        <v>83</v>
      </c>
      <c r="C144" s="120" t="s">
        <v>84</v>
      </c>
      <c r="D144" s="125">
        <v>207</v>
      </c>
      <c r="E144" s="127" t="s">
        <v>1164</v>
      </c>
      <c r="F144" s="171" t="s">
        <v>24</v>
      </c>
      <c r="G144" s="127" t="s">
        <v>75</v>
      </c>
      <c r="H144" s="128">
        <v>42944</v>
      </c>
      <c r="I144" s="148">
        <f>SUM(I132:I143)</f>
        <v>70000000</v>
      </c>
      <c r="J144" s="126" t="s">
        <v>1176</v>
      </c>
      <c r="K144" s="126" t="s">
        <v>1166</v>
      </c>
      <c r="L144" s="126"/>
      <c r="M144" s="146"/>
      <c r="N144" s="88" t="s">
        <v>1167</v>
      </c>
      <c r="O144" s="148">
        <f>SUM(O132:O143)</f>
        <v>723247</v>
      </c>
      <c r="P144" s="148">
        <f>SUM(P132:P143)</f>
        <v>578000</v>
      </c>
      <c r="Q144" s="88" t="s">
        <v>1167</v>
      </c>
      <c r="R144" s="148">
        <f>SUM(R132:R143)</f>
        <v>0</v>
      </c>
      <c r="S144" s="148">
        <f>SUM(S132:S143)</f>
        <v>0</v>
      </c>
      <c r="T144" s="88" t="s">
        <v>1167</v>
      </c>
      <c r="U144" s="148">
        <f>SUM(U132:U143)</f>
        <v>0</v>
      </c>
      <c r="V144" s="148">
        <f>SUM(V132:V143)</f>
        <v>0</v>
      </c>
      <c r="W144" s="88" t="s">
        <v>1167</v>
      </c>
      <c r="X144" s="148">
        <f>SUM(X132:X143)</f>
        <v>0</v>
      </c>
      <c r="Y144" s="148">
        <f>SUM(Y132:Y143)</f>
        <v>0</v>
      </c>
      <c r="Z144" s="88" t="s">
        <v>1167</v>
      </c>
      <c r="AA144" s="148">
        <f>SUM(AA132:AA143)</f>
        <v>0</v>
      </c>
      <c r="AB144" s="148">
        <f>SUM(AB132:AB143)</f>
        <v>0</v>
      </c>
      <c r="AC144" s="88" t="s">
        <v>1167</v>
      </c>
      <c r="AD144" s="148">
        <f>SUM(AD132:AD143)</f>
        <v>0</v>
      </c>
      <c r="AE144" s="148">
        <f>SUM(AE132:AE143)</f>
        <v>0</v>
      </c>
      <c r="AF144" s="88" t="s">
        <v>1167</v>
      </c>
      <c r="AG144" s="148">
        <f>SUM(AG132:AG143)</f>
        <v>0</v>
      </c>
      <c r="AH144" s="148">
        <f>SUM(AH132:AH143)</f>
        <v>0</v>
      </c>
      <c r="AI144" s="88" t="s">
        <v>1167</v>
      </c>
      <c r="AJ144" s="148">
        <f>SUM(AJ132:AJ143)</f>
        <v>69276753</v>
      </c>
      <c r="AK144" s="161">
        <f>SUM(AK132:AK143)</f>
        <v>0</v>
      </c>
      <c r="AL144" s="108">
        <f t="shared" si="33"/>
        <v>578000</v>
      </c>
      <c r="AM144" s="109">
        <f t="shared" si="34"/>
        <v>69422000</v>
      </c>
      <c r="AN144" s="110">
        <f t="shared" si="35"/>
        <v>0.00825714285714286</v>
      </c>
      <c r="AO144" s="109">
        <f t="shared" si="36"/>
        <v>70000000</v>
      </c>
      <c r="AP144" s="117" t="str">
        <f t="shared" si="37"/>
        <v>数据正确</v>
      </c>
      <c r="AQ144" s="120" t="s">
        <v>1177</v>
      </c>
      <c r="AR144" s="120" t="s">
        <v>112</v>
      </c>
    </row>
    <row r="145" s="37" customFormat="1" customHeight="1" spans="1:42">
      <c r="A145" s="37" t="str">
        <f t="shared" si="32"/>
        <v/>
      </c>
      <c r="B145" s="37" t="s">
        <v>83</v>
      </c>
      <c r="C145" s="37" t="s">
        <v>84</v>
      </c>
      <c r="D145" s="61">
        <v>203</v>
      </c>
      <c r="E145" s="62" t="s">
        <v>1178</v>
      </c>
      <c r="F145" s="59" t="s">
        <v>24</v>
      </c>
      <c r="G145" s="63" t="s">
        <v>75</v>
      </c>
      <c r="H145" s="64">
        <v>42944</v>
      </c>
      <c r="I145" s="86">
        <v>58000000</v>
      </c>
      <c r="J145" s="62" t="s">
        <v>1179</v>
      </c>
      <c r="K145" s="62" t="s">
        <v>919</v>
      </c>
      <c r="L145" s="62"/>
      <c r="M145" s="87"/>
      <c r="N145" s="88"/>
      <c r="O145" s="86">
        <v>58000000</v>
      </c>
      <c r="P145" s="86"/>
      <c r="Q145" s="93"/>
      <c r="R145" s="86"/>
      <c r="S145" s="86"/>
      <c r="T145" s="93"/>
      <c r="U145" s="86"/>
      <c r="V145" s="86"/>
      <c r="W145" s="93"/>
      <c r="X145" s="86"/>
      <c r="Y145" s="86"/>
      <c r="Z145" s="93"/>
      <c r="AA145" s="86"/>
      <c r="AB145" s="86"/>
      <c r="AC145" s="93"/>
      <c r="AD145" s="86"/>
      <c r="AE145" s="86"/>
      <c r="AF145" s="93"/>
      <c r="AG145" s="86"/>
      <c r="AH145" s="86"/>
      <c r="AI145" s="93"/>
      <c r="AJ145" s="86"/>
      <c r="AK145" s="107"/>
      <c r="AL145" s="108">
        <f t="shared" si="33"/>
        <v>0</v>
      </c>
      <c r="AM145" s="109">
        <f t="shared" si="34"/>
        <v>58000000</v>
      </c>
      <c r="AN145" s="110">
        <f t="shared" si="35"/>
        <v>0</v>
      </c>
      <c r="AO145" s="109">
        <f t="shared" si="36"/>
        <v>58000000</v>
      </c>
      <c r="AP145" s="117" t="str">
        <f t="shared" si="37"/>
        <v>数据正确</v>
      </c>
    </row>
    <row r="146" s="37" customFormat="1" customHeight="1" spans="1:44">
      <c r="A146" s="37" t="str">
        <f t="shared" si="32"/>
        <v/>
      </c>
      <c r="B146" s="37" t="s">
        <v>83</v>
      </c>
      <c r="C146" s="37" t="s">
        <v>84</v>
      </c>
      <c r="D146" s="61">
        <v>204</v>
      </c>
      <c r="E146" s="62" t="s">
        <v>1180</v>
      </c>
      <c r="F146" s="59" t="s">
        <v>24</v>
      </c>
      <c r="G146" s="63" t="s">
        <v>75</v>
      </c>
      <c r="H146" s="64">
        <v>42944</v>
      </c>
      <c r="I146" s="86">
        <v>45000000</v>
      </c>
      <c r="J146" s="62" t="s">
        <v>1181</v>
      </c>
      <c r="K146" s="62" t="s">
        <v>116</v>
      </c>
      <c r="L146" s="62"/>
      <c r="M146" s="87" t="s">
        <v>528</v>
      </c>
      <c r="N146" s="88" t="s">
        <v>1182</v>
      </c>
      <c r="O146" s="86">
        <f t="shared" ref="O146:O149" si="39">I146*0.8</f>
        <v>36000000</v>
      </c>
      <c r="P146" s="86">
        <v>2051000</v>
      </c>
      <c r="Q146" s="93"/>
      <c r="R146" s="86">
        <f>I146*0.2</f>
        <v>9000000</v>
      </c>
      <c r="S146" s="86"/>
      <c r="T146" s="93"/>
      <c r="U146" s="86"/>
      <c r="V146" s="86"/>
      <c r="W146" s="93"/>
      <c r="X146" s="86"/>
      <c r="Y146" s="86"/>
      <c r="Z146" s="93"/>
      <c r="AA146" s="86"/>
      <c r="AB146" s="86"/>
      <c r="AC146" s="93"/>
      <c r="AD146" s="86"/>
      <c r="AE146" s="86"/>
      <c r="AF146" s="93"/>
      <c r="AG146" s="86"/>
      <c r="AH146" s="86"/>
      <c r="AI146" s="93"/>
      <c r="AJ146" s="86"/>
      <c r="AK146" s="107"/>
      <c r="AL146" s="108">
        <f t="shared" ref="AL146:AL149" si="40">P146+S146+V146+Y146+AB146+AE146+AH146+AK146</f>
        <v>2051000</v>
      </c>
      <c r="AM146" s="109">
        <f t="shared" ref="AM146:AM149" si="41">I146-AL146</f>
        <v>42949000</v>
      </c>
      <c r="AN146" s="110">
        <f t="shared" ref="AN146:AN149" si="42">AL146/I146</f>
        <v>0.0455777777777778</v>
      </c>
      <c r="AO146" s="109">
        <f t="shared" ref="AO146:AO149" si="43">O146+R146+U146+X146+AA146+AD146+AG146+AJ146</f>
        <v>45000000</v>
      </c>
      <c r="AP146" s="117" t="str">
        <f t="shared" si="37"/>
        <v>数据正确</v>
      </c>
      <c r="AQ146" s="37" t="s">
        <v>940</v>
      </c>
      <c r="AR146" s="37" t="s">
        <v>112</v>
      </c>
    </row>
    <row r="147" s="37" customFormat="1" customHeight="1" spans="1:42">
      <c r="A147" s="37" t="str">
        <f t="shared" si="32"/>
        <v/>
      </c>
      <c r="B147" s="37" t="s">
        <v>83</v>
      </c>
      <c r="C147" s="37" t="s">
        <v>84</v>
      </c>
      <c r="D147" s="61">
        <v>208</v>
      </c>
      <c r="E147" s="62" t="s">
        <v>1183</v>
      </c>
      <c r="F147" s="59" t="s">
        <v>24</v>
      </c>
      <c r="G147" s="63"/>
      <c r="H147" s="64">
        <v>42977</v>
      </c>
      <c r="I147" s="144">
        <f>341633.42</f>
        <v>341633.42</v>
      </c>
      <c r="J147" s="62" t="s">
        <v>1184</v>
      </c>
      <c r="K147" s="62" t="s">
        <v>694</v>
      </c>
      <c r="L147" s="62"/>
      <c r="M147" s="87" t="s">
        <v>76</v>
      </c>
      <c r="N147" s="88" t="s">
        <v>1185</v>
      </c>
      <c r="O147" s="86">
        <f t="shared" si="39"/>
        <v>273306.736</v>
      </c>
      <c r="P147" s="86"/>
      <c r="Q147" s="93" t="s">
        <v>1186</v>
      </c>
      <c r="R147" s="86">
        <f>I147*0.15</f>
        <v>51245.013</v>
      </c>
      <c r="S147" s="86"/>
      <c r="T147" s="93" t="s">
        <v>1187</v>
      </c>
      <c r="U147" s="86">
        <f>I147*0.05</f>
        <v>17081.671</v>
      </c>
      <c r="V147" s="86"/>
      <c r="W147" s="93"/>
      <c r="X147" s="86"/>
      <c r="Y147" s="86"/>
      <c r="Z147" s="93"/>
      <c r="AA147" s="86"/>
      <c r="AB147" s="86"/>
      <c r="AC147" s="93"/>
      <c r="AD147" s="86"/>
      <c r="AE147" s="86"/>
      <c r="AF147" s="93"/>
      <c r="AG147" s="86"/>
      <c r="AH147" s="86"/>
      <c r="AI147" s="93"/>
      <c r="AJ147" s="86"/>
      <c r="AK147" s="107"/>
      <c r="AL147" s="108">
        <f t="shared" si="40"/>
        <v>0</v>
      </c>
      <c r="AM147" s="109">
        <f t="shared" si="41"/>
        <v>341633.42</v>
      </c>
      <c r="AN147" s="110">
        <f t="shared" si="42"/>
        <v>0</v>
      </c>
      <c r="AO147" s="109">
        <f t="shared" si="43"/>
        <v>341633.42</v>
      </c>
      <c r="AP147" s="117" t="str">
        <f t="shared" si="37"/>
        <v>数据正确</v>
      </c>
    </row>
    <row r="148" s="37" customFormat="1" customHeight="1" spans="1:42">
      <c r="A148" s="37" t="str">
        <f t="shared" si="32"/>
        <v/>
      </c>
      <c r="B148" s="37" t="s">
        <v>83</v>
      </c>
      <c r="C148" s="37" t="s">
        <v>84</v>
      </c>
      <c r="D148" s="61">
        <v>209.01</v>
      </c>
      <c r="E148" s="62" t="s">
        <v>1188</v>
      </c>
      <c r="F148" s="59" t="s">
        <v>24</v>
      </c>
      <c r="G148" s="63"/>
      <c r="H148" s="64">
        <v>42977</v>
      </c>
      <c r="I148" s="144">
        <f>282350</f>
        <v>282350</v>
      </c>
      <c r="J148" s="62" t="s">
        <v>1184</v>
      </c>
      <c r="K148" s="62" t="s">
        <v>1189</v>
      </c>
      <c r="L148" s="62"/>
      <c r="M148" s="87" t="s">
        <v>76</v>
      </c>
      <c r="N148" s="88" t="s">
        <v>1190</v>
      </c>
      <c r="O148" s="86">
        <f t="shared" si="39"/>
        <v>225880</v>
      </c>
      <c r="P148" s="86"/>
      <c r="Q148" s="93" t="s">
        <v>1186</v>
      </c>
      <c r="R148" s="86">
        <f>I148*0.15</f>
        <v>42352.5</v>
      </c>
      <c r="S148" s="86"/>
      <c r="T148" s="93" t="s">
        <v>1187</v>
      </c>
      <c r="U148" s="86">
        <f>I148*0.05</f>
        <v>14117.5</v>
      </c>
      <c r="V148" s="86"/>
      <c r="W148" s="93"/>
      <c r="X148" s="86"/>
      <c r="Y148" s="86"/>
      <c r="Z148" s="93"/>
      <c r="AA148" s="86"/>
      <c r="AB148" s="86"/>
      <c r="AC148" s="93"/>
      <c r="AD148" s="86"/>
      <c r="AE148" s="86"/>
      <c r="AF148" s="93"/>
      <c r="AG148" s="86"/>
      <c r="AH148" s="86"/>
      <c r="AI148" s="93"/>
      <c r="AJ148" s="86"/>
      <c r="AK148" s="107"/>
      <c r="AL148" s="108">
        <f t="shared" si="40"/>
        <v>0</v>
      </c>
      <c r="AM148" s="109">
        <f t="shared" si="41"/>
        <v>282350</v>
      </c>
      <c r="AN148" s="110">
        <f t="shared" si="42"/>
        <v>0</v>
      </c>
      <c r="AO148" s="109">
        <f t="shared" si="43"/>
        <v>282350</v>
      </c>
      <c r="AP148" s="117" t="str">
        <f t="shared" si="37"/>
        <v>数据正确</v>
      </c>
    </row>
    <row r="149" s="37" customFormat="1" customHeight="1" spans="1:42">
      <c r="A149" s="37" t="str">
        <f t="shared" si="32"/>
        <v>已完毕</v>
      </c>
      <c r="B149" s="37" t="s">
        <v>83</v>
      </c>
      <c r="C149" s="37" t="s">
        <v>84</v>
      </c>
      <c r="D149" s="61">
        <v>209.02</v>
      </c>
      <c r="E149" s="62" t="s">
        <v>1191</v>
      </c>
      <c r="F149" s="59" t="s">
        <v>24</v>
      </c>
      <c r="G149" s="63"/>
      <c r="H149" s="64">
        <v>42977</v>
      </c>
      <c r="I149" s="144">
        <v>1000000</v>
      </c>
      <c r="J149" s="62" t="s">
        <v>1184</v>
      </c>
      <c r="K149" s="62" t="s">
        <v>1189</v>
      </c>
      <c r="L149" s="62"/>
      <c r="M149" s="87" t="s">
        <v>76</v>
      </c>
      <c r="N149" s="88" t="s">
        <v>1192</v>
      </c>
      <c r="O149" s="86">
        <v>1000000</v>
      </c>
      <c r="P149" s="86">
        <v>1000000</v>
      </c>
      <c r="Q149" s="93"/>
      <c r="R149" s="86"/>
      <c r="S149" s="86"/>
      <c r="T149" s="93"/>
      <c r="U149" s="86"/>
      <c r="V149" s="86"/>
      <c r="W149" s="93"/>
      <c r="X149" s="86"/>
      <c r="Y149" s="86"/>
      <c r="Z149" s="93"/>
      <c r="AA149" s="86"/>
      <c r="AB149" s="86"/>
      <c r="AC149" s="93"/>
      <c r="AD149" s="86"/>
      <c r="AE149" s="86"/>
      <c r="AF149" s="93"/>
      <c r="AG149" s="86"/>
      <c r="AH149" s="86"/>
      <c r="AI149" s="93"/>
      <c r="AJ149" s="86"/>
      <c r="AK149" s="107"/>
      <c r="AL149" s="108">
        <f t="shared" si="40"/>
        <v>1000000</v>
      </c>
      <c r="AM149" s="109">
        <f t="shared" si="41"/>
        <v>0</v>
      </c>
      <c r="AN149" s="110">
        <f t="shared" si="42"/>
        <v>1</v>
      </c>
      <c r="AO149" s="109">
        <f t="shared" si="43"/>
        <v>1000000</v>
      </c>
      <c r="AP149" s="117" t="str">
        <f t="shared" si="37"/>
        <v>数据正确</v>
      </c>
    </row>
    <row r="150" s="120" customFormat="1" customHeight="1" spans="1:42">
      <c r="A150" s="120" t="str">
        <f t="shared" ref="A150:A155" si="44">IF(AN150=100%,"已完毕","")</f>
        <v/>
      </c>
      <c r="B150" s="120" t="s">
        <v>83</v>
      </c>
      <c r="C150" s="120" t="s">
        <v>84</v>
      </c>
      <c r="D150" s="125">
        <v>209</v>
      </c>
      <c r="E150" s="62" t="s">
        <v>1191</v>
      </c>
      <c r="F150" s="171" t="s">
        <v>24</v>
      </c>
      <c r="G150" s="127"/>
      <c r="H150" s="128">
        <v>42977</v>
      </c>
      <c r="I150" s="145">
        <f>SUM(I148:I149)</f>
        <v>1282350</v>
      </c>
      <c r="J150" s="126" t="s">
        <v>1184</v>
      </c>
      <c r="K150" s="126" t="s">
        <v>1189</v>
      </c>
      <c r="L150" s="126"/>
      <c r="M150" s="146" t="s">
        <v>76</v>
      </c>
      <c r="N150" s="147" t="s">
        <v>1190</v>
      </c>
      <c r="O150" s="148">
        <f>SUM(O148:O149)</f>
        <v>1225880</v>
      </c>
      <c r="P150" s="148">
        <f t="shared" ref="P150:AK150" si="45">SUM(P148:P149)</f>
        <v>1000000</v>
      </c>
      <c r="Q150" s="148" t="s">
        <v>75</v>
      </c>
      <c r="R150" s="148">
        <f t="shared" si="45"/>
        <v>42352.5</v>
      </c>
      <c r="S150" s="148">
        <f t="shared" si="45"/>
        <v>0</v>
      </c>
      <c r="T150" s="148" t="s">
        <v>75</v>
      </c>
      <c r="U150" s="148">
        <f t="shared" si="45"/>
        <v>14117.5</v>
      </c>
      <c r="V150" s="148">
        <f t="shared" si="45"/>
        <v>0</v>
      </c>
      <c r="W150" s="148" t="s">
        <v>75</v>
      </c>
      <c r="X150" s="148">
        <f t="shared" si="45"/>
        <v>0</v>
      </c>
      <c r="Y150" s="148">
        <f t="shared" si="45"/>
        <v>0</v>
      </c>
      <c r="Z150" s="148" t="s">
        <v>75</v>
      </c>
      <c r="AA150" s="148">
        <f t="shared" si="45"/>
        <v>0</v>
      </c>
      <c r="AB150" s="148">
        <f t="shared" si="45"/>
        <v>0</v>
      </c>
      <c r="AC150" s="148" t="s">
        <v>75</v>
      </c>
      <c r="AD150" s="148">
        <f t="shared" si="45"/>
        <v>0</v>
      </c>
      <c r="AE150" s="148">
        <f t="shared" si="45"/>
        <v>0</v>
      </c>
      <c r="AF150" s="148" t="s">
        <v>75</v>
      </c>
      <c r="AG150" s="148">
        <f t="shared" si="45"/>
        <v>0</v>
      </c>
      <c r="AH150" s="148">
        <f t="shared" si="45"/>
        <v>0</v>
      </c>
      <c r="AI150" s="148" t="s">
        <v>75</v>
      </c>
      <c r="AJ150" s="148">
        <f t="shared" si="45"/>
        <v>0</v>
      </c>
      <c r="AK150" s="161">
        <f t="shared" si="45"/>
        <v>0</v>
      </c>
      <c r="AL150" s="162">
        <f t="shared" ref="AL150:AL155" si="46">P150+S150+V150+Y150+AB150+AE150+AH150+AK150</f>
        <v>1000000</v>
      </c>
      <c r="AM150" s="155">
        <f t="shared" ref="AM150:AM155" si="47">I150-AL150</f>
        <v>282350</v>
      </c>
      <c r="AN150" s="163">
        <f t="shared" ref="AN150:AN155" si="48">AL150/I150</f>
        <v>0.779818302335556</v>
      </c>
      <c r="AO150" s="155">
        <f t="shared" ref="AO150:AO155" si="49">O150+R150+U150+X150+AA150+AD150+AG150+AJ150</f>
        <v>1282350</v>
      </c>
      <c r="AP150" s="168" t="str">
        <f t="shared" ref="AP150:AP163" si="50">IF(AO150-I150=0,"数据正确","数据错误")</f>
        <v>数据正确</v>
      </c>
    </row>
    <row r="151" s="37" customFormat="1" customHeight="1" spans="1:42">
      <c r="A151" s="37" t="str">
        <f t="shared" si="44"/>
        <v/>
      </c>
      <c r="B151" s="37" t="s">
        <v>83</v>
      </c>
      <c r="C151" s="37" t="s">
        <v>84</v>
      </c>
      <c r="D151" s="61">
        <v>210</v>
      </c>
      <c r="E151" s="62" t="s">
        <v>1193</v>
      </c>
      <c r="F151" s="59" t="s">
        <v>24</v>
      </c>
      <c r="G151" s="63"/>
      <c r="H151" s="64">
        <v>42977</v>
      </c>
      <c r="I151" s="144">
        <f>381737.2</f>
        <v>381737.2</v>
      </c>
      <c r="J151" s="62" t="s">
        <v>1184</v>
      </c>
      <c r="K151" s="62" t="s">
        <v>1194</v>
      </c>
      <c r="L151" s="62"/>
      <c r="M151" s="87" t="s">
        <v>76</v>
      </c>
      <c r="N151" s="88" t="s">
        <v>1195</v>
      </c>
      <c r="O151" s="86">
        <f>I151*0.8</f>
        <v>305389.76</v>
      </c>
      <c r="P151" s="86"/>
      <c r="Q151" s="93" t="s">
        <v>1186</v>
      </c>
      <c r="R151" s="86">
        <f>I151*0.15</f>
        <v>57260.58</v>
      </c>
      <c r="S151" s="86"/>
      <c r="T151" s="93" t="s">
        <v>1187</v>
      </c>
      <c r="U151" s="86">
        <f>I151*0.05</f>
        <v>19086.86</v>
      </c>
      <c r="V151" s="86"/>
      <c r="W151" s="93"/>
      <c r="X151" s="86"/>
      <c r="Y151" s="86"/>
      <c r="Z151" s="93"/>
      <c r="AA151" s="86"/>
      <c r="AB151" s="86"/>
      <c r="AC151" s="93"/>
      <c r="AD151" s="86"/>
      <c r="AE151" s="86"/>
      <c r="AF151" s="93"/>
      <c r="AG151" s="86"/>
      <c r="AH151" s="86"/>
      <c r="AI151" s="93"/>
      <c r="AJ151" s="86"/>
      <c r="AK151" s="107"/>
      <c r="AL151" s="108">
        <f t="shared" si="46"/>
        <v>0</v>
      </c>
      <c r="AM151" s="109">
        <f t="shared" si="47"/>
        <v>381737.2</v>
      </c>
      <c r="AN151" s="110">
        <f t="shared" si="48"/>
        <v>0</v>
      </c>
      <c r="AO151" s="109">
        <f t="shared" si="49"/>
        <v>381737.2</v>
      </c>
      <c r="AP151" s="117" t="str">
        <f t="shared" si="50"/>
        <v>数据正确</v>
      </c>
    </row>
    <row r="152" s="37" customFormat="1" customHeight="1" outlineLevel="1" spans="1:42">
      <c r="A152" s="37" t="str">
        <f t="shared" si="44"/>
        <v/>
      </c>
      <c r="B152" s="37" t="s">
        <v>83</v>
      </c>
      <c r="C152" s="37" t="s">
        <v>84</v>
      </c>
      <c r="D152" s="61">
        <v>211.1</v>
      </c>
      <c r="E152" s="62" t="s">
        <v>1196</v>
      </c>
      <c r="F152" s="59" t="s">
        <v>24</v>
      </c>
      <c r="G152" s="63"/>
      <c r="H152" s="64">
        <v>42977</v>
      </c>
      <c r="I152" s="144">
        <f>856734.1+47800</f>
        <v>904534.1</v>
      </c>
      <c r="J152" s="62" t="s">
        <v>1184</v>
      </c>
      <c r="K152" s="62" t="s">
        <v>1197</v>
      </c>
      <c r="L152" s="62"/>
      <c r="M152" s="87" t="s">
        <v>76</v>
      </c>
      <c r="N152" s="88" t="s">
        <v>1198</v>
      </c>
      <c r="O152" s="86">
        <f>I152*0.8</f>
        <v>723627.28</v>
      </c>
      <c r="P152" s="86"/>
      <c r="Q152" s="93" t="s">
        <v>1199</v>
      </c>
      <c r="R152" s="86">
        <f>I152*0.15</f>
        <v>135680.115</v>
      </c>
      <c r="S152" s="86"/>
      <c r="T152" s="93" t="s">
        <v>1200</v>
      </c>
      <c r="U152" s="86">
        <f>I152*0.05</f>
        <v>45226.705</v>
      </c>
      <c r="V152" s="86"/>
      <c r="W152" s="93"/>
      <c r="X152" s="86"/>
      <c r="Y152" s="86"/>
      <c r="Z152" s="93"/>
      <c r="AA152" s="86"/>
      <c r="AB152" s="86"/>
      <c r="AC152" s="93"/>
      <c r="AD152" s="86"/>
      <c r="AE152" s="86"/>
      <c r="AF152" s="93"/>
      <c r="AG152" s="86"/>
      <c r="AH152" s="86"/>
      <c r="AI152" s="93"/>
      <c r="AJ152" s="86"/>
      <c r="AK152" s="107"/>
      <c r="AL152" s="108">
        <f t="shared" si="46"/>
        <v>0</v>
      </c>
      <c r="AM152" s="109">
        <f t="shared" si="47"/>
        <v>904534.1</v>
      </c>
      <c r="AN152" s="110">
        <f t="shared" si="48"/>
        <v>0</v>
      </c>
      <c r="AO152" s="109">
        <f t="shared" si="49"/>
        <v>904534.1</v>
      </c>
      <c r="AP152" s="117" t="str">
        <f t="shared" si="50"/>
        <v>数据正确</v>
      </c>
    </row>
    <row r="153" s="37" customFormat="1" customHeight="1" outlineLevel="1" spans="1:42">
      <c r="A153" s="37" t="str">
        <f t="shared" si="44"/>
        <v/>
      </c>
      <c r="B153" s="37" t="s">
        <v>83</v>
      </c>
      <c r="C153" s="37" t="s">
        <v>84</v>
      </c>
      <c r="D153" s="61">
        <v>211.2</v>
      </c>
      <c r="E153" s="62" t="s">
        <v>1201</v>
      </c>
      <c r="F153" s="59" t="s">
        <v>24</v>
      </c>
      <c r="G153" s="63"/>
      <c r="H153" s="64">
        <v>42986</v>
      </c>
      <c r="I153" s="144">
        <v>32136.93</v>
      </c>
      <c r="J153" s="62" t="s">
        <v>1202</v>
      </c>
      <c r="K153" s="62" t="s">
        <v>1197</v>
      </c>
      <c r="L153" s="62"/>
      <c r="M153" s="87" t="s">
        <v>76</v>
      </c>
      <c r="N153" s="88" t="s">
        <v>1203</v>
      </c>
      <c r="O153" s="86">
        <f>I153</f>
        <v>32136.93</v>
      </c>
      <c r="P153" s="86"/>
      <c r="Q153" s="93"/>
      <c r="R153" s="86"/>
      <c r="S153" s="86"/>
      <c r="T153" s="93"/>
      <c r="U153" s="86"/>
      <c r="V153" s="86"/>
      <c r="W153" s="93"/>
      <c r="X153" s="86"/>
      <c r="Y153" s="86"/>
      <c r="Z153" s="93"/>
      <c r="AA153" s="86"/>
      <c r="AB153" s="86"/>
      <c r="AC153" s="93"/>
      <c r="AD153" s="86"/>
      <c r="AE153" s="86"/>
      <c r="AF153" s="93"/>
      <c r="AG153" s="86"/>
      <c r="AH153" s="86"/>
      <c r="AI153" s="93"/>
      <c r="AJ153" s="86"/>
      <c r="AK153" s="107"/>
      <c r="AL153" s="108">
        <f t="shared" si="46"/>
        <v>0</v>
      </c>
      <c r="AM153" s="109">
        <f t="shared" si="47"/>
        <v>32136.93</v>
      </c>
      <c r="AN153" s="110">
        <f t="shared" si="48"/>
        <v>0</v>
      </c>
      <c r="AO153" s="109">
        <f t="shared" si="49"/>
        <v>32136.93</v>
      </c>
      <c r="AP153" s="117" t="str">
        <f t="shared" si="50"/>
        <v>数据正确</v>
      </c>
    </row>
    <row r="154" s="120" customFormat="1" customHeight="1" spans="1:42">
      <c r="A154" s="120" t="str">
        <f t="shared" si="44"/>
        <v/>
      </c>
      <c r="B154" s="120" t="s">
        <v>83</v>
      </c>
      <c r="C154" s="120" t="s">
        <v>84</v>
      </c>
      <c r="D154" s="125">
        <v>211</v>
      </c>
      <c r="E154" s="126" t="s">
        <v>75</v>
      </c>
      <c r="F154" s="171" t="s">
        <v>24</v>
      </c>
      <c r="G154" s="127"/>
      <c r="H154" s="128">
        <v>42977</v>
      </c>
      <c r="I154" s="145">
        <f>SUM(I152:I153)</f>
        <v>936671.03</v>
      </c>
      <c r="J154" s="126" t="s">
        <v>1184</v>
      </c>
      <c r="K154" s="126" t="s">
        <v>1197</v>
      </c>
      <c r="L154" s="126"/>
      <c r="M154" s="146" t="s">
        <v>76</v>
      </c>
      <c r="N154" s="147" t="s">
        <v>1198</v>
      </c>
      <c r="O154" s="148">
        <f>SUM(O152:O153)</f>
        <v>755764.21</v>
      </c>
      <c r="P154" s="148">
        <f>SUM(P152:P153)</f>
        <v>0</v>
      </c>
      <c r="Q154" s="170" t="s">
        <v>1199</v>
      </c>
      <c r="R154" s="148">
        <f>SUM(R152:R153)</f>
        <v>135680.115</v>
      </c>
      <c r="S154" s="148">
        <f>SUM(S152:S153)</f>
        <v>0</v>
      </c>
      <c r="T154" s="170" t="s">
        <v>1200</v>
      </c>
      <c r="U154" s="148">
        <f>SUM(U152:U153)</f>
        <v>45226.705</v>
      </c>
      <c r="V154" s="148">
        <f t="shared" ref="V154:AK154" si="51">SUM(V152:V153)</f>
        <v>0</v>
      </c>
      <c r="W154" s="148">
        <f t="shared" si="51"/>
        <v>0</v>
      </c>
      <c r="X154" s="148">
        <f t="shared" si="51"/>
        <v>0</v>
      </c>
      <c r="Y154" s="148">
        <f t="shared" si="51"/>
        <v>0</v>
      </c>
      <c r="Z154" s="148">
        <f t="shared" si="51"/>
        <v>0</v>
      </c>
      <c r="AA154" s="148">
        <f t="shared" si="51"/>
        <v>0</v>
      </c>
      <c r="AB154" s="148">
        <f t="shared" si="51"/>
        <v>0</v>
      </c>
      <c r="AC154" s="148">
        <f t="shared" si="51"/>
        <v>0</v>
      </c>
      <c r="AD154" s="148">
        <f t="shared" si="51"/>
        <v>0</v>
      </c>
      <c r="AE154" s="148">
        <f t="shared" si="51"/>
        <v>0</v>
      </c>
      <c r="AF154" s="148">
        <f t="shared" si="51"/>
        <v>0</v>
      </c>
      <c r="AG154" s="148">
        <f t="shared" si="51"/>
        <v>0</v>
      </c>
      <c r="AH154" s="148">
        <f t="shared" si="51"/>
        <v>0</v>
      </c>
      <c r="AI154" s="148">
        <f t="shared" si="51"/>
        <v>0</v>
      </c>
      <c r="AJ154" s="148">
        <f t="shared" si="51"/>
        <v>0</v>
      </c>
      <c r="AK154" s="148">
        <f t="shared" si="51"/>
        <v>0</v>
      </c>
      <c r="AL154" s="162">
        <f t="shared" si="46"/>
        <v>0</v>
      </c>
      <c r="AM154" s="155">
        <f t="shared" si="47"/>
        <v>936671.03</v>
      </c>
      <c r="AN154" s="163">
        <f t="shared" si="48"/>
        <v>0</v>
      </c>
      <c r="AO154" s="155">
        <f t="shared" si="49"/>
        <v>936671.03</v>
      </c>
      <c r="AP154" s="168" t="str">
        <f t="shared" si="50"/>
        <v>数据正确</v>
      </c>
    </row>
    <row r="155" s="37" customFormat="1" customHeight="1" spans="1:42">
      <c r="A155" s="37" t="str">
        <f t="shared" si="44"/>
        <v/>
      </c>
      <c r="C155" s="37" t="s">
        <v>84</v>
      </c>
      <c r="D155" s="61">
        <v>228</v>
      </c>
      <c r="E155" s="62" t="s">
        <v>1204</v>
      </c>
      <c r="F155" s="59" t="s">
        <v>24</v>
      </c>
      <c r="G155" s="63"/>
      <c r="H155" s="64">
        <v>42980</v>
      </c>
      <c r="I155" s="144">
        <v>32880.96</v>
      </c>
      <c r="J155" s="62" t="s">
        <v>1205</v>
      </c>
      <c r="K155" s="62" t="s">
        <v>694</v>
      </c>
      <c r="L155" s="62"/>
      <c r="M155" s="87" t="s">
        <v>76</v>
      </c>
      <c r="N155" s="88" t="s">
        <v>1049</v>
      </c>
      <c r="O155" s="86">
        <f>I155</f>
        <v>32880.96</v>
      </c>
      <c r="P155" s="86"/>
      <c r="Q155" s="93"/>
      <c r="R155" s="86"/>
      <c r="S155" s="86"/>
      <c r="T155" s="93"/>
      <c r="U155" s="86"/>
      <c r="V155" s="86"/>
      <c r="W155" s="93"/>
      <c r="X155" s="86"/>
      <c r="Y155" s="86"/>
      <c r="Z155" s="93"/>
      <c r="AA155" s="86"/>
      <c r="AB155" s="86"/>
      <c r="AC155" s="93"/>
      <c r="AD155" s="86"/>
      <c r="AE155" s="86"/>
      <c r="AF155" s="93"/>
      <c r="AG155" s="86"/>
      <c r="AH155" s="86"/>
      <c r="AI155" s="93"/>
      <c r="AJ155" s="86"/>
      <c r="AK155" s="107"/>
      <c r="AL155" s="108">
        <f t="shared" si="46"/>
        <v>0</v>
      </c>
      <c r="AM155" s="109">
        <f t="shared" si="47"/>
        <v>32880.96</v>
      </c>
      <c r="AN155" s="110">
        <f t="shared" si="48"/>
        <v>0</v>
      </c>
      <c r="AO155" s="109">
        <f t="shared" si="49"/>
        <v>32880.96</v>
      </c>
      <c r="AP155" s="117" t="str">
        <f t="shared" si="50"/>
        <v>数据正确</v>
      </c>
    </row>
    <row r="156" s="37" customFormat="1" customHeight="1" spans="1:42">
      <c r="A156" s="37" t="str">
        <f t="shared" ref="A156:A163" si="52">IF(AN156=100%,"已完毕","")</f>
        <v/>
      </c>
      <c r="C156" s="37" t="s">
        <v>84</v>
      </c>
      <c r="D156" s="61">
        <v>229</v>
      </c>
      <c r="E156" s="62" t="s">
        <v>1118</v>
      </c>
      <c r="F156" s="59" t="s">
        <v>24</v>
      </c>
      <c r="G156" s="63"/>
      <c r="H156" s="64">
        <v>42916</v>
      </c>
      <c r="I156" s="144">
        <v>1420000</v>
      </c>
      <c r="J156" s="62" t="s">
        <v>1206</v>
      </c>
      <c r="K156" s="62" t="s">
        <v>1207</v>
      </c>
      <c r="L156" s="62" t="s">
        <v>1208</v>
      </c>
      <c r="M156" s="87" t="s">
        <v>695</v>
      </c>
      <c r="N156" s="88" t="s">
        <v>1209</v>
      </c>
      <c r="O156" s="86">
        <f>I156*0.9</f>
        <v>1278000</v>
      </c>
      <c r="P156" s="86"/>
      <c r="Q156" s="93" t="s">
        <v>1155</v>
      </c>
      <c r="R156" s="86">
        <f>I156*0.1</f>
        <v>142000</v>
      </c>
      <c r="S156" s="86"/>
      <c r="T156" s="93"/>
      <c r="U156" s="86"/>
      <c r="V156" s="86"/>
      <c r="W156" s="93"/>
      <c r="X156" s="86"/>
      <c r="Y156" s="86"/>
      <c r="Z156" s="93"/>
      <c r="AA156" s="86"/>
      <c r="AB156" s="86"/>
      <c r="AC156" s="93"/>
      <c r="AD156" s="86"/>
      <c r="AE156" s="86"/>
      <c r="AF156" s="93"/>
      <c r="AG156" s="86"/>
      <c r="AH156" s="86"/>
      <c r="AI156" s="93"/>
      <c r="AJ156" s="86"/>
      <c r="AK156" s="107"/>
      <c r="AL156" s="108">
        <f t="shared" ref="AL156:AL163" si="53">P156+S156+V156+Y156+AB156+AE156+AH156+AK156</f>
        <v>0</v>
      </c>
      <c r="AM156" s="109">
        <f t="shared" ref="AM156:AM163" si="54">I156-AL156</f>
        <v>1420000</v>
      </c>
      <c r="AN156" s="110">
        <f t="shared" ref="AN156:AN163" si="55">AL156/I156</f>
        <v>0</v>
      </c>
      <c r="AO156" s="109">
        <f t="shared" ref="AO156:AO163" si="56">O156+R156+U156+X156+AA156+AD156+AG156+AJ156</f>
        <v>1420000</v>
      </c>
      <c r="AP156" s="117" t="str">
        <f t="shared" si="50"/>
        <v>数据正确</v>
      </c>
    </row>
    <row r="157" s="37" customFormat="1" customHeight="1" outlineLevel="1" spans="1:42">
      <c r="A157" s="37" t="str">
        <f t="shared" si="52"/>
        <v/>
      </c>
      <c r="C157" s="37" t="s">
        <v>84</v>
      </c>
      <c r="D157" s="61">
        <v>230.1</v>
      </c>
      <c r="E157" s="62" t="s">
        <v>1210</v>
      </c>
      <c r="F157" s="59" t="s">
        <v>24</v>
      </c>
      <c r="G157" s="63"/>
      <c r="H157" s="64">
        <v>42981</v>
      </c>
      <c r="I157" s="144">
        <v>6550000</v>
      </c>
      <c r="J157" s="62" t="s">
        <v>1211</v>
      </c>
      <c r="K157" s="62" t="s">
        <v>1212</v>
      </c>
      <c r="L157" s="62"/>
      <c r="M157" s="87" t="s">
        <v>695</v>
      </c>
      <c r="N157" s="88" t="s">
        <v>1213</v>
      </c>
      <c r="O157" s="86">
        <f>I157*0.2</f>
        <v>1310000</v>
      </c>
      <c r="P157" s="86">
        <v>1310000</v>
      </c>
      <c r="Q157" s="93" t="s">
        <v>1214</v>
      </c>
      <c r="R157" s="86">
        <f>I157*0.6</f>
        <v>3930000</v>
      </c>
      <c r="S157" s="86">
        <v>3930000</v>
      </c>
      <c r="T157" s="93" t="s">
        <v>1215</v>
      </c>
      <c r="U157" s="86">
        <f>I157*0.15</f>
        <v>982500</v>
      </c>
      <c r="V157" s="86"/>
      <c r="W157" s="93" t="s">
        <v>1216</v>
      </c>
      <c r="X157" s="86">
        <f>I157*0.05</f>
        <v>327500</v>
      </c>
      <c r="Y157" s="86"/>
      <c r="Z157" s="93"/>
      <c r="AA157" s="86"/>
      <c r="AB157" s="86"/>
      <c r="AC157" s="93"/>
      <c r="AD157" s="86"/>
      <c r="AE157" s="86"/>
      <c r="AF157" s="93"/>
      <c r="AG157" s="86"/>
      <c r="AH157" s="86"/>
      <c r="AI157" s="93"/>
      <c r="AJ157" s="86"/>
      <c r="AK157" s="107"/>
      <c r="AL157" s="108">
        <f t="shared" si="53"/>
        <v>5240000</v>
      </c>
      <c r="AM157" s="109">
        <f t="shared" si="54"/>
        <v>1310000</v>
      </c>
      <c r="AN157" s="110">
        <f t="shared" si="55"/>
        <v>0.8</v>
      </c>
      <c r="AO157" s="109">
        <f t="shared" si="56"/>
        <v>6550000</v>
      </c>
      <c r="AP157" s="117" t="str">
        <f t="shared" si="50"/>
        <v>数据正确</v>
      </c>
    </row>
    <row r="158" s="37" customFormat="1" customHeight="1" outlineLevel="1" spans="1:42">
      <c r="A158" s="37" t="str">
        <f t="shared" si="52"/>
        <v/>
      </c>
      <c r="C158" s="37" t="s">
        <v>84</v>
      </c>
      <c r="D158" s="61">
        <v>230.2</v>
      </c>
      <c r="E158" s="62" t="s">
        <v>1217</v>
      </c>
      <c r="F158" s="59" t="s">
        <v>24</v>
      </c>
      <c r="G158" s="63"/>
      <c r="H158" s="64">
        <v>42990</v>
      </c>
      <c r="I158" s="144">
        <v>2523152.63</v>
      </c>
      <c r="J158" s="62" t="s">
        <v>1211</v>
      </c>
      <c r="K158" s="62" t="s">
        <v>1212</v>
      </c>
      <c r="L158" s="62"/>
      <c r="M158" s="87" t="s">
        <v>695</v>
      </c>
      <c r="N158" s="88" t="s">
        <v>1213</v>
      </c>
      <c r="O158" s="86">
        <f>I158*0.2</f>
        <v>504630.526</v>
      </c>
      <c r="P158" s="86">
        <v>504630.53</v>
      </c>
      <c r="Q158" s="93" t="s">
        <v>1214</v>
      </c>
      <c r="R158" s="86">
        <f>I158*0.6</f>
        <v>1513891.578</v>
      </c>
      <c r="S158" s="86">
        <v>1513891.58</v>
      </c>
      <c r="T158" s="93" t="s">
        <v>1215</v>
      </c>
      <c r="U158" s="86">
        <f>I158*0.15</f>
        <v>378472.8945</v>
      </c>
      <c r="V158" s="86"/>
      <c r="W158" s="93" t="s">
        <v>1216</v>
      </c>
      <c r="X158" s="86">
        <f>I158*0.05</f>
        <v>126157.6315</v>
      </c>
      <c r="Y158" s="86"/>
      <c r="Z158" s="93"/>
      <c r="AA158" s="86"/>
      <c r="AB158" s="86"/>
      <c r="AC158" s="93"/>
      <c r="AD158" s="86"/>
      <c r="AE158" s="86"/>
      <c r="AF158" s="93"/>
      <c r="AG158" s="86"/>
      <c r="AH158" s="86"/>
      <c r="AI158" s="93"/>
      <c r="AJ158" s="86"/>
      <c r="AK158" s="107"/>
      <c r="AL158" s="108">
        <f t="shared" si="53"/>
        <v>2018522.11</v>
      </c>
      <c r="AM158" s="109">
        <f t="shared" si="54"/>
        <v>504630.52</v>
      </c>
      <c r="AN158" s="110">
        <f t="shared" si="55"/>
        <v>0.800000002377978</v>
      </c>
      <c r="AO158" s="109">
        <f t="shared" si="56"/>
        <v>2523152.63</v>
      </c>
      <c r="AP158" s="117" t="str">
        <f t="shared" si="50"/>
        <v>数据正确</v>
      </c>
    </row>
    <row r="159" s="120" customFormat="1" customHeight="1" spans="1:42">
      <c r="A159" s="120" t="str">
        <f t="shared" si="52"/>
        <v/>
      </c>
      <c r="C159" s="37" t="s">
        <v>84</v>
      </c>
      <c r="D159" s="125">
        <v>230</v>
      </c>
      <c r="E159" s="126" t="s">
        <v>75</v>
      </c>
      <c r="F159" s="171" t="s">
        <v>24</v>
      </c>
      <c r="G159" s="127" t="s">
        <v>75</v>
      </c>
      <c r="H159" s="128">
        <v>42981</v>
      </c>
      <c r="I159" s="145">
        <f>SUM(I157:I158)</f>
        <v>9073152.63</v>
      </c>
      <c r="J159" s="126" t="s">
        <v>1211</v>
      </c>
      <c r="K159" s="126" t="s">
        <v>1212</v>
      </c>
      <c r="L159" s="126"/>
      <c r="M159" s="146" t="s">
        <v>695</v>
      </c>
      <c r="N159" s="147" t="s">
        <v>1213</v>
      </c>
      <c r="O159" s="148">
        <f>SUM(O157:O158)</f>
        <v>1814630.526</v>
      </c>
      <c r="P159" s="148">
        <f>SUM(P157:P158)</f>
        <v>1814630.53</v>
      </c>
      <c r="Q159" s="170" t="s">
        <v>1214</v>
      </c>
      <c r="R159" s="148">
        <f>SUM(R157:R158)</f>
        <v>5443891.578</v>
      </c>
      <c r="S159" s="148">
        <f>SUM(S157:S158)</f>
        <v>5443891.58</v>
      </c>
      <c r="T159" s="170" t="s">
        <v>1215</v>
      </c>
      <c r="U159" s="148">
        <f>SUM(U157:U158)</f>
        <v>1360972.8945</v>
      </c>
      <c r="V159" s="148">
        <f>SUM(V157:V158)</f>
        <v>0</v>
      </c>
      <c r="W159" s="170" t="s">
        <v>1216</v>
      </c>
      <c r="X159" s="148">
        <f>SUM(X157:X158)</f>
        <v>453657.6315</v>
      </c>
      <c r="Y159" s="148">
        <f t="shared" ref="Y159:AK159" si="57">SUM(Y157:Y158)</f>
        <v>0</v>
      </c>
      <c r="Z159" s="148" t="s">
        <v>75</v>
      </c>
      <c r="AA159" s="148">
        <f t="shared" si="57"/>
        <v>0</v>
      </c>
      <c r="AB159" s="148">
        <f t="shared" si="57"/>
        <v>0</v>
      </c>
      <c r="AC159" s="148" t="s">
        <v>75</v>
      </c>
      <c r="AD159" s="148">
        <f t="shared" si="57"/>
        <v>0</v>
      </c>
      <c r="AE159" s="148">
        <f t="shared" si="57"/>
        <v>0</v>
      </c>
      <c r="AF159" s="148" t="s">
        <v>75</v>
      </c>
      <c r="AG159" s="148">
        <f t="shared" si="57"/>
        <v>0</v>
      </c>
      <c r="AH159" s="148">
        <f t="shared" si="57"/>
        <v>0</v>
      </c>
      <c r="AI159" s="148" t="s">
        <v>75</v>
      </c>
      <c r="AJ159" s="148">
        <f t="shared" si="57"/>
        <v>0</v>
      </c>
      <c r="AK159" s="161">
        <f t="shared" si="57"/>
        <v>0</v>
      </c>
      <c r="AL159" s="162">
        <f t="shared" si="53"/>
        <v>7258522.11</v>
      </c>
      <c r="AM159" s="155">
        <f t="shared" si="54"/>
        <v>1814630.52</v>
      </c>
      <c r="AN159" s="163">
        <f t="shared" si="55"/>
        <v>0.800000000661292</v>
      </c>
      <c r="AO159" s="155">
        <f t="shared" si="56"/>
        <v>9073152.63</v>
      </c>
      <c r="AP159" s="168" t="str">
        <f t="shared" si="50"/>
        <v>数据正确</v>
      </c>
    </row>
    <row r="160" s="37" customFormat="1" customHeight="1" spans="1:42">
      <c r="A160" s="37" t="str">
        <f t="shared" si="52"/>
        <v/>
      </c>
      <c r="C160" s="37" t="s">
        <v>84</v>
      </c>
      <c r="D160" s="61">
        <v>231</v>
      </c>
      <c r="E160" s="62" t="s">
        <v>1218</v>
      </c>
      <c r="F160" s="59" t="s">
        <v>24</v>
      </c>
      <c r="G160" s="63"/>
      <c r="H160" s="64">
        <v>42962</v>
      </c>
      <c r="I160" s="144">
        <v>1750000</v>
      </c>
      <c r="J160" s="62" t="s">
        <v>1219</v>
      </c>
      <c r="K160" s="62" t="s">
        <v>1220</v>
      </c>
      <c r="L160" s="62" t="s">
        <v>410</v>
      </c>
      <c r="M160" s="87" t="s">
        <v>76</v>
      </c>
      <c r="N160" s="88" t="s">
        <v>1221</v>
      </c>
      <c r="O160" s="86">
        <f>I160*0.2</f>
        <v>350000</v>
      </c>
      <c r="P160" s="86">
        <v>350000</v>
      </c>
      <c r="Q160" s="93" t="s">
        <v>1222</v>
      </c>
      <c r="R160" s="86">
        <f>I160*0.6</f>
        <v>1050000</v>
      </c>
      <c r="S160" s="86"/>
      <c r="T160" s="93" t="s">
        <v>1223</v>
      </c>
      <c r="U160" s="86">
        <f>I160*0.1</f>
        <v>175000</v>
      </c>
      <c r="V160" s="86"/>
      <c r="W160" s="93" t="s">
        <v>1224</v>
      </c>
      <c r="X160" s="86">
        <f>I160*0.1</f>
        <v>175000</v>
      </c>
      <c r="Y160" s="86"/>
      <c r="Z160" s="93"/>
      <c r="AA160" s="86"/>
      <c r="AB160" s="86"/>
      <c r="AC160" s="93"/>
      <c r="AD160" s="86"/>
      <c r="AE160" s="86"/>
      <c r="AF160" s="93"/>
      <c r="AG160" s="86"/>
      <c r="AH160" s="86"/>
      <c r="AI160" s="93"/>
      <c r="AJ160" s="86"/>
      <c r="AK160" s="107"/>
      <c r="AL160" s="108">
        <f t="shared" si="53"/>
        <v>350000</v>
      </c>
      <c r="AM160" s="109">
        <f t="shared" si="54"/>
        <v>1400000</v>
      </c>
      <c r="AN160" s="110">
        <f t="shared" si="55"/>
        <v>0.2</v>
      </c>
      <c r="AO160" s="109">
        <f t="shared" si="56"/>
        <v>1750000</v>
      </c>
      <c r="AP160" s="117" t="str">
        <f t="shared" si="50"/>
        <v>数据正确</v>
      </c>
    </row>
    <row r="161" s="37" customFormat="1" customHeight="1" spans="1:42">
      <c r="A161" s="37" t="str">
        <f t="shared" si="52"/>
        <v/>
      </c>
      <c r="C161" s="37" t="s">
        <v>84</v>
      </c>
      <c r="D161" s="61">
        <v>233</v>
      </c>
      <c r="E161" s="62" t="s">
        <v>1225</v>
      </c>
      <c r="F161" s="59" t="s">
        <v>24</v>
      </c>
      <c r="G161" s="63"/>
      <c r="H161" s="64">
        <v>42997</v>
      </c>
      <c r="I161" s="144">
        <v>750000</v>
      </c>
      <c r="J161" s="62" t="s">
        <v>1226</v>
      </c>
      <c r="K161" s="62" t="s">
        <v>914</v>
      </c>
      <c r="L161" s="62"/>
      <c r="M161" s="87" t="s">
        <v>528</v>
      </c>
      <c r="N161" s="88" t="s">
        <v>1182</v>
      </c>
      <c r="O161" s="86">
        <f>I161*0.8</f>
        <v>600000</v>
      </c>
      <c r="P161" s="86"/>
      <c r="Q161" s="93" t="s">
        <v>1227</v>
      </c>
      <c r="R161" s="86">
        <f>I161*0.1</f>
        <v>75000</v>
      </c>
      <c r="S161" s="86"/>
      <c r="T161" s="93" t="s">
        <v>1228</v>
      </c>
      <c r="U161" s="86">
        <f>I161*0.1</f>
        <v>75000</v>
      </c>
      <c r="V161" s="86"/>
      <c r="W161" s="93"/>
      <c r="X161" s="86"/>
      <c r="Y161" s="86"/>
      <c r="Z161" s="93"/>
      <c r="AA161" s="86"/>
      <c r="AB161" s="86"/>
      <c r="AC161" s="93"/>
      <c r="AD161" s="86"/>
      <c r="AE161" s="86"/>
      <c r="AF161" s="93"/>
      <c r="AG161" s="86"/>
      <c r="AH161" s="86"/>
      <c r="AI161" s="93"/>
      <c r="AJ161" s="86"/>
      <c r="AK161" s="107"/>
      <c r="AL161" s="108">
        <f t="shared" si="53"/>
        <v>0</v>
      </c>
      <c r="AM161" s="109">
        <f t="shared" si="54"/>
        <v>750000</v>
      </c>
      <c r="AN161" s="110">
        <f t="shared" si="55"/>
        <v>0</v>
      </c>
      <c r="AO161" s="109">
        <f t="shared" si="56"/>
        <v>750000</v>
      </c>
      <c r="AP161" s="117" t="str">
        <f t="shared" si="50"/>
        <v>数据正确</v>
      </c>
    </row>
    <row r="162" s="37" customFormat="1" customHeight="1" spans="1:42">
      <c r="A162" s="37" t="str">
        <f t="shared" si="52"/>
        <v/>
      </c>
      <c r="C162" s="37" t="s">
        <v>84</v>
      </c>
      <c r="D162" s="61">
        <v>245</v>
      </c>
      <c r="E162" s="62" t="s">
        <v>1229</v>
      </c>
      <c r="F162" s="59" t="s">
        <v>24</v>
      </c>
      <c r="G162" s="63">
        <v>2017070074</v>
      </c>
      <c r="H162" s="64">
        <v>42972</v>
      </c>
      <c r="I162" s="144">
        <v>280000</v>
      </c>
      <c r="J162" s="62" t="s">
        <v>1230</v>
      </c>
      <c r="K162" s="62" t="s">
        <v>1231</v>
      </c>
      <c r="L162" s="62"/>
      <c r="M162" s="87" t="s">
        <v>1232</v>
      </c>
      <c r="N162" s="88" t="s">
        <v>1233</v>
      </c>
      <c r="O162" s="86">
        <f>I162*0.95</f>
        <v>266000</v>
      </c>
      <c r="P162" s="86"/>
      <c r="Q162" s="93" t="s">
        <v>1200</v>
      </c>
      <c r="R162" s="86">
        <f>I162*0.05</f>
        <v>14000</v>
      </c>
      <c r="S162" s="86"/>
      <c r="T162" s="93"/>
      <c r="U162" s="86"/>
      <c r="V162" s="86"/>
      <c r="W162" s="93"/>
      <c r="X162" s="86"/>
      <c r="Y162" s="86"/>
      <c r="Z162" s="93"/>
      <c r="AA162" s="86"/>
      <c r="AB162" s="86"/>
      <c r="AC162" s="93"/>
      <c r="AD162" s="86"/>
      <c r="AE162" s="86"/>
      <c r="AF162" s="93"/>
      <c r="AG162" s="86"/>
      <c r="AH162" s="86"/>
      <c r="AI162" s="93"/>
      <c r="AJ162" s="86"/>
      <c r="AK162" s="107"/>
      <c r="AL162" s="108">
        <f t="shared" si="53"/>
        <v>0</v>
      </c>
      <c r="AM162" s="109">
        <f t="shared" si="54"/>
        <v>280000</v>
      </c>
      <c r="AN162" s="110">
        <f t="shared" si="55"/>
        <v>0</v>
      </c>
      <c r="AO162" s="109">
        <f t="shared" si="56"/>
        <v>280000</v>
      </c>
      <c r="AP162" s="117" t="str">
        <f t="shared" si="50"/>
        <v>数据正确</v>
      </c>
    </row>
    <row r="163" s="37" customFormat="1" customHeight="1" spans="1:42">
      <c r="A163" s="37" t="str">
        <f t="shared" si="52"/>
        <v/>
      </c>
      <c r="C163" s="37" t="s">
        <v>84</v>
      </c>
      <c r="D163" s="61">
        <v>246</v>
      </c>
      <c r="E163" s="62" t="s">
        <v>1234</v>
      </c>
      <c r="F163" s="59" t="s">
        <v>24</v>
      </c>
      <c r="G163" s="63" t="s">
        <v>1235</v>
      </c>
      <c r="H163" s="64">
        <v>42980</v>
      </c>
      <c r="I163" s="144">
        <v>38000</v>
      </c>
      <c r="J163" s="62" t="s">
        <v>1236</v>
      </c>
      <c r="K163" s="62" t="s">
        <v>1237</v>
      </c>
      <c r="L163" s="62"/>
      <c r="M163" s="87" t="s">
        <v>76</v>
      </c>
      <c r="N163" s="88" t="s">
        <v>1203</v>
      </c>
      <c r="O163" s="86">
        <f>I163</f>
        <v>38000</v>
      </c>
      <c r="P163" s="86"/>
      <c r="Q163" s="93"/>
      <c r="R163" s="86"/>
      <c r="S163" s="86"/>
      <c r="T163" s="93"/>
      <c r="U163" s="86"/>
      <c r="V163" s="86"/>
      <c r="W163" s="93"/>
      <c r="X163" s="86"/>
      <c r="Y163" s="86"/>
      <c r="Z163" s="93"/>
      <c r="AA163" s="86"/>
      <c r="AB163" s="86"/>
      <c r="AC163" s="93"/>
      <c r="AD163" s="86"/>
      <c r="AE163" s="86"/>
      <c r="AF163" s="93"/>
      <c r="AG163" s="86"/>
      <c r="AH163" s="86"/>
      <c r="AI163" s="93"/>
      <c r="AJ163" s="86"/>
      <c r="AK163" s="107"/>
      <c r="AL163" s="108">
        <f t="shared" si="53"/>
        <v>0</v>
      </c>
      <c r="AM163" s="109">
        <f t="shared" si="54"/>
        <v>38000</v>
      </c>
      <c r="AN163" s="110">
        <f t="shared" si="55"/>
        <v>0</v>
      </c>
      <c r="AO163" s="109">
        <f t="shared" si="56"/>
        <v>38000</v>
      </c>
      <c r="AP163" s="117" t="str">
        <f t="shared" si="50"/>
        <v>数据正确</v>
      </c>
    </row>
    <row r="164" s="37" customFormat="1" customHeight="1" spans="1:42">
      <c r="A164" s="37" t="e">
        <f t="shared" ref="A164:A191" si="58">IF(AN164=100%,"已完毕","")</f>
        <v>#DIV/0!</v>
      </c>
      <c r="D164" s="61"/>
      <c r="E164" s="62"/>
      <c r="F164" s="63"/>
      <c r="G164" s="63"/>
      <c r="H164" s="64"/>
      <c r="I164" s="144"/>
      <c r="J164" s="62"/>
      <c r="K164" s="62"/>
      <c r="L164" s="62"/>
      <c r="M164" s="87"/>
      <c r="N164" s="88"/>
      <c r="O164" s="86"/>
      <c r="P164" s="86"/>
      <c r="Q164" s="93"/>
      <c r="R164" s="86"/>
      <c r="S164" s="86"/>
      <c r="T164" s="93"/>
      <c r="U164" s="86"/>
      <c r="V164" s="86"/>
      <c r="W164" s="93"/>
      <c r="X164" s="86"/>
      <c r="Y164" s="86"/>
      <c r="Z164" s="93"/>
      <c r="AA164" s="86"/>
      <c r="AB164" s="86"/>
      <c r="AC164" s="93"/>
      <c r="AD164" s="86"/>
      <c r="AE164" s="86"/>
      <c r="AF164" s="93"/>
      <c r="AG164" s="86"/>
      <c r="AH164" s="86"/>
      <c r="AI164" s="93"/>
      <c r="AJ164" s="86"/>
      <c r="AK164" s="107"/>
      <c r="AL164" s="108">
        <f t="shared" ref="AL164:AL191" si="59">P164+S164+V164+Y164+AB164+AE164+AH164+AK164</f>
        <v>0</v>
      </c>
      <c r="AM164" s="109">
        <f t="shared" ref="AM164:AM191" si="60">I164-AL164</f>
        <v>0</v>
      </c>
      <c r="AN164" s="110" t="e">
        <f t="shared" ref="AN164:AN191" si="61">AL164/I164</f>
        <v>#DIV/0!</v>
      </c>
      <c r="AO164" s="109">
        <f t="shared" ref="AO164:AO191" si="62">O164+R164+U164+X164+AA164+AD164+AG164+AJ164</f>
        <v>0</v>
      </c>
      <c r="AP164" s="117" t="str">
        <f t="shared" ref="AP164:AP191" si="63">IF(AO164-I164=0,"数据正确","数据错误")</f>
        <v>数据正确</v>
      </c>
    </row>
    <row r="165" s="37" customFormat="1" customHeight="1" spans="1:42">
      <c r="A165" s="37" t="e">
        <f t="shared" si="58"/>
        <v>#DIV/0!</v>
      </c>
      <c r="D165" s="61"/>
      <c r="E165" s="62"/>
      <c r="F165" s="63"/>
      <c r="G165" s="63"/>
      <c r="H165" s="64"/>
      <c r="I165" s="144"/>
      <c r="J165" s="62"/>
      <c r="K165" s="62"/>
      <c r="L165" s="62"/>
      <c r="M165" s="87"/>
      <c r="N165" s="88"/>
      <c r="O165" s="86"/>
      <c r="P165" s="86"/>
      <c r="Q165" s="93"/>
      <c r="R165" s="86"/>
      <c r="S165" s="86"/>
      <c r="T165" s="93"/>
      <c r="U165" s="86"/>
      <c r="V165" s="86"/>
      <c r="W165" s="93"/>
      <c r="X165" s="86"/>
      <c r="Y165" s="86"/>
      <c r="Z165" s="93"/>
      <c r="AA165" s="86"/>
      <c r="AB165" s="86"/>
      <c r="AC165" s="93"/>
      <c r="AD165" s="86"/>
      <c r="AE165" s="86"/>
      <c r="AF165" s="93"/>
      <c r="AG165" s="86"/>
      <c r="AH165" s="86"/>
      <c r="AI165" s="93"/>
      <c r="AJ165" s="86"/>
      <c r="AK165" s="107"/>
      <c r="AL165" s="108">
        <f t="shared" si="59"/>
        <v>0</v>
      </c>
      <c r="AM165" s="109">
        <f t="shared" si="60"/>
        <v>0</v>
      </c>
      <c r="AN165" s="110" t="e">
        <f t="shared" si="61"/>
        <v>#DIV/0!</v>
      </c>
      <c r="AO165" s="109">
        <f t="shared" si="62"/>
        <v>0</v>
      </c>
      <c r="AP165" s="117" t="str">
        <f t="shared" si="63"/>
        <v>数据正确</v>
      </c>
    </row>
    <row r="166" s="37" customFormat="1" customHeight="1" spans="1:42">
      <c r="A166" s="37" t="e">
        <f t="shared" si="58"/>
        <v>#DIV/0!</v>
      </c>
      <c r="D166" s="61"/>
      <c r="E166" s="62"/>
      <c r="F166" s="63"/>
      <c r="G166" s="63"/>
      <c r="H166" s="64"/>
      <c r="I166" s="144"/>
      <c r="J166" s="62"/>
      <c r="K166" s="62"/>
      <c r="L166" s="62"/>
      <c r="M166" s="87"/>
      <c r="N166" s="88"/>
      <c r="O166" s="86"/>
      <c r="P166" s="86"/>
      <c r="Q166" s="93"/>
      <c r="R166" s="86"/>
      <c r="S166" s="86"/>
      <c r="T166" s="93"/>
      <c r="U166" s="86"/>
      <c r="V166" s="86"/>
      <c r="W166" s="93"/>
      <c r="X166" s="86"/>
      <c r="Y166" s="86"/>
      <c r="Z166" s="93"/>
      <c r="AA166" s="86"/>
      <c r="AB166" s="86"/>
      <c r="AC166" s="93"/>
      <c r="AD166" s="86"/>
      <c r="AE166" s="86"/>
      <c r="AF166" s="93"/>
      <c r="AG166" s="86"/>
      <c r="AH166" s="86"/>
      <c r="AI166" s="93"/>
      <c r="AJ166" s="86"/>
      <c r="AK166" s="107"/>
      <c r="AL166" s="108">
        <f t="shared" si="59"/>
        <v>0</v>
      </c>
      <c r="AM166" s="109">
        <f t="shared" si="60"/>
        <v>0</v>
      </c>
      <c r="AN166" s="110" t="e">
        <f t="shared" si="61"/>
        <v>#DIV/0!</v>
      </c>
      <c r="AO166" s="109">
        <f t="shared" si="62"/>
        <v>0</v>
      </c>
      <c r="AP166" s="117" t="str">
        <f t="shared" si="63"/>
        <v>数据正确</v>
      </c>
    </row>
    <row r="167" s="37" customFormat="1" customHeight="1" spans="1:42">
      <c r="A167" s="37" t="e">
        <f t="shared" si="58"/>
        <v>#DIV/0!</v>
      </c>
      <c r="D167" s="61"/>
      <c r="E167" s="62"/>
      <c r="F167" s="63"/>
      <c r="G167" s="63"/>
      <c r="H167" s="64"/>
      <c r="I167" s="144"/>
      <c r="J167" s="62"/>
      <c r="K167" s="62"/>
      <c r="L167" s="62"/>
      <c r="M167" s="87"/>
      <c r="N167" s="88"/>
      <c r="O167" s="86"/>
      <c r="P167" s="86"/>
      <c r="Q167" s="93"/>
      <c r="R167" s="86"/>
      <c r="S167" s="86"/>
      <c r="T167" s="93"/>
      <c r="U167" s="86"/>
      <c r="V167" s="86"/>
      <c r="W167" s="93"/>
      <c r="X167" s="86"/>
      <c r="Y167" s="86"/>
      <c r="Z167" s="93"/>
      <c r="AA167" s="86"/>
      <c r="AB167" s="86"/>
      <c r="AC167" s="93"/>
      <c r="AD167" s="86"/>
      <c r="AE167" s="86"/>
      <c r="AF167" s="93"/>
      <c r="AG167" s="86"/>
      <c r="AH167" s="86"/>
      <c r="AI167" s="93"/>
      <c r="AJ167" s="86"/>
      <c r="AK167" s="107"/>
      <c r="AL167" s="108">
        <f t="shared" si="59"/>
        <v>0</v>
      </c>
      <c r="AM167" s="109">
        <f t="shared" si="60"/>
        <v>0</v>
      </c>
      <c r="AN167" s="110" t="e">
        <f t="shared" si="61"/>
        <v>#DIV/0!</v>
      </c>
      <c r="AO167" s="109">
        <f t="shared" si="62"/>
        <v>0</v>
      </c>
      <c r="AP167" s="117" t="str">
        <f t="shared" si="63"/>
        <v>数据正确</v>
      </c>
    </row>
    <row r="168" s="37" customFormat="1" customHeight="1" spans="1:42">
      <c r="A168" s="37" t="e">
        <f t="shared" si="58"/>
        <v>#DIV/0!</v>
      </c>
      <c r="D168" s="61"/>
      <c r="E168" s="62"/>
      <c r="F168" s="63"/>
      <c r="G168" s="63"/>
      <c r="H168" s="64"/>
      <c r="I168" s="144"/>
      <c r="J168" s="62"/>
      <c r="K168" s="62"/>
      <c r="L168" s="62"/>
      <c r="M168" s="87"/>
      <c r="N168" s="88"/>
      <c r="O168" s="86"/>
      <c r="P168" s="86"/>
      <c r="Q168" s="93"/>
      <c r="R168" s="86"/>
      <c r="S168" s="86"/>
      <c r="T168" s="93"/>
      <c r="U168" s="86"/>
      <c r="V168" s="86"/>
      <c r="W168" s="93"/>
      <c r="X168" s="86"/>
      <c r="Y168" s="86"/>
      <c r="Z168" s="93"/>
      <c r="AA168" s="86"/>
      <c r="AB168" s="86"/>
      <c r="AC168" s="93"/>
      <c r="AD168" s="86"/>
      <c r="AE168" s="86"/>
      <c r="AF168" s="93"/>
      <c r="AG168" s="86"/>
      <c r="AH168" s="86"/>
      <c r="AI168" s="93"/>
      <c r="AJ168" s="86"/>
      <c r="AK168" s="107"/>
      <c r="AL168" s="108">
        <f t="shared" si="59"/>
        <v>0</v>
      </c>
      <c r="AM168" s="109">
        <f t="shared" si="60"/>
        <v>0</v>
      </c>
      <c r="AN168" s="110" t="e">
        <f t="shared" si="61"/>
        <v>#DIV/0!</v>
      </c>
      <c r="AO168" s="109">
        <f t="shared" si="62"/>
        <v>0</v>
      </c>
      <c r="AP168" s="117" t="str">
        <f t="shared" si="63"/>
        <v>数据正确</v>
      </c>
    </row>
    <row r="169" s="37" customFormat="1" customHeight="1" spans="1:42">
      <c r="A169" s="37" t="e">
        <f t="shared" si="58"/>
        <v>#DIV/0!</v>
      </c>
      <c r="D169" s="61"/>
      <c r="E169" s="62"/>
      <c r="F169" s="63"/>
      <c r="G169" s="63"/>
      <c r="H169" s="64"/>
      <c r="I169" s="144"/>
      <c r="J169" s="62"/>
      <c r="K169" s="62"/>
      <c r="L169" s="62"/>
      <c r="M169" s="87"/>
      <c r="N169" s="88"/>
      <c r="O169" s="86"/>
      <c r="P169" s="86"/>
      <c r="Q169" s="93"/>
      <c r="R169" s="86"/>
      <c r="S169" s="86"/>
      <c r="T169" s="93"/>
      <c r="U169" s="86"/>
      <c r="V169" s="86"/>
      <c r="W169" s="93"/>
      <c r="X169" s="86"/>
      <c r="Y169" s="86"/>
      <c r="Z169" s="93"/>
      <c r="AA169" s="86"/>
      <c r="AB169" s="86"/>
      <c r="AC169" s="93"/>
      <c r="AD169" s="86"/>
      <c r="AE169" s="86"/>
      <c r="AF169" s="93"/>
      <c r="AG169" s="86"/>
      <c r="AH169" s="86"/>
      <c r="AI169" s="93"/>
      <c r="AJ169" s="86"/>
      <c r="AK169" s="107"/>
      <c r="AL169" s="108">
        <f t="shared" si="59"/>
        <v>0</v>
      </c>
      <c r="AM169" s="109">
        <f t="shared" si="60"/>
        <v>0</v>
      </c>
      <c r="AN169" s="110" t="e">
        <f t="shared" si="61"/>
        <v>#DIV/0!</v>
      </c>
      <c r="AO169" s="109">
        <f t="shared" si="62"/>
        <v>0</v>
      </c>
      <c r="AP169" s="117" t="str">
        <f t="shared" si="63"/>
        <v>数据正确</v>
      </c>
    </row>
    <row r="170" s="37" customFormat="1" customHeight="1" spans="1:42">
      <c r="A170" s="37" t="e">
        <f t="shared" si="58"/>
        <v>#DIV/0!</v>
      </c>
      <c r="D170" s="61"/>
      <c r="E170" s="62"/>
      <c r="F170" s="63"/>
      <c r="G170" s="63"/>
      <c r="H170" s="64"/>
      <c r="I170" s="144"/>
      <c r="J170" s="62"/>
      <c r="K170" s="62"/>
      <c r="L170" s="62"/>
      <c r="M170" s="87"/>
      <c r="N170" s="88"/>
      <c r="O170" s="86"/>
      <c r="P170" s="86"/>
      <c r="Q170" s="93"/>
      <c r="R170" s="86"/>
      <c r="S170" s="86"/>
      <c r="T170" s="93"/>
      <c r="U170" s="86"/>
      <c r="V170" s="86"/>
      <c r="W170" s="93"/>
      <c r="X170" s="86"/>
      <c r="Y170" s="86"/>
      <c r="Z170" s="93"/>
      <c r="AA170" s="86"/>
      <c r="AB170" s="86"/>
      <c r="AC170" s="93"/>
      <c r="AD170" s="86"/>
      <c r="AE170" s="86"/>
      <c r="AF170" s="93"/>
      <c r="AG170" s="86"/>
      <c r="AH170" s="86"/>
      <c r="AI170" s="93"/>
      <c r="AJ170" s="86"/>
      <c r="AK170" s="107"/>
      <c r="AL170" s="108">
        <f t="shared" si="59"/>
        <v>0</v>
      </c>
      <c r="AM170" s="109">
        <f t="shared" si="60"/>
        <v>0</v>
      </c>
      <c r="AN170" s="110" t="e">
        <f t="shared" si="61"/>
        <v>#DIV/0!</v>
      </c>
      <c r="AO170" s="109">
        <f t="shared" si="62"/>
        <v>0</v>
      </c>
      <c r="AP170" s="117" t="str">
        <f t="shared" si="63"/>
        <v>数据正确</v>
      </c>
    </row>
    <row r="171" s="37" customFormat="1" customHeight="1" spans="1:42">
      <c r="A171" s="37" t="e">
        <f t="shared" si="58"/>
        <v>#DIV/0!</v>
      </c>
      <c r="D171" s="61"/>
      <c r="E171" s="62"/>
      <c r="F171" s="63"/>
      <c r="G171" s="63"/>
      <c r="H171" s="64"/>
      <c r="I171" s="144"/>
      <c r="J171" s="62"/>
      <c r="K171" s="62"/>
      <c r="L171" s="62"/>
      <c r="M171" s="87"/>
      <c r="N171" s="88"/>
      <c r="O171" s="86"/>
      <c r="P171" s="86"/>
      <c r="Q171" s="93"/>
      <c r="R171" s="86"/>
      <c r="S171" s="86"/>
      <c r="T171" s="93"/>
      <c r="U171" s="86"/>
      <c r="V171" s="86"/>
      <c r="W171" s="93"/>
      <c r="X171" s="86"/>
      <c r="Y171" s="86"/>
      <c r="Z171" s="93"/>
      <c r="AA171" s="86"/>
      <c r="AB171" s="86"/>
      <c r="AC171" s="93"/>
      <c r="AD171" s="86"/>
      <c r="AE171" s="86"/>
      <c r="AF171" s="93"/>
      <c r="AG171" s="86"/>
      <c r="AH171" s="86"/>
      <c r="AI171" s="93"/>
      <c r="AJ171" s="86"/>
      <c r="AK171" s="107"/>
      <c r="AL171" s="108">
        <f t="shared" si="59"/>
        <v>0</v>
      </c>
      <c r="AM171" s="109">
        <f t="shared" si="60"/>
        <v>0</v>
      </c>
      <c r="AN171" s="110" t="e">
        <f t="shared" si="61"/>
        <v>#DIV/0!</v>
      </c>
      <c r="AO171" s="109">
        <f t="shared" si="62"/>
        <v>0</v>
      </c>
      <c r="AP171" s="117" t="str">
        <f t="shared" si="63"/>
        <v>数据正确</v>
      </c>
    </row>
    <row r="172" s="37" customFormat="1" customHeight="1" spans="1:42">
      <c r="A172" s="37" t="e">
        <f t="shared" si="58"/>
        <v>#DIV/0!</v>
      </c>
      <c r="D172" s="61"/>
      <c r="E172" s="62"/>
      <c r="F172" s="63"/>
      <c r="G172" s="63"/>
      <c r="H172" s="64"/>
      <c r="I172" s="144"/>
      <c r="J172" s="62"/>
      <c r="K172" s="62"/>
      <c r="L172" s="62"/>
      <c r="M172" s="87"/>
      <c r="N172" s="88"/>
      <c r="O172" s="86"/>
      <c r="P172" s="86"/>
      <c r="Q172" s="93"/>
      <c r="R172" s="86"/>
      <c r="S172" s="86"/>
      <c r="T172" s="93"/>
      <c r="U172" s="86"/>
      <c r="V172" s="86"/>
      <c r="W172" s="93"/>
      <c r="X172" s="86"/>
      <c r="Y172" s="86"/>
      <c r="Z172" s="93"/>
      <c r="AA172" s="86"/>
      <c r="AB172" s="86"/>
      <c r="AC172" s="93"/>
      <c r="AD172" s="86"/>
      <c r="AE172" s="86"/>
      <c r="AF172" s="93"/>
      <c r="AG172" s="86"/>
      <c r="AH172" s="86"/>
      <c r="AI172" s="93"/>
      <c r="AJ172" s="86"/>
      <c r="AK172" s="107"/>
      <c r="AL172" s="108">
        <f t="shared" si="59"/>
        <v>0</v>
      </c>
      <c r="AM172" s="109">
        <f t="shared" si="60"/>
        <v>0</v>
      </c>
      <c r="AN172" s="110" t="e">
        <f t="shared" si="61"/>
        <v>#DIV/0!</v>
      </c>
      <c r="AO172" s="109">
        <f t="shared" si="62"/>
        <v>0</v>
      </c>
      <c r="AP172" s="117" t="str">
        <f t="shared" si="63"/>
        <v>数据正确</v>
      </c>
    </row>
    <row r="173" s="37" customFormat="1" customHeight="1" spans="1:42">
      <c r="A173" s="37" t="e">
        <f t="shared" si="58"/>
        <v>#DIV/0!</v>
      </c>
      <c r="D173" s="61"/>
      <c r="E173" s="62"/>
      <c r="F173" s="63"/>
      <c r="G173" s="63"/>
      <c r="H173" s="64"/>
      <c r="I173" s="144"/>
      <c r="J173" s="62"/>
      <c r="K173" s="62"/>
      <c r="L173" s="62"/>
      <c r="M173" s="87"/>
      <c r="N173" s="88"/>
      <c r="O173" s="86"/>
      <c r="P173" s="86"/>
      <c r="Q173" s="93"/>
      <c r="R173" s="86"/>
      <c r="S173" s="86"/>
      <c r="T173" s="93"/>
      <c r="U173" s="86"/>
      <c r="V173" s="86"/>
      <c r="W173" s="93"/>
      <c r="X173" s="86"/>
      <c r="Y173" s="86"/>
      <c r="Z173" s="93"/>
      <c r="AA173" s="86"/>
      <c r="AB173" s="86"/>
      <c r="AC173" s="93"/>
      <c r="AD173" s="86"/>
      <c r="AE173" s="86"/>
      <c r="AF173" s="93"/>
      <c r="AG173" s="86"/>
      <c r="AH173" s="86"/>
      <c r="AI173" s="93"/>
      <c r="AJ173" s="86"/>
      <c r="AK173" s="107"/>
      <c r="AL173" s="108">
        <f t="shared" si="59"/>
        <v>0</v>
      </c>
      <c r="AM173" s="109">
        <f t="shared" si="60"/>
        <v>0</v>
      </c>
      <c r="AN173" s="110" t="e">
        <f t="shared" si="61"/>
        <v>#DIV/0!</v>
      </c>
      <c r="AO173" s="109">
        <f t="shared" si="62"/>
        <v>0</v>
      </c>
      <c r="AP173" s="117" t="str">
        <f t="shared" si="63"/>
        <v>数据正确</v>
      </c>
    </row>
    <row r="174" s="37" customFormat="1" customHeight="1" spans="1:42">
      <c r="A174" s="37" t="e">
        <f t="shared" si="58"/>
        <v>#DIV/0!</v>
      </c>
      <c r="D174" s="61"/>
      <c r="E174" s="62"/>
      <c r="F174" s="63"/>
      <c r="G174" s="63"/>
      <c r="H174" s="64"/>
      <c r="I174" s="144"/>
      <c r="J174" s="62"/>
      <c r="K174" s="62"/>
      <c r="L174" s="62"/>
      <c r="M174" s="87"/>
      <c r="N174" s="88"/>
      <c r="O174" s="86"/>
      <c r="P174" s="86"/>
      <c r="Q174" s="93"/>
      <c r="R174" s="86"/>
      <c r="S174" s="86"/>
      <c r="T174" s="93"/>
      <c r="U174" s="86"/>
      <c r="V174" s="86"/>
      <c r="W174" s="93"/>
      <c r="X174" s="86"/>
      <c r="Y174" s="86"/>
      <c r="Z174" s="93"/>
      <c r="AA174" s="86"/>
      <c r="AB174" s="86"/>
      <c r="AC174" s="93"/>
      <c r="AD174" s="86"/>
      <c r="AE174" s="86"/>
      <c r="AF174" s="93"/>
      <c r="AG174" s="86"/>
      <c r="AH174" s="86"/>
      <c r="AI174" s="93"/>
      <c r="AJ174" s="86"/>
      <c r="AK174" s="107"/>
      <c r="AL174" s="108">
        <f t="shared" si="59"/>
        <v>0</v>
      </c>
      <c r="AM174" s="109">
        <f t="shared" si="60"/>
        <v>0</v>
      </c>
      <c r="AN174" s="110" t="e">
        <f t="shared" si="61"/>
        <v>#DIV/0!</v>
      </c>
      <c r="AO174" s="109">
        <f t="shared" si="62"/>
        <v>0</v>
      </c>
      <c r="AP174" s="117" t="str">
        <f t="shared" si="63"/>
        <v>数据正确</v>
      </c>
    </row>
    <row r="175" s="37" customFormat="1" customHeight="1" spans="1:42">
      <c r="A175" s="37" t="e">
        <f t="shared" si="58"/>
        <v>#DIV/0!</v>
      </c>
      <c r="D175" s="61"/>
      <c r="E175" s="62"/>
      <c r="F175" s="63"/>
      <c r="G175" s="63"/>
      <c r="H175" s="64"/>
      <c r="I175" s="144"/>
      <c r="J175" s="62"/>
      <c r="K175" s="62"/>
      <c r="L175" s="62"/>
      <c r="M175" s="87"/>
      <c r="N175" s="88"/>
      <c r="O175" s="86"/>
      <c r="P175" s="86"/>
      <c r="Q175" s="93"/>
      <c r="R175" s="86"/>
      <c r="S175" s="86"/>
      <c r="T175" s="93"/>
      <c r="U175" s="86"/>
      <c r="V175" s="86"/>
      <c r="W175" s="93"/>
      <c r="X175" s="86"/>
      <c r="Y175" s="86"/>
      <c r="Z175" s="93"/>
      <c r="AA175" s="86"/>
      <c r="AB175" s="86"/>
      <c r="AC175" s="93"/>
      <c r="AD175" s="86"/>
      <c r="AE175" s="86"/>
      <c r="AF175" s="93"/>
      <c r="AG175" s="86"/>
      <c r="AH175" s="86"/>
      <c r="AI175" s="93"/>
      <c r="AJ175" s="86"/>
      <c r="AK175" s="107"/>
      <c r="AL175" s="108">
        <f t="shared" si="59"/>
        <v>0</v>
      </c>
      <c r="AM175" s="109">
        <f t="shared" si="60"/>
        <v>0</v>
      </c>
      <c r="AN175" s="110" t="e">
        <f t="shared" si="61"/>
        <v>#DIV/0!</v>
      </c>
      <c r="AO175" s="109">
        <f t="shared" si="62"/>
        <v>0</v>
      </c>
      <c r="AP175" s="117" t="str">
        <f t="shared" si="63"/>
        <v>数据正确</v>
      </c>
    </row>
    <row r="176" s="37" customFormat="1" customHeight="1" spans="1:42">
      <c r="A176" s="37" t="e">
        <f t="shared" si="58"/>
        <v>#DIV/0!</v>
      </c>
      <c r="D176" s="61"/>
      <c r="E176" s="62"/>
      <c r="F176" s="63"/>
      <c r="G176" s="63"/>
      <c r="H176" s="64"/>
      <c r="I176" s="144"/>
      <c r="J176" s="62"/>
      <c r="K176" s="62"/>
      <c r="L176" s="62"/>
      <c r="M176" s="87"/>
      <c r="N176" s="88"/>
      <c r="O176" s="86"/>
      <c r="P176" s="86"/>
      <c r="Q176" s="93"/>
      <c r="R176" s="86"/>
      <c r="S176" s="86"/>
      <c r="T176" s="93"/>
      <c r="U176" s="86"/>
      <c r="V176" s="86"/>
      <c r="W176" s="93"/>
      <c r="X176" s="86"/>
      <c r="Y176" s="86"/>
      <c r="Z176" s="93"/>
      <c r="AA176" s="86"/>
      <c r="AB176" s="86"/>
      <c r="AC176" s="93"/>
      <c r="AD176" s="86"/>
      <c r="AE176" s="86"/>
      <c r="AF176" s="93"/>
      <c r="AG176" s="86"/>
      <c r="AH176" s="86"/>
      <c r="AI176" s="93"/>
      <c r="AJ176" s="86"/>
      <c r="AK176" s="107"/>
      <c r="AL176" s="108">
        <f t="shared" si="59"/>
        <v>0</v>
      </c>
      <c r="AM176" s="109">
        <f t="shared" si="60"/>
        <v>0</v>
      </c>
      <c r="AN176" s="110" t="e">
        <f t="shared" si="61"/>
        <v>#DIV/0!</v>
      </c>
      <c r="AO176" s="109">
        <f t="shared" si="62"/>
        <v>0</v>
      </c>
      <c r="AP176" s="117" t="str">
        <f t="shared" si="63"/>
        <v>数据正确</v>
      </c>
    </row>
    <row r="177" s="37" customFormat="1" customHeight="1" spans="1:42">
      <c r="A177" s="37" t="e">
        <f t="shared" si="58"/>
        <v>#DIV/0!</v>
      </c>
      <c r="D177" s="61"/>
      <c r="E177" s="62"/>
      <c r="F177" s="63"/>
      <c r="G177" s="63"/>
      <c r="H177" s="64"/>
      <c r="I177" s="144"/>
      <c r="J177" s="62"/>
      <c r="K177" s="62"/>
      <c r="L177" s="62"/>
      <c r="M177" s="87"/>
      <c r="N177" s="88"/>
      <c r="O177" s="86"/>
      <c r="P177" s="86"/>
      <c r="Q177" s="93"/>
      <c r="R177" s="86"/>
      <c r="S177" s="86"/>
      <c r="T177" s="93"/>
      <c r="U177" s="86"/>
      <c r="V177" s="86"/>
      <c r="W177" s="93"/>
      <c r="X177" s="86"/>
      <c r="Y177" s="86"/>
      <c r="Z177" s="93"/>
      <c r="AA177" s="86"/>
      <c r="AB177" s="86"/>
      <c r="AC177" s="93"/>
      <c r="AD177" s="86"/>
      <c r="AE177" s="86"/>
      <c r="AF177" s="93"/>
      <c r="AG177" s="86"/>
      <c r="AH177" s="86"/>
      <c r="AI177" s="93"/>
      <c r="AJ177" s="86"/>
      <c r="AK177" s="107"/>
      <c r="AL177" s="108">
        <f t="shared" si="59"/>
        <v>0</v>
      </c>
      <c r="AM177" s="109">
        <f t="shared" si="60"/>
        <v>0</v>
      </c>
      <c r="AN177" s="110" t="e">
        <f t="shared" si="61"/>
        <v>#DIV/0!</v>
      </c>
      <c r="AO177" s="109">
        <f t="shared" si="62"/>
        <v>0</v>
      </c>
      <c r="AP177" s="117" t="str">
        <f t="shared" si="63"/>
        <v>数据正确</v>
      </c>
    </row>
    <row r="178" s="37" customFormat="1" customHeight="1" spans="1:42">
      <c r="A178" s="37" t="e">
        <f t="shared" si="58"/>
        <v>#DIV/0!</v>
      </c>
      <c r="D178" s="61"/>
      <c r="E178" s="62"/>
      <c r="F178" s="63"/>
      <c r="G178" s="63"/>
      <c r="H178" s="64"/>
      <c r="I178" s="144"/>
      <c r="J178" s="62"/>
      <c r="K178" s="62"/>
      <c r="L178" s="62"/>
      <c r="M178" s="87"/>
      <c r="N178" s="88"/>
      <c r="O178" s="86"/>
      <c r="P178" s="86"/>
      <c r="Q178" s="93"/>
      <c r="R178" s="86"/>
      <c r="S178" s="86"/>
      <c r="T178" s="93"/>
      <c r="U178" s="86"/>
      <c r="V178" s="86"/>
      <c r="W178" s="93"/>
      <c r="X178" s="86"/>
      <c r="Y178" s="86"/>
      <c r="Z178" s="93"/>
      <c r="AA178" s="86"/>
      <c r="AB178" s="86"/>
      <c r="AC178" s="93"/>
      <c r="AD178" s="86"/>
      <c r="AE178" s="86"/>
      <c r="AF178" s="93"/>
      <c r="AG178" s="86"/>
      <c r="AH178" s="86"/>
      <c r="AI178" s="93"/>
      <c r="AJ178" s="86"/>
      <c r="AK178" s="107"/>
      <c r="AL178" s="108">
        <f t="shared" si="59"/>
        <v>0</v>
      </c>
      <c r="AM178" s="109">
        <f t="shared" si="60"/>
        <v>0</v>
      </c>
      <c r="AN178" s="110" t="e">
        <f t="shared" si="61"/>
        <v>#DIV/0!</v>
      </c>
      <c r="AO178" s="109">
        <f t="shared" si="62"/>
        <v>0</v>
      </c>
      <c r="AP178" s="117" t="str">
        <f t="shared" si="63"/>
        <v>数据正确</v>
      </c>
    </row>
    <row r="179" s="37" customFormat="1" customHeight="1" spans="1:42">
      <c r="A179" s="37" t="e">
        <f t="shared" si="58"/>
        <v>#DIV/0!</v>
      </c>
      <c r="D179" s="61"/>
      <c r="E179" s="62"/>
      <c r="F179" s="63"/>
      <c r="G179" s="63"/>
      <c r="H179" s="64"/>
      <c r="I179" s="144"/>
      <c r="J179" s="62"/>
      <c r="K179" s="62"/>
      <c r="L179" s="62"/>
      <c r="M179" s="87"/>
      <c r="N179" s="88"/>
      <c r="O179" s="86"/>
      <c r="P179" s="86"/>
      <c r="Q179" s="93"/>
      <c r="R179" s="86"/>
      <c r="S179" s="86"/>
      <c r="T179" s="93"/>
      <c r="U179" s="86"/>
      <c r="V179" s="86"/>
      <c r="W179" s="93"/>
      <c r="X179" s="86"/>
      <c r="Y179" s="86"/>
      <c r="Z179" s="93"/>
      <c r="AA179" s="86"/>
      <c r="AB179" s="86"/>
      <c r="AC179" s="93"/>
      <c r="AD179" s="86"/>
      <c r="AE179" s="86"/>
      <c r="AF179" s="93"/>
      <c r="AG179" s="86"/>
      <c r="AH179" s="86"/>
      <c r="AI179" s="93"/>
      <c r="AJ179" s="86"/>
      <c r="AK179" s="107"/>
      <c r="AL179" s="108">
        <f t="shared" si="59"/>
        <v>0</v>
      </c>
      <c r="AM179" s="109">
        <f t="shared" si="60"/>
        <v>0</v>
      </c>
      <c r="AN179" s="110" t="e">
        <f t="shared" si="61"/>
        <v>#DIV/0!</v>
      </c>
      <c r="AO179" s="109">
        <f t="shared" si="62"/>
        <v>0</v>
      </c>
      <c r="AP179" s="117" t="str">
        <f t="shared" si="63"/>
        <v>数据正确</v>
      </c>
    </row>
    <row r="180" s="37" customFormat="1" customHeight="1" spans="1:42">
      <c r="A180" s="37" t="e">
        <f t="shared" si="58"/>
        <v>#DIV/0!</v>
      </c>
      <c r="D180" s="61"/>
      <c r="E180" s="62"/>
      <c r="F180" s="63"/>
      <c r="G180" s="63"/>
      <c r="H180" s="64"/>
      <c r="I180" s="144"/>
      <c r="J180" s="62"/>
      <c r="K180" s="62"/>
      <c r="L180" s="62"/>
      <c r="M180" s="87"/>
      <c r="N180" s="88"/>
      <c r="O180" s="86"/>
      <c r="P180" s="86"/>
      <c r="Q180" s="93"/>
      <c r="R180" s="86"/>
      <c r="S180" s="86"/>
      <c r="T180" s="93"/>
      <c r="U180" s="86"/>
      <c r="V180" s="86"/>
      <c r="W180" s="93"/>
      <c r="X180" s="86"/>
      <c r="Y180" s="86"/>
      <c r="Z180" s="93"/>
      <c r="AA180" s="86"/>
      <c r="AB180" s="86"/>
      <c r="AC180" s="93"/>
      <c r="AD180" s="86"/>
      <c r="AE180" s="86"/>
      <c r="AF180" s="93"/>
      <c r="AG180" s="86"/>
      <c r="AH180" s="86"/>
      <c r="AI180" s="93"/>
      <c r="AJ180" s="86"/>
      <c r="AK180" s="107"/>
      <c r="AL180" s="108">
        <f t="shared" si="59"/>
        <v>0</v>
      </c>
      <c r="AM180" s="109">
        <f t="shared" si="60"/>
        <v>0</v>
      </c>
      <c r="AN180" s="110" t="e">
        <f t="shared" si="61"/>
        <v>#DIV/0!</v>
      </c>
      <c r="AO180" s="109">
        <f t="shared" si="62"/>
        <v>0</v>
      </c>
      <c r="AP180" s="117" t="str">
        <f t="shared" si="63"/>
        <v>数据正确</v>
      </c>
    </row>
    <row r="181" s="37" customFormat="1" customHeight="1" spans="1:42">
      <c r="A181" s="37" t="e">
        <f t="shared" si="58"/>
        <v>#DIV/0!</v>
      </c>
      <c r="D181" s="61"/>
      <c r="E181" s="62"/>
      <c r="F181" s="63"/>
      <c r="G181" s="63"/>
      <c r="H181" s="64"/>
      <c r="I181" s="144"/>
      <c r="J181" s="62"/>
      <c r="K181" s="62"/>
      <c r="L181" s="62"/>
      <c r="M181" s="87"/>
      <c r="N181" s="88"/>
      <c r="O181" s="86"/>
      <c r="P181" s="86"/>
      <c r="Q181" s="93"/>
      <c r="R181" s="86"/>
      <c r="S181" s="86"/>
      <c r="T181" s="93"/>
      <c r="U181" s="86"/>
      <c r="V181" s="86"/>
      <c r="W181" s="93"/>
      <c r="X181" s="86"/>
      <c r="Y181" s="86"/>
      <c r="Z181" s="93"/>
      <c r="AA181" s="86"/>
      <c r="AB181" s="86"/>
      <c r="AC181" s="93"/>
      <c r="AD181" s="86"/>
      <c r="AE181" s="86"/>
      <c r="AF181" s="93"/>
      <c r="AG181" s="86"/>
      <c r="AH181" s="86"/>
      <c r="AI181" s="93"/>
      <c r="AJ181" s="86"/>
      <c r="AK181" s="107"/>
      <c r="AL181" s="108">
        <f t="shared" si="59"/>
        <v>0</v>
      </c>
      <c r="AM181" s="109">
        <f t="shared" si="60"/>
        <v>0</v>
      </c>
      <c r="AN181" s="110" t="e">
        <f t="shared" si="61"/>
        <v>#DIV/0!</v>
      </c>
      <c r="AO181" s="109">
        <f t="shared" si="62"/>
        <v>0</v>
      </c>
      <c r="AP181" s="117" t="str">
        <f t="shared" si="63"/>
        <v>数据正确</v>
      </c>
    </row>
    <row r="182" s="37" customFormat="1" customHeight="1" spans="1:42">
      <c r="A182" s="37" t="e">
        <f t="shared" si="58"/>
        <v>#DIV/0!</v>
      </c>
      <c r="D182" s="61"/>
      <c r="E182" s="62"/>
      <c r="F182" s="63"/>
      <c r="G182" s="63"/>
      <c r="H182" s="64"/>
      <c r="I182" s="144"/>
      <c r="J182" s="62"/>
      <c r="K182" s="62"/>
      <c r="L182" s="62"/>
      <c r="M182" s="87"/>
      <c r="N182" s="88"/>
      <c r="O182" s="86"/>
      <c r="P182" s="86"/>
      <c r="Q182" s="93"/>
      <c r="R182" s="86"/>
      <c r="S182" s="86"/>
      <c r="T182" s="93"/>
      <c r="U182" s="86"/>
      <c r="V182" s="86"/>
      <c r="W182" s="93"/>
      <c r="X182" s="86"/>
      <c r="Y182" s="86"/>
      <c r="Z182" s="93"/>
      <c r="AA182" s="86"/>
      <c r="AB182" s="86"/>
      <c r="AC182" s="93"/>
      <c r="AD182" s="86"/>
      <c r="AE182" s="86"/>
      <c r="AF182" s="93"/>
      <c r="AG182" s="86"/>
      <c r="AH182" s="86"/>
      <c r="AI182" s="93"/>
      <c r="AJ182" s="86"/>
      <c r="AK182" s="107"/>
      <c r="AL182" s="108">
        <f t="shared" si="59"/>
        <v>0</v>
      </c>
      <c r="AM182" s="109">
        <f t="shared" si="60"/>
        <v>0</v>
      </c>
      <c r="AN182" s="110" t="e">
        <f t="shared" si="61"/>
        <v>#DIV/0!</v>
      </c>
      <c r="AO182" s="109">
        <f t="shared" si="62"/>
        <v>0</v>
      </c>
      <c r="AP182" s="117" t="str">
        <f t="shared" si="63"/>
        <v>数据正确</v>
      </c>
    </row>
    <row r="183" s="37" customFormat="1" customHeight="1" spans="1:42">
      <c r="A183" s="37" t="e">
        <f t="shared" si="58"/>
        <v>#DIV/0!</v>
      </c>
      <c r="D183" s="61"/>
      <c r="E183" s="62"/>
      <c r="F183" s="63"/>
      <c r="G183" s="63"/>
      <c r="H183" s="64"/>
      <c r="I183" s="144"/>
      <c r="J183" s="62"/>
      <c r="K183" s="62"/>
      <c r="L183" s="62"/>
      <c r="M183" s="87"/>
      <c r="N183" s="88"/>
      <c r="O183" s="86"/>
      <c r="P183" s="86"/>
      <c r="Q183" s="93"/>
      <c r="R183" s="86"/>
      <c r="S183" s="86"/>
      <c r="T183" s="93"/>
      <c r="U183" s="86"/>
      <c r="V183" s="86"/>
      <c r="W183" s="93"/>
      <c r="X183" s="86"/>
      <c r="Y183" s="86"/>
      <c r="Z183" s="93"/>
      <c r="AA183" s="86"/>
      <c r="AB183" s="86"/>
      <c r="AC183" s="93"/>
      <c r="AD183" s="86"/>
      <c r="AE183" s="86"/>
      <c r="AF183" s="93"/>
      <c r="AG183" s="86"/>
      <c r="AH183" s="86"/>
      <c r="AI183" s="93"/>
      <c r="AJ183" s="86"/>
      <c r="AK183" s="107"/>
      <c r="AL183" s="108">
        <f t="shared" si="59"/>
        <v>0</v>
      </c>
      <c r="AM183" s="109">
        <f t="shared" si="60"/>
        <v>0</v>
      </c>
      <c r="AN183" s="110" t="e">
        <f t="shared" si="61"/>
        <v>#DIV/0!</v>
      </c>
      <c r="AO183" s="109">
        <f t="shared" si="62"/>
        <v>0</v>
      </c>
      <c r="AP183" s="117" t="str">
        <f t="shared" si="63"/>
        <v>数据正确</v>
      </c>
    </row>
    <row r="184" s="37" customFormat="1" customHeight="1" spans="1:42">
      <c r="A184" s="37" t="e">
        <f t="shared" si="58"/>
        <v>#DIV/0!</v>
      </c>
      <c r="D184" s="61"/>
      <c r="E184" s="62"/>
      <c r="F184" s="63"/>
      <c r="G184" s="63"/>
      <c r="H184" s="64"/>
      <c r="I184" s="144"/>
      <c r="J184" s="62"/>
      <c r="K184" s="62"/>
      <c r="L184" s="62"/>
      <c r="M184" s="87"/>
      <c r="N184" s="88"/>
      <c r="O184" s="86"/>
      <c r="P184" s="86"/>
      <c r="Q184" s="93"/>
      <c r="R184" s="86"/>
      <c r="S184" s="86"/>
      <c r="T184" s="93"/>
      <c r="U184" s="86"/>
      <c r="V184" s="86"/>
      <c r="W184" s="93"/>
      <c r="X184" s="86"/>
      <c r="Y184" s="86"/>
      <c r="Z184" s="93"/>
      <c r="AA184" s="86"/>
      <c r="AB184" s="86"/>
      <c r="AC184" s="93"/>
      <c r="AD184" s="86"/>
      <c r="AE184" s="86"/>
      <c r="AF184" s="93"/>
      <c r="AG184" s="86"/>
      <c r="AH184" s="86"/>
      <c r="AI184" s="93"/>
      <c r="AJ184" s="86"/>
      <c r="AK184" s="107"/>
      <c r="AL184" s="108">
        <f t="shared" si="59"/>
        <v>0</v>
      </c>
      <c r="AM184" s="109">
        <f t="shared" si="60"/>
        <v>0</v>
      </c>
      <c r="AN184" s="110" t="e">
        <f t="shared" si="61"/>
        <v>#DIV/0!</v>
      </c>
      <c r="AO184" s="109">
        <f t="shared" si="62"/>
        <v>0</v>
      </c>
      <c r="AP184" s="117" t="str">
        <f t="shared" si="63"/>
        <v>数据正确</v>
      </c>
    </row>
    <row r="185" s="37" customFormat="1" customHeight="1" spans="1:42">
      <c r="A185" s="37" t="e">
        <f t="shared" si="58"/>
        <v>#DIV/0!</v>
      </c>
      <c r="D185" s="61"/>
      <c r="E185" s="62"/>
      <c r="F185" s="63"/>
      <c r="G185" s="63"/>
      <c r="H185" s="64"/>
      <c r="I185" s="144"/>
      <c r="J185" s="62"/>
      <c r="K185" s="62"/>
      <c r="L185" s="62"/>
      <c r="M185" s="87"/>
      <c r="N185" s="88"/>
      <c r="O185" s="86"/>
      <c r="P185" s="86"/>
      <c r="Q185" s="93"/>
      <c r="R185" s="86"/>
      <c r="S185" s="86"/>
      <c r="T185" s="93"/>
      <c r="U185" s="86"/>
      <c r="V185" s="86"/>
      <c r="W185" s="93"/>
      <c r="X185" s="86"/>
      <c r="Y185" s="86"/>
      <c r="Z185" s="93"/>
      <c r="AA185" s="86"/>
      <c r="AB185" s="86"/>
      <c r="AC185" s="93"/>
      <c r="AD185" s="86"/>
      <c r="AE185" s="86"/>
      <c r="AF185" s="93"/>
      <c r="AG185" s="86"/>
      <c r="AH185" s="86"/>
      <c r="AI185" s="93"/>
      <c r="AJ185" s="86"/>
      <c r="AK185" s="107"/>
      <c r="AL185" s="108">
        <f t="shared" si="59"/>
        <v>0</v>
      </c>
      <c r="AM185" s="109">
        <f t="shared" si="60"/>
        <v>0</v>
      </c>
      <c r="AN185" s="110" t="e">
        <f t="shared" si="61"/>
        <v>#DIV/0!</v>
      </c>
      <c r="AO185" s="109">
        <f t="shared" si="62"/>
        <v>0</v>
      </c>
      <c r="AP185" s="117" t="str">
        <f t="shared" si="63"/>
        <v>数据正确</v>
      </c>
    </row>
    <row r="186" s="37" customFormat="1" customHeight="1" spans="1:42">
      <c r="A186" s="37" t="e">
        <f t="shared" si="58"/>
        <v>#DIV/0!</v>
      </c>
      <c r="D186" s="61"/>
      <c r="E186" s="62"/>
      <c r="F186" s="63"/>
      <c r="G186" s="63"/>
      <c r="H186" s="64"/>
      <c r="I186" s="144"/>
      <c r="J186" s="62"/>
      <c r="K186" s="62"/>
      <c r="L186" s="62"/>
      <c r="M186" s="87"/>
      <c r="N186" s="88"/>
      <c r="O186" s="86"/>
      <c r="P186" s="86"/>
      <c r="Q186" s="93"/>
      <c r="R186" s="86"/>
      <c r="S186" s="86"/>
      <c r="T186" s="93"/>
      <c r="U186" s="86"/>
      <c r="V186" s="86"/>
      <c r="W186" s="93"/>
      <c r="X186" s="86"/>
      <c r="Y186" s="86"/>
      <c r="Z186" s="93"/>
      <c r="AA186" s="86"/>
      <c r="AB186" s="86"/>
      <c r="AC186" s="93"/>
      <c r="AD186" s="86"/>
      <c r="AE186" s="86"/>
      <c r="AF186" s="93"/>
      <c r="AG186" s="86"/>
      <c r="AH186" s="86"/>
      <c r="AI186" s="93"/>
      <c r="AJ186" s="86"/>
      <c r="AK186" s="107"/>
      <c r="AL186" s="108">
        <f t="shared" si="59"/>
        <v>0</v>
      </c>
      <c r="AM186" s="109">
        <f t="shared" si="60"/>
        <v>0</v>
      </c>
      <c r="AN186" s="110" t="e">
        <f t="shared" si="61"/>
        <v>#DIV/0!</v>
      </c>
      <c r="AO186" s="109">
        <f t="shared" si="62"/>
        <v>0</v>
      </c>
      <c r="AP186" s="117" t="str">
        <f t="shared" si="63"/>
        <v>数据正确</v>
      </c>
    </row>
    <row r="187" s="37" customFormat="1" customHeight="1" spans="1:42">
      <c r="A187" s="37" t="e">
        <f t="shared" si="58"/>
        <v>#DIV/0!</v>
      </c>
      <c r="D187" s="61"/>
      <c r="E187" s="62"/>
      <c r="F187" s="63"/>
      <c r="G187" s="63"/>
      <c r="H187" s="64"/>
      <c r="I187" s="144"/>
      <c r="J187" s="62"/>
      <c r="K187" s="62"/>
      <c r="L187" s="62"/>
      <c r="M187" s="87"/>
      <c r="N187" s="88"/>
      <c r="O187" s="86"/>
      <c r="P187" s="86"/>
      <c r="Q187" s="93"/>
      <c r="R187" s="86"/>
      <c r="S187" s="86"/>
      <c r="T187" s="93"/>
      <c r="U187" s="86"/>
      <c r="V187" s="86"/>
      <c r="W187" s="93"/>
      <c r="X187" s="86"/>
      <c r="Y187" s="86"/>
      <c r="Z187" s="93"/>
      <c r="AA187" s="86"/>
      <c r="AB187" s="86"/>
      <c r="AC187" s="93"/>
      <c r="AD187" s="86"/>
      <c r="AE187" s="86"/>
      <c r="AF187" s="93"/>
      <c r="AG187" s="86"/>
      <c r="AH187" s="86"/>
      <c r="AI187" s="93"/>
      <c r="AJ187" s="86"/>
      <c r="AK187" s="107"/>
      <c r="AL187" s="108">
        <f t="shared" si="59"/>
        <v>0</v>
      </c>
      <c r="AM187" s="109">
        <f t="shared" si="60"/>
        <v>0</v>
      </c>
      <c r="AN187" s="110" t="e">
        <f t="shared" si="61"/>
        <v>#DIV/0!</v>
      </c>
      <c r="AO187" s="109">
        <f t="shared" si="62"/>
        <v>0</v>
      </c>
      <c r="AP187" s="117" t="str">
        <f t="shared" si="63"/>
        <v>数据正确</v>
      </c>
    </row>
    <row r="188" s="37" customFormat="1" customHeight="1" spans="1:42">
      <c r="A188" s="37" t="e">
        <f t="shared" si="58"/>
        <v>#DIV/0!</v>
      </c>
      <c r="D188" s="61"/>
      <c r="E188" s="62"/>
      <c r="F188" s="63"/>
      <c r="G188" s="63"/>
      <c r="H188" s="64"/>
      <c r="I188" s="144"/>
      <c r="J188" s="62"/>
      <c r="K188" s="62"/>
      <c r="L188" s="62"/>
      <c r="M188" s="87"/>
      <c r="N188" s="88"/>
      <c r="O188" s="86"/>
      <c r="P188" s="86"/>
      <c r="Q188" s="93"/>
      <c r="R188" s="86"/>
      <c r="S188" s="86"/>
      <c r="T188" s="93"/>
      <c r="U188" s="86"/>
      <c r="V188" s="86"/>
      <c r="W188" s="93"/>
      <c r="X188" s="86"/>
      <c r="Y188" s="86"/>
      <c r="Z188" s="93"/>
      <c r="AA188" s="86"/>
      <c r="AB188" s="86"/>
      <c r="AC188" s="93"/>
      <c r="AD188" s="86"/>
      <c r="AE188" s="86"/>
      <c r="AF188" s="93"/>
      <c r="AG188" s="86"/>
      <c r="AH188" s="86"/>
      <c r="AI188" s="93"/>
      <c r="AJ188" s="86"/>
      <c r="AK188" s="107"/>
      <c r="AL188" s="108">
        <f t="shared" si="59"/>
        <v>0</v>
      </c>
      <c r="AM188" s="109">
        <f t="shared" si="60"/>
        <v>0</v>
      </c>
      <c r="AN188" s="110" t="e">
        <f t="shared" si="61"/>
        <v>#DIV/0!</v>
      </c>
      <c r="AO188" s="109">
        <f t="shared" si="62"/>
        <v>0</v>
      </c>
      <c r="AP188" s="117" t="str">
        <f t="shared" si="63"/>
        <v>数据正确</v>
      </c>
    </row>
    <row r="189" s="37" customFormat="1" customHeight="1" spans="1:42">
      <c r="A189" s="37" t="e">
        <f t="shared" si="58"/>
        <v>#DIV/0!</v>
      </c>
      <c r="D189" s="61"/>
      <c r="E189" s="62"/>
      <c r="F189" s="63"/>
      <c r="G189" s="63"/>
      <c r="H189" s="64"/>
      <c r="I189" s="144"/>
      <c r="J189" s="62"/>
      <c r="K189" s="62"/>
      <c r="L189" s="62"/>
      <c r="M189" s="87"/>
      <c r="N189" s="88"/>
      <c r="O189" s="86"/>
      <c r="P189" s="86"/>
      <c r="Q189" s="93"/>
      <c r="R189" s="86"/>
      <c r="S189" s="86"/>
      <c r="T189" s="93"/>
      <c r="U189" s="86"/>
      <c r="V189" s="86"/>
      <c r="W189" s="93"/>
      <c r="X189" s="86"/>
      <c r="Y189" s="86"/>
      <c r="Z189" s="93"/>
      <c r="AA189" s="86"/>
      <c r="AB189" s="86"/>
      <c r="AC189" s="93"/>
      <c r="AD189" s="86"/>
      <c r="AE189" s="86"/>
      <c r="AF189" s="93"/>
      <c r="AG189" s="86"/>
      <c r="AH189" s="86"/>
      <c r="AI189" s="93"/>
      <c r="AJ189" s="86"/>
      <c r="AK189" s="107"/>
      <c r="AL189" s="108">
        <f t="shared" si="59"/>
        <v>0</v>
      </c>
      <c r="AM189" s="109">
        <f t="shared" si="60"/>
        <v>0</v>
      </c>
      <c r="AN189" s="110" t="e">
        <f t="shared" si="61"/>
        <v>#DIV/0!</v>
      </c>
      <c r="AO189" s="109">
        <f t="shared" si="62"/>
        <v>0</v>
      </c>
      <c r="AP189" s="117" t="str">
        <f t="shared" si="63"/>
        <v>数据正确</v>
      </c>
    </row>
    <row r="190" s="37" customFormat="1" customHeight="1" spans="1:42">
      <c r="A190" s="37" t="e">
        <f t="shared" si="58"/>
        <v>#DIV/0!</v>
      </c>
      <c r="D190" s="61"/>
      <c r="E190" s="62"/>
      <c r="F190" s="63"/>
      <c r="G190" s="63"/>
      <c r="H190" s="64"/>
      <c r="I190" s="144"/>
      <c r="J190" s="62"/>
      <c r="K190" s="62"/>
      <c r="L190" s="62"/>
      <c r="M190" s="87"/>
      <c r="N190" s="88"/>
      <c r="O190" s="86"/>
      <c r="P190" s="86"/>
      <c r="Q190" s="93"/>
      <c r="R190" s="86"/>
      <c r="S190" s="86"/>
      <c r="T190" s="93"/>
      <c r="U190" s="86"/>
      <c r="V190" s="86"/>
      <c r="W190" s="93"/>
      <c r="X190" s="86"/>
      <c r="Y190" s="86"/>
      <c r="Z190" s="93"/>
      <c r="AA190" s="86"/>
      <c r="AB190" s="86"/>
      <c r="AC190" s="93"/>
      <c r="AD190" s="86"/>
      <c r="AE190" s="86"/>
      <c r="AF190" s="93"/>
      <c r="AG190" s="86"/>
      <c r="AH190" s="86"/>
      <c r="AI190" s="93"/>
      <c r="AJ190" s="86"/>
      <c r="AK190" s="107"/>
      <c r="AL190" s="108">
        <f t="shared" si="59"/>
        <v>0</v>
      </c>
      <c r="AM190" s="109">
        <f t="shared" si="60"/>
        <v>0</v>
      </c>
      <c r="AN190" s="110" t="e">
        <f t="shared" si="61"/>
        <v>#DIV/0!</v>
      </c>
      <c r="AO190" s="109">
        <f t="shared" si="62"/>
        <v>0</v>
      </c>
      <c r="AP190" s="117" t="str">
        <f t="shared" si="63"/>
        <v>数据正确</v>
      </c>
    </row>
    <row r="191" s="37" customFormat="1" customHeight="1" spans="1:42">
      <c r="A191" s="37" t="e">
        <f t="shared" si="58"/>
        <v>#DIV/0!</v>
      </c>
      <c r="D191" s="61"/>
      <c r="E191" s="62"/>
      <c r="F191" s="63"/>
      <c r="G191" s="63"/>
      <c r="H191" s="64"/>
      <c r="I191" s="144"/>
      <c r="J191" s="62"/>
      <c r="K191" s="62"/>
      <c r="L191" s="62"/>
      <c r="M191" s="87"/>
      <c r="N191" s="88"/>
      <c r="O191" s="86"/>
      <c r="P191" s="86"/>
      <c r="Q191" s="93"/>
      <c r="R191" s="86"/>
      <c r="S191" s="86"/>
      <c r="T191" s="93"/>
      <c r="U191" s="86"/>
      <c r="V191" s="86"/>
      <c r="W191" s="93"/>
      <c r="X191" s="86"/>
      <c r="Y191" s="86"/>
      <c r="Z191" s="93"/>
      <c r="AA191" s="86"/>
      <c r="AB191" s="86"/>
      <c r="AC191" s="93"/>
      <c r="AD191" s="86"/>
      <c r="AE191" s="86"/>
      <c r="AF191" s="93"/>
      <c r="AG191" s="86"/>
      <c r="AH191" s="86"/>
      <c r="AI191" s="93"/>
      <c r="AJ191" s="86"/>
      <c r="AK191" s="107"/>
      <c r="AL191" s="108">
        <f t="shared" si="59"/>
        <v>0</v>
      </c>
      <c r="AM191" s="109">
        <f t="shared" si="60"/>
        <v>0</v>
      </c>
      <c r="AN191" s="110" t="e">
        <f t="shared" si="61"/>
        <v>#DIV/0!</v>
      </c>
      <c r="AO191" s="109">
        <f t="shared" si="62"/>
        <v>0</v>
      </c>
      <c r="AP191" s="117" t="str">
        <f t="shared" si="63"/>
        <v>数据正确</v>
      </c>
    </row>
    <row r="198" customHeight="1" spans="11:11">
      <c r="K198" s="37" t="s">
        <v>31</v>
      </c>
    </row>
  </sheetData>
  <autoFilter ref="A5:AT191"/>
  <mergeCells count="29">
    <mergeCell ref="E2:M2"/>
    <mergeCell ref="N2:AK2"/>
    <mergeCell ref="AL2:AP2"/>
    <mergeCell ref="N3:P3"/>
    <mergeCell ref="Q3:S3"/>
    <mergeCell ref="T3:V3"/>
    <mergeCell ref="W3:Y3"/>
    <mergeCell ref="Z3:AB3"/>
    <mergeCell ref="AC3:AE3"/>
    <mergeCell ref="AF3:AH3"/>
    <mergeCell ref="AI3:AK3"/>
    <mergeCell ref="A2:A5"/>
    <mergeCell ref="B2:B5"/>
    <mergeCell ref="C2:C5"/>
    <mergeCell ref="D2:D4"/>
    <mergeCell ref="E3:E4"/>
    <mergeCell ref="F3:F4"/>
    <mergeCell ref="G3:G4"/>
    <mergeCell ref="H3:H4"/>
    <mergeCell ref="I3:I4"/>
    <mergeCell ref="J3:J4"/>
    <mergeCell ref="K3:K4"/>
    <mergeCell ref="L3:L4"/>
    <mergeCell ref="M3:M4"/>
    <mergeCell ref="AL3:AL4"/>
    <mergeCell ref="AM3:AM4"/>
    <mergeCell ref="AN3:AN4"/>
    <mergeCell ref="AO3:AO4"/>
    <mergeCell ref="AP3:AP4"/>
  </mergeCells>
  <pageMargins left="0.751388888888889" right="0.751388888888889" top="1" bottom="1" header="0.511805555555556" footer="0.511805555555556"/>
  <pageSetup paperSize="9" orientation="landscape" horizontalDpi="600"/>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6"/>
  <sheetViews>
    <sheetView workbookViewId="0">
      <pane xSplit="10" ySplit="5" topLeftCell="K6" activePane="bottomRight" state="frozen"/>
      <selection/>
      <selection pane="topRight"/>
      <selection pane="bottomLeft"/>
      <selection pane="bottomRight" activeCell="H13" sqref="H13"/>
    </sheetView>
  </sheetViews>
  <sheetFormatPr defaultColWidth="9" defaultRowHeight="18" customHeight="1"/>
  <cols>
    <col min="1" max="3" width="5.125" style="37" customWidth="1"/>
    <col min="4" max="4" width="4.875" style="42" customWidth="1"/>
    <col min="5" max="5" width="16.125" style="37" customWidth="1"/>
    <col min="6" max="6" width="10.375" style="42" customWidth="1"/>
    <col min="7" max="7" width="9" style="42"/>
    <col min="8" max="8" width="12.125" style="42" customWidth="1"/>
    <col min="9" max="9" width="13.125" style="43"/>
    <col min="10" max="10" width="26.25" style="37" customWidth="1"/>
    <col min="11" max="11" width="21.375" style="37" customWidth="1"/>
    <col min="12" max="12" width="9" style="37"/>
    <col min="13" max="13" width="10.25" style="37" customWidth="1"/>
    <col min="14" max="14" width="12.75" style="44" customWidth="1"/>
    <col min="15" max="16" width="13.125" style="43" customWidth="1"/>
    <col min="17" max="17" width="12.625" style="44" customWidth="1"/>
    <col min="18" max="18" width="10.375" style="43" customWidth="1"/>
    <col min="19" max="19" width="12.125" style="43" customWidth="1"/>
    <col min="20" max="20" width="12" style="44" customWidth="1"/>
    <col min="21" max="21" width="11.25" style="43" customWidth="1"/>
    <col min="22" max="22" width="11.125" style="43" customWidth="1"/>
    <col min="23" max="23" width="6.25" style="44" customWidth="1"/>
    <col min="24" max="24" width="10.375" style="43" customWidth="1"/>
    <col min="25" max="25" width="9.625" style="43" customWidth="1"/>
    <col min="26" max="26" width="6.25" style="44" customWidth="1"/>
    <col min="27" max="27" width="10.375" style="43" customWidth="1"/>
    <col min="28" max="28" width="6.25" style="43" customWidth="1"/>
    <col min="29" max="29" width="6.25" style="44" customWidth="1"/>
    <col min="30" max="30" width="10.375" style="43" customWidth="1"/>
    <col min="31" max="31" width="6.25" style="43" customWidth="1"/>
    <col min="32" max="32" width="6.25" style="44" customWidth="1"/>
    <col min="33" max="33" width="10.375" style="43" customWidth="1"/>
    <col min="34" max="34" width="6.25" style="43" customWidth="1"/>
    <col min="35" max="35" width="6.25" style="44" customWidth="1"/>
    <col min="36" max="36" width="10.375" style="43" customWidth="1"/>
    <col min="37" max="37" width="9.5" style="43" customWidth="1"/>
    <col min="38" max="38" width="13.125" style="43" customWidth="1"/>
    <col min="39" max="39" width="11.25" style="43" customWidth="1"/>
    <col min="40" max="40" width="11.25" style="45" customWidth="1"/>
    <col min="41" max="41" width="13.125" style="43" customWidth="1"/>
    <col min="42" max="42" width="9.875" style="43" customWidth="1"/>
    <col min="43" max="43" width="9" style="37" customWidth="1"/>
    <col min="44" max="16384" width="9" style="37"/>
  </cols>
  <sheetData>
    <row r="1" s="37" customFormat="1" ht="5" customHeight="1" spans="4:42">
      <c r="D1" s="42"/>
      <c r="F1" s="42"/>
      <c r="G1" s="42"/>
      <c r="H1" s="42"/>
      <c r="I1" s="43"/>
      <c r="N1" s="44"/>
      <c r="O1" s="43"/>
      <c r="P1" s="43"/>
      <c r="Q1" s="44"/>
      <c r="R1" s="43"/>
      <c r="S1" s="43"/>
      <c r="T1" s="44"/>
      <c r="U1" s="43"/>
      <c r="V1" s="43"/>
      <c r="W1" s="44"/>
      <c r="X1" s="43"/>
      <c r="Y1" s="43"/>
      <c r="Z1" s="44"/>
      <c r="AA1" s="43"/>
      <c r="AB1" s="43"/>
      <c r="AC1" s="44"/>
      <c r="AD1" s="43"/>
      <c r="AE1" s="43"/>
      <c r="AF1" s="44"/>
      <c r="AG1" s="43"/>
      <c r="AH1" s="43"/>
      <c r="AI1" s="44"/>
      <c r="AJ1" s="43"/>
      <c r="AK1" s="43"/>
      <c r="AL1" s="43"/>
      <c r="AM1" s="43"/>
      <c r="AN1" s="45"/>
      <c r="AO1" s="43"/>
      <c r="AP1" s="43"/>
    </row>
    <row r="2" s="38" customFormat="1" ht="24" customHeight="1" spans="1:42">
      <c r="A2" s="46" t="s">
        <v>47</v>
      </c>
      <c r="B2" s="46" t="s">
        <v>77</v>
      </c>
      <c r="C2" s="46" t="s">
        <v>78</v>
      </c>
      <c r="D2" s="47" t="s">
        <v>48</v>
      </c>
      <c r="E2" s="48" t="s">
        <v>1238</v>
      </c>
      <c r="F2" s="48"/>
      <c r="G2" s="48"/>
      <c r="H2" s="48"/>
      <c r="I2" s="48"/>
      <c r="J2" s="48"/>
      <c r="K2" s="48"/>
      <c r="L2" s="48"/>
      <c r="M2" s="72"/>
      <c r="N2" s="73" t="s">
        <v>1239</v>
      </c>
      <c r="O2" s="74"/>
      <c r="P2" s="74"/>
      <c r="Q2" s="74"/>
      <c r="R2" s="74"/>
      <c r="S2" s="74"/>
      <c r="T2" s="74"/>
      <c r="U2" s="74"/>
      <c r="V2" s="74"/>
      <c r="W2" s="74"/>
      <c r="X2" s="74"/>
      <c r="Y2" s="74"/>
      <c r="Z2" s="74"/>
      <c r="AA2" s="74"/>
      <c r="AB2" s="74"/>
      <c r="AC2" s="74"/>
      <c r="AD2" s="74"/>
      <c r="AE2" s="74"/>
      <c r="AF2" s="74"/>
      <c r="AG2" s="74"/>
      <c r="AH2" s="74"/>
      <c r="AI2" s="74"/>
      <c r="AJ2" s="74"/>
      <c r="AK2" s="95"/>
      <c r="AL2" s="73" t="s">
        <v>51</v>
      </c>
      <c r="AM2" s="74"/>
      <c r="AN2" s="96"/>
      <c r="AO2" s="74"/>
      <c r="AP2" s="95"/>
    </row>
    <row r="3" s="39" customFormat="1" customHeight="1" spans="1:42">
      <c r="A3" s="46"/>
      <c r="B3" s="46"/>
      <c r="C3" s="46"/>
      <c r="D3" s="49"/>
      <c r="E3" s="50" t="s">
        <v>52</v>
      </c>
      <c r="F3" s="50" t="s">
        <v>13</v>
      </c>
      <c r="G3" s="50" t="s">
        <v>53</v>
      </c>
      <c r="H3" s="51" t="s">
        <v>54</v>
      </c>
      <c r="I3" s="75" t="s">
        <v>39</v>
      </c>
      <c r="J3" s="50" t="s">
        <v>55</v>
      </c>
      <c r="K3" s="50" t="s">
        <v>56</v>
      </c>
      <c r="L3" s="50" t="s">
        <v>57</v>
      </c>
      <c r="M3" s="76" t="s">
        <v>58</v>
      </c>
      <c r="N3" s="77" t="s">
        <v>59</v>
      </c>
      <c r="O3" s="75"/>
      <c r="P3" s="75"/>
      <c r="Q3" s="75" t="s">
        <v>60</v>
      </c>
      <c r="R3" s="75"/>
      <c r="S3" s="75"/>
      <c r="T3" s="75" t="s">
        <v>61</v>
      </c>
      <c r="U3" s="75"/>
      <c r="V3" s="75"/>
      <c r="W3" s="75" t="s">
        <v>62</v>
      </c>
      <c r="X3" s="75"/>
      <c r="Y3" s="75"/>
      <c r="Z3" s="75" t="s">
        <v>63</v>
      </c>
      <c r="AA3" s="75"/>
      <c r="AB3" s="75"/>
      <c r="AC3" s="75" t="s">
        <v>64</v>
      </c>
      <c r="AD3" s="75"/>
      <c r="AE3" s="75"/>
      <c r="AF3" s="75" t="s">
        <v>65</v>
      </c>
      <c r="AG3" s="75"/>
      <c r="AH3" s="75"/>
      <c r="AI3" s="75" t="s">
        <v>66</v>
      </c>
      <c r="AJ3" s="75"/>
      <c r="AK3" s="97"/>
      <c r="AL3" s="77" t="s">
        <v>67</v>
      </c>
      <c r="AM3" s="75" t="s">
        <v>68</v>
      </c>
      <c r="AN3" s="98" t="s">
        <v>18</v>
      </c>
      <c r="AO3" s="79" t="s">
        <v>69</v>
      </c>
      <c r="AP3" s="99" t="s">
        <v>70</v>
      </c>
    </row>
    <row r="4" s="39" customFormat="1" ht="26" customHeight="1" spans="1:42">
      <c r="A4" s="46"/>
      <c r="B4" s="46"/>
      <c r="C4" s="46"/>
      <c r="D4" s="49"/>
      <c r="E4" s="50"/>
      <c r="F4" s="50"/>
      <c r="G4" s="50"/>
      <c r="H4" s="51"/>
      <c r="I4" s="75"/>
      <c r="J4" s="50"/>
      <c r="K4" s="50"/>
      <c r="L4" s="50"/>
      <c r="M4" s="76"/>
      <c r="N4" s="78" t="s">
        <v>71</v>
      </c>
      <c r="O4" s="79" t="s">
        <v>72</v>
      </c>
      <c r="P4" s="79" t="s">
        <v>73</v>
      </c>
      <c r="Q4" s="79" t="s">
        <v>71</v>
      </c>
      <c r="R4" s="79" t="s">
        <v>72</v>
      </c>
      <c r="S4" s="79" t="s">
        <v>73</v>
      </c>
      <c r="T4" s="79" t="s">
        <v>71</v>
      </c>
      <c r="U4" s="79" t="s">
        <v>72</v>
      </c>
      <c r="V4" s="79" t="s">
        <v>73</v>
      </c>
      <c r="W4" s="79" t="s">
        <v>71</v>
      </c>
      <c r="X4" s="79" t="s">
        <v>72</v>
      </c>
      <c r="Y4" s="79" t="s">
        <v>73</v>
      </c>
      <c r="Z4" s="79" t="s">
        <v>71</v>
      </c>
      <c r="AA4" s="79" t="s">
        <v>72</v>
      </c>
      <c r="AB4" s="79" t="s">
        <v>73</v>
      </c>
      <c r="AC4" s="79" t="s">
        <v>71</v>
      </c>
      <c r="AD4" s="79" t="s">
        <v>72</v>
      </c>
      <c r="AE4" s="79" t="s">
        <v>73</v>
      </c>
      <c r="AF4" s="79" t="s">
        <v>71</v>
      </c>
      <c r="AG4" s="79" t="s">
        <v>72</v>
      </c>
      <c r="AH4" s="79" t="s">
        <v>73</v>
      </c>
      <c r="AI4" s="79" t="s">
        <v>71</v>
      </c>
      <c r="AJ4" s="79" t="s">
        <v>72</v>
      </c>
      <c r="AK4" s="99" t="s">
        <v>73</v>
      </c>
      <c r="AL4" s="77"/>
      <c r="AM4" s="75"/>
      <c r="AN4" s="98"/>
      <c r="AO4" s="79"/>
      <c r="AP4" s="99"/>
    </row>
    <row r="5" s="40" customFormat="1" ht="26" customHeight="1" spans="1:44">
      <c r="A5" s="46"/>
      <c r="B5" s="46"/>
      <c r="C5" s="46"/>
      <c r="D5" s="52" t="s">
        <v>26</v>
      </c>
      <c r="E5" s="53" t="s">
        <v>74</v>
      </c>
      <c r="F5" s="54" t="s">
        <v>75</v>
      </c>
      <c r="G5" s="54" t="s">
        <v>75</v>
      </c>
      <c r="H5" s="55" t="s">
        <v>75</v>
      </c>
      <c r="I5" s="80">
        <f>SUM(I6:I2396)</f>
        <v>291367075.266</v>
      </c>
      <c r="J5" s="80" t="s">
        <v>75</v>
      </c>
      <c r="K5" s="80" t="s">
        <v>75</v>
      </c>
      <c r="L5" s="80" t="s">
        <v>75</v>
      </c>
      <c r="M5" s="81" t="s">
        <v>75</v>
      </c>
      <c r="N5" s="82" t="s">
        <v>75</v>
      </c>
      <c r="O5" s="80">
        <f t="shared" ref="J5:AK5" si="0">SUM(O6:O2396)</f>
        <v>269699941.866</v>
      </c>
      <c r="P5" s="80">
        <f t="shared" si="0"/>
        <v>267102440.066</v>
      </c>
      <c r="Q5" s="80" t="s">
        <v>75</v>
      </c>
      <c r="R5" s="80">
        <f t="shared" si="0"/>
        <v>2675633.4</v>
      </c>
      <c r="S5" s="80">
        <f t="shared" si="0"/>
        <v>11113155.2</v>
      </c>
      <c r="T5" s="80" t="s">
        <v>75</v>
      </c>
      <c r="U5" s="80">
        <f t="shared" si="0"/>
        <v>7239000</v>
      </c>
      <c r="V5" s="80">
        <f t="shared" si="0"/>
        <v>1485000</v>
      </c>
      <c r="W5" s="80" t="s">
        <v>75</v>
      </c>
      <c r="X5" s="80">
        <f t="shared" si="0"/>
        <v>1589500</v>
      </c>
      <c r="Y5" s="80">
        <f t="shared" si="0"/>
        <v>0</v>
      </c>
      <c r="Z5" s="80" t="s">
        <v>75</v>
      </c>
      <c r="AA5" s="80">
        <f t="shared" si="0"/>
        <v>1137000</v>
      </c>
      <c r="AB5" s="80">
        <f t="shared" si="0"/>
        <v>0</v>
      </c>
      <c r="AC5" s="80" t="s">
        <v>75</v>
      </c>
      <c r="AD5" s="80">
        <f t="shared" si="0"/>
        <v>6582000</v>
      </c>
      <c r="AE5" s="80">
        <f t="shared" si="0"/>
        <v>0</v>
      </c>
      <c r="AF5" s="80" t="s">
        <v>75</v>
      </c>
      <c r="AG5" s="80">
        <f t="shared" si="0"/>
        <v>2194000</v>
      </c>
      <c r="AH5" s="80">
        <f t="shared" si="0"/>
        <v>0</v>
      </c>
      <c r="AI5" s="80" t="s">
        <v>75</v>
      </c>
      <c r="AJ5" s="80">
        <f t="shared" si="0"/>
        <v>250000</v>
      </c>
      <c r="AK5" s="81">
        <f t="shared" si="0"/>
        <v>0</v>
      </c>
      <c r="AL5" s="100">
        <f>P5+S5+V5+Y5+AB5+AE5+AH5+AK5</f>
        <v>279700595.266</v>
      </c>
      <c r="AM5" s="101">
        <f>I5-AL5</f>
        <v>11666480</v>
      </c>
      <c r="AN5" s="102">
        <f>AL5/I5</f>
        <v>0.959959511590837</v>
      </c>
      <c r="AO5" s="101">
        <f>O5+R5+U5+X5+AA5+AD5+AG5+AJ5</f>
        <v>291367075.266</v>
      </c>
      <c r="AP5" s="115" t="str">
        <f>IF(AO5-I5=0,"数据正确","数据错误")</f>
        <v>数据正确</v>
      </c>
      <c r="AQ5" s="40" t="s">
        <v>81</v>
      </c>
      <c r="AR5" s="40" t="s">
        <v>82</v>
      </c>
    </row>
    <row r="6" s="37" customFormat="1" customHeight="1" spans="1:42">
      <c r="A6" s="56" t="str">
        <f>IF(AN6=100%,"已完毕","")</f>
        <v/>
      </c>
      <c r="B6" s="56" t="s">
        <v>83</v>
      </c>
      <c r="C6" s="56" t="s">
        <v>84</v>
      </c>
      <c r="D6" s="57">
        <v>114</v>
      </c>
      <c r="E6" s="58" t="s">
        <v>106</v>
      </c>
      <c r="F6" s="59" t="s">
        <v>25</v>
      </c>
      <c r="G6" s="59" t="s">
        <v>75</v>
      </c>
      <c r="H6" s="60">
        <v>41956</v>
      </c>
      <c r="I6" s="83">
        <f>1900000+300000</f>
        <v>2200000</v>
      </c>
      <c r="J6" s="58" t="s">
        <v>1240</v>
      </c>
      <c r="K6" s="58" t="s">
        <v>1241</v>
      </c>
      <c r="L6" s="58"/>
      <c r="M6" s="84" t="s">
        <v>76</v>
      </c>
      <c r="N6" s="85" t="s">
        <v>1242</v>
      </c>
      <c r="O6" s="83">
        <v>1000000</v>
      </c>
      <c r="P6" s="83">
        <v>1000000</v>
      </c>
      <c r="Q6" s="92" t="s">
        <v>1243</v>
      </c>
      <c r="R6" s="83">
        <v>600000</v>
      </c>
      <c r="S6" s="83">
        <v>600000</v>
      </c>
      <c r="T6" s="92" t="s">
        <v>1244</v>
      </c>
      <c r="U6" s="83">
        <v>300000</v>
      </c>
      <c r="V6" s="83">
        <v>300000</v>
      </c>
      <c r="W6" s="92" t="s">
        <v>1245</v>
      </c>
      <c r="X6" s="83">
        <v>300000</v>
      </c>
      <c r="Y6" s="83"/>
      <c r="Z6" s="92"/>
      <c r="AA6" s="83"/>
      <c r="AB6" s="83"/>
      <c r="AC6" s="92"/>
      <c r="AD6" s="83"/>
      <c r="AE6" s="83"/>
      <c r="AF6" s="92"/>
      <c r="AG6" s="83"/>
      <c r="AH6" s="83"/>
      <c r="AI6" s="92"/>
      <c r="AJ6" s="83"/>
      <c r="AK6" s="103"/>
      <c r="AL6" s="104">
        <f t="shared" ref="AL6:AL23" si="1">P6+S6+V6+Y6+AB6+AE6+AH6+AK6</f>
        <v>1900000</v>
      </c>
      <c r="AM6" s="105">
        <f t="shared" ref="AM6:AM23" si="2">I6-AL6</f>
        <v>300000</v>
      </c>
      <c r="AN6" s="106">
        <f t="shared" ref="AN6:AN23" si="3">AL6/I6</f>
        <v>0.863636363636364</v>
      </c>
      <c r="AO6" s="105">
        <f t="shared" ref="AO6:AO23" si="4">O6+R6+U6+X6+AA6+AD6+AG6+AJ6</f>
        <v>2200000</v>
      </c>
      <c r="AP6" s="116" t="str">
        <f t="shared" ref="AP6:AP23" si="5">IF(AO6-I6=0,"数据正确","数据错误")</f>
        <v>数据正确</v>
      </c>
    </row>
    <row r="7" s="37" customFormat="1" customHeight="1" spans="1:42">
      <c r="A7" s="56" t="str">
        <f t="shared" ref="A7:A23" si="6">IF(AN7=100%,"已完毕","")</f>
        <v>已完毕</v>
      </c>
      <c r="B7" s="56" t="s">
        <v>83</v>
      </c>
      <c r="C7" s="56" t="s">
        <v>84</v>
      </c>
      <c r="D7" s="61">
        <v>117</v>
      </c>
      <c r="E7" s="62" t="s">
        <v>106</v>
      </c>
      <c r="F7" s="63" t="s">
        <v>25</v>
      </c>
      <c r="G7" s="63" t="s">
        <v>75</v>
      </c>
      <c r="H7" s="64">
        <v>42003</v>
      </c>
      <c r="I7" s="86">
        <v>200000</v>
      </c>
      <c r="J7" s="62" t="s">
        <v>1246</v>
      </c>
      <c r="K7" s="62" t="s">
        <v>1247</v>
      </c>
      <c r="L7" s="62"/>
      <c r="M7" s="87" t="s">
        <v>76</v>
      </c>
      <c r="N7" s="88" t="s">
        <v>1248</v>
      </c>
      <c r="O7" s="86">
        <v>100000</v>
      </c>
      <c r="P7" s="86">
        <v>100000</v>
      </c>
      <c r="Q7" s="93" t="s">
        <v>1249</v>
      </c>
      <c r="R7" s="86">
        <v>50000</v>
      </c>
      <c r="S7" s="86">
        <v>100000</v>
      </c>
      <c r="T7" s="93" t="s">
        <v>1250</v>
      </c>
      <c r="U7" s="86">
        <v>50000</v>
      </c>
      <c r="V7" s="86"/>
      <c r="W7" s="93"/>
      <c r="X7" s="86"/>
      <c r="Y7" s="86"/>
      <c r="Z7" s="93"/>
      <c r="AA7" s="86"/>
      <c r="AB7" s="86"/>
      <c r="AC7" s="93"/>
      <c r="AD7" s="86"/>
      <c r="AE7" s="86"/>
      <c r="AF7" s="93"/>
      <c r="AG7" s="86"/>
      <c r="AH7" s="86"/>
      <c r="AI7" s="93"/>
      <c r="AJ7" s="86"/>
      <c r="AK7" s="107"/>
      <c r="AL7" s="108">
        <f t="shared" si="1"/>
        <v>200000</v>
      </c>
      <c r="AM7" s="109">
        <f t="shared" si="2"/>
        <v>0</v>
      </c>
      <c r="AN7" s="110">
        <f t="shared" si="3"/>
        <v>1</v>
      </c>
      <c r="AO7" s="109">
        <f t="shared" si="4"/>
        <v>200000</v>
      </c>
      <c r="AP7" s="117" t="str">
        <f t="shared" si="5"/>
        <v>数据正确</v>
      </c>
    </row>
    <row r="8" s="37" customFormat="1" customHeight="1" spans="1:42">
      <c r="A8" s="56" t="str">
        <f t="shared" si="6"/>
        <v/>
      </c>
      <c r="B8" s="56" t="s">
        <v>83</v>
      </c>
      <c r="C8" s="56" t="s">
        <v>84</v>
      </c>
      <c r="D8" s="61">
        <v>115</v>
      </c>
      <c r="E8" s="62" t="s">
        <v>1251</v>
      </c>
      <c r="F8" s="63" t="s">
        <v>25</v>
      </c>
      <c r="G8" s="63" t="s">
        <v>75</v>
      </c>
      <c r="H8" s="64">
        <v>42020</v>
      </c>
      <c r="I8" s="86">
        <v>550000</v>
      </c>
      <c r="J8" s="62" t="s">
        <v>1252</v>
      </c>
      <c r="K8" s="62" t="s">
        <v>1253</v>
      </c>
      <c r="L8" s="62"/>
      <c r="M8" s="87" t="s">
        <v>76</v>
      </c>
      <c r="N8" s="88" t="s">
        <v>1254</v>
      </c>
      <c r="O8" s="86">
        <f>I8*0.5</f>
        <v>275000</v>
      </c>
      <c r="P8" s="86">
        <f>200000</f>
        <v>200000</v>
      </c>
      <c r="Q8" s="93" t="s">
        <v>1255</v>
      </c>
      <c r="R8" s="86">
        <f>I8*0.5</f>
        <v>275000</v>
      </c>
      <c r="S8" s="86">
        <v>275000</v>
      </c>
      <c r="T8" s="93"/>
      <c r="U8" s="86"/>
      <c r="V8" s="86"/>
      <c r="W8" s="93"/>
      <c r="X8" s="86"/>
      <c r="Y8" s="86"/>
      <c r="Z8" s="93"/>
      <c r="AA8" s="86"/>
      <c r="AB8" s="86"/>
      <c r="AC8" s="93"/>
      <c r="AD8" s="86"/>
      <c r="AE8" s="86"/>
      <c r="AF8" s="93"/>
      <c r="AG8" s="86"/>
      <c r="AH8" s="86"/>
      <c r="AI8" s="93"/>
      <c r="AJ8" s="86"/>
      <c r="AK8" s="107"/>
      <c r="AL8" s="108">
        <f t="shared" si="1"/>
        <v>475000</v>
      </c>
      <c r="AM8" s="109">
        <f t="shared" si="2"/>
        <v>75000</v>
      </c>
      <c r="AN8" s="110">
        <f t="shared" si="3"/>
        <v>0.863636363636364</v>
      </c>
      <c r="AO8" s="109">
        <f t="shared" si="4"/>
        <v>550000</v>
      </c>
      <c r="AP8" s="117" t="str">
        <f t="shared" si="5"/>
        <v>数据正确</v>
      </c>
    </row>
    <row r="9" s="37" customFormat="1" customHeight="1" spans="1:42">
      <c r="A9" s="56" t="str">
        <f t="shared" si="6"/>
        <v/>
      </c>
      <c r="B9" s="56" t="s">
        <v>83</v>
      </c>
      <c r="C9" s="56" t="s">
        <v>84</v>
      </c>
      <c r="D9" s="61">
        <v>122</v>
      </c>
      <c r="E9" s="62" t="s">
        <v>106</v>
      </c>
      <c r="F9" s="63" t="s">
        <v>25</v>
      </c>
      <c r="G9" s="63" t="s">
        <v>75</v>
      </c>
      <c r="H9" s="64">
        <v>42023</v>
      </c>
      <c r="I9" s="86">
        <v>78313</v>
      </c>
      <c r="J9" s="62" t="s">
        <v>1256</v>
      </c>
      <c r="K9" s="62" t="s">
        <v>1257</v>
      </c>
      <c r="L9" s="62"/>
      <c r="M9" s="87" t="s">
        <v>76</v>
      </c>
      <c r="N9" s="88" t="s">
        <v>1258</v>
      </c>
      <c r="O9" s="86">
        <f>I9</f>
        <v>78313</v>
      </c>
      <c r="P9" s="86"/>
      <c r="Q9" s="93"/>
      <c r="R9" s="86"/>
      <c r="S9" s="86"/>
      <c r="T9" s="93"/>
      <c r="U9" s="86"/>
      <c r="V9" s="86"/>
      <c r="W9" s="93"/>
      <c r="X9" s="86"/>
      <c r="Y9" s="86"/>
      <c r="Z9" s="93"/>
      <c r="AA9" s="86"/>
      <c r="AB9" s="86"/>
      <c r="AC9" s="93"/>
      <c r="AD9" s="86"/>
      <c r="AE9" s="86"/>
      <c r="AF9" s="93"/>
      <c r="AG9" s="86"/>
      <c r="AH9" s="86"/>
      <c r="AI9" s="93"/>
      <c r="AJ9" s="86"/>
      <c r="AK9" s="107"/>
      <c r="AL9" s="108">
        <f t="shared" si="1"/>
        <v>0</v>
      </c>
      <c r="AM9" s="109">
        <f t="shared" si="2"/>
        <v>78313</v>
      </c>
      <c r="AN9" s="110">
        <f t="shared" si="3"/>
        <v>0</v>
      </c>
      <c r="AO9" s="109">
        <f t="shared" si="4"/>
        <v>78313</v>
      </c>
      <c r="AP9" s="117" t="str">
        <f t="shared" si="5"/>
        <v>数据正确</v>
      </c>
    </row>
    <row r="10" s="37" customFormat="1" customHeight="1" spans="1:42">
      <c r="A10" s="56" t="str">
        <f t="shared" si="6"/>
        <v>已完毕</v>
      </c>
      <c r="B10" s="56" t="s">
        <v>83</v>
      </c>
      <c r="C10" s="56" t="s">
        <v>84</v>
      </c>
      <c r="D10" s="61">
        <v>116</v>
      </c>
      <c r="E10" s="62" t="s">
        <v>1259</v>
      </c>
      <c r="F10" s="63" t="s">
        <v>25</v>
      </c>
      <c r="G10" s="63" t="s">
        <v>75</v>
      </c>
      <c r="H10" s="64">
        <v>42039</v>
      </c>
      <c r="I10" s="86">
        <v>130000</v>
      </c>
      <c r="J10" s="62" t="s">
        <v>1260</v>
      </c>
      <c r="K10" s="62" t="s">
        <v>1261</v>
      </c>
      <c r="L10" s="62"/>
      <c r="M10" s="87" t="s">
        <v>76</v>
      </c>
      <c r="N10" s="88" t="s">
        <v>1248</v>
      </c>
      <c r="O10" s="86">
        <f>I10*0.3</f>
        <v>39000</v>
      </c>
      <c r="P10" s="86">
        <v>39000</v>
      </c>
      <c r="Q10" s="93" t="s">
        <v>1262</v>
      </c>
      <c r="R10" s="86">
        <f>I10*0.3</f>
        <v>39000</v>
      </c>
      <c r="S10" s="86">
        <v>39000</v>
      </c>
      <c r="T10" s="93" t="s">
        <v>1263</v>
      </c>
      <c r="U10" s="86">
        <f>I10*0.4</f>
        <v>52000</v>
      </c>
      <c r="V10" s="86">
        <v>52000</v>
      </c>
      <c r="W10" s="93"/>
      <c r="X10" s="86"/>
      <c r="Y10" s="86"/>
      <c r="Z10" s="93"/>
      <c r="AA10" s="86"/>
      <c r="AB10" s="86"/>
      <c r="AC10" s="93"/>
      <c r="AD10" s="86"/>
      <c r="AE10" s="86"/>
      <c r="AF10" s="93"/>
      <c r="AG10" s="86"/>
      <c r="AH10" s="86"/>
      <c r="AI10" s="93"/>
      <c r="AJ10" s="86"/>
      <c r="AK10" s="107"/>
      <c r="AL10" s="108">
        <f t="shared" si="1"/>
        <v>130000</v>
      </c>
      <c r="AM10" s="109">
        <f t="shared" si="2"/>
        <v>0</v>
      </c>
      <c r="AN10" s="110">
        <f t="shared" si="3"/>
        <v>1</v>
      </c>
      <c r="AO10" s="109">
        <f t="shared" si="4"/>
        <v>130000</v>
      </c>
      <c r="AP10" s="117" t="str">
        <f t="shared" si="5"/>
        <v>数据正确</v>
      </c>
    </row>
    <row r="11" s="37" customFormat="1" customHeight="1" spans="1:42">
      <c r="A11" s="56" t="str">
        <f t="shared" si="6"/>
        <v>已完毕</v>
      </c>
      <c r="B11" s="56" t="s">
        <v>83</v>
      </c>
      <c r="C11" s="56" t="s">
        <v>84</v>
      </c>
      <c r="D11" s="61">
        <v>125</v>
      </c>
      <c r="E11" s="62">
        <v>7583054592</v>
      </c>
      <c r="F11" s="63" t="s">
        <v>25</v>
      </c>
      <c r="G11" s="63" t="s">
        <v>75</v>
      </c>
      <c r="H11" s="64">
        <v>42047</v>
      </c>
      <c r="I11" s="86">
        <v>0.001</v>
      </c>
      <c r="J11" s="62" t="s">
        <v>1264</v>
      </c>
      <c r="K11" s="62" t="s">
        <v>1265</v>
      </c>
      <c r="L11" s="62"/>
      <c r="M11" s="87" t="s">
        <v>76</v>
      </c>
      <c r="N11" s="88" t="s">
        <v>1266</v>
      </c>
      <c r="O11" s="86">
        <v>0.001</v>
      </c>
      <c r="P11" s="86">
        <v>0.001</v>
      </c>
      <c r="Q11" s="93"/>
      <c r="R11" s="86"/>
      <c r="S11" s="86"/>
      <c r="T11" s="93"/>
      <c r="U11" s="86"/>
      <c r="V11" s="86"/>
      <c r="W11" s="93"/>
      <c r="X11" s="86"/>
      <c r="Y11" s="86"/>
      <c r="Z11" s="93"/>
      <c r="AA11" s="86"/>
      <c r="AB11" s="86"/>
      <c r="AC11" s="93"/>
      <c r="AD11" s="86"/>
      <c r="AE11" s="86"/>
      <c r="AF11" s="93"/>
      <c r="AG11" s="86"/>
      <c r="AH11" s="86"/>
      <c r="AI11" s="93"/>
      <c r="AJ11" s="86"/>
      <c r="AK11" s="107"/>
      <c r="AL11" s="108">
        <f t="shared" si="1"/>
        <v>0.001</v>
      </c>
      <c r="AM11" s="109">
        <f t="shared" si="2"/>
        <v>0</v>
      </c>
      <c r="AN11" s="110">
        <f t="shared" si="3"/>
        <v>1</v>
      </c>
      <c r="AO11" s="109">
        <f t="shared" si="4"/>
        <v>0.001</v>
      </c>
      <c r="AP11" s="117" t="str">
        <f t="shared" si="5"/>
        <v>数据正确</v>
      </c>
    </row>
    <row r="12" s="37" customFormat="1" customHeight="1" spans="1:42">
      <c r="A12" s="56" t="str">
        <f t="shared" si="6"/>
        <v>已完毕</v>
      </c>
      <c r="B12" s="56" t="s">
        <v>83</v>
      </c>
      <c r="C12" s="56" t="s">
        <v>84</v>
      </c>
      <c r="D12" s="61">
        <v>119</v>
      </c>
      <c r="E12" s="62" t="s">
        <v>1267</v>
      </c>
      <c r="F12" s="63" t="s">
        <v>25</v>
      </c>
      <c r="G12" s="63" t="s">
        <v>75</v>
      </c>
      <c r="H12" s="64">
        <v>42051</v>
      </c>
      <c r="I12" s="86">
        <v>12199000</v>
      </c>
      <c r="J12" s="62" t="s">
        <v>1268</v>
      </c>
      <c r="K12" s="62" t="s">
        <v>1269</v>
      </c>
      <c r="L12" s="62"/>
      <c r="M12" s="87" t="s">
        <v>76</v>
      </c>
      <c r="N12" s="88" t="s">
        <v>1270</v>
      </c>
      <c r="O12" s="86">
        <f>I12</f>
        <v>12199000</v>
      </c>
      <c r="P12" s="86">
        <f>12199000</f>
        <v>12199000</v>
      </c>
      <c r="Q12" s="93"/>
      <c r="R12" s="86"/>
      <c r="S12" s="86"/>
      <c r="T12" s="93"/>
      <c r="U12" s="86"/>
      <c r="V12" s="86"/>
      <c r="W12" s="93"/>
      <c r="X12" s="86"/>
      <c r="Y12" s="86"/>
      <c r="Z12" s="93"/>
      <c r="AA12" s="86"/>
      <c r="AB12" s="86"/>
      <c r="AC12" s="93"/>
      <c r="AD12" s="86"/>
      <c r="AE12" s="86"/>
      <c r="AF12" s="93"/>
      <c r="AG12" s="86"/>
      <c r="AH12" s="86"/>
      <c r="AI12" s="93"/>
      <c r="AJ12" s="86"/>
      <c r="AK12" s="107"/>
      <c r="AL12" s="108">
        <f t="shared" si="1"/>
        <v>12199000</v>
      </c>
      <c r="AM12" s="109">
        <f t="shared" si="2"/>
        <v>0</v>
      </c>
      <c r="AN12" s="110">
        <f t="shared" si="3"/>
        <v>1</v>
      </c>
      <c r="AO12" s="109">
        <f t="shared" si="4"/>
        <v>12199000</v>
      </c>
      <c r="AP12" s="117" t="str">
        <f t="shared" si="5"/>
        <v>数据正确</v>
      </c>
    </row>
    <row r="13" s="37" customFormat="1" customHeight="1" spans="1:42">
      <c r="A13" s="56" t="str">
        <f t="shared" si="6"/>
        <v>已完毕</v>
      </c>
      <c r="B13" s="56" t="s">
        <v>83</v>
      </c>
      <c r="C13" s="56" t="s">
        <v>84</v>
      </c>
      <c r="D13" s="61">
        <v>120</v>
      </c>
      <c r="E13" s="62" t="s">
        <v>1271</v>
      </c>
      <c r="F13" s="63" t="s">
        <v>25</v>
      </c>
      <c r="G13" s="63" t="s">
        <v>75</v>
      </c>
      <c r="H13" s="64">
        <v>42051</v>
      </c>
      <c r="I13" s="86">
        <v>18557800</v>
      </c>
      <c r="J13" s="62" t="s">
        <v>1268</v>
      </c>
      <c r="K13" s="62" t="s">
        <v>1269</v>
      </c>
      <c r="L13" s="62"/>
      <c r="M13" s="87" t="s">
        <v>76</v>
      </c>
      <c r="N13" s="88" t="s">
        <v>1272</v>
      </c>
      <c r="O13" s="86">
        <f>I13</f>
        <v>18557800</v>
      </c>
      <c r="P13" s="86">
        <f>18557800</f>
        <v>18557800</v>
      </c>
      <c r="Q13" s="93"/>
      <c r="R13" s="86"/>
      <c r="S13" s="86"/>
      <c r="T13" s="93"/>
      <c r="U13" s="86"/>
      <c r="V13" s="86"/>
      <c r="W13" s="93"/>
      <c r="X13" s="86"/>
      <c r="Y13" s="86"/>
      <c r="Z13" s="93"/>
      <c r="AA13" s="86"/>
      <c r="AB13" s="86"/>
      <c r="AC13" s="93"/>
      <c r="AD13" s="86"/>
      <c r="AE13" s="86"/>
      <c r="AF13" s="93"/>
      <c r="AG13" s="86"/>
      <c r="AH13" s="86"/>
      <c r="AI13" s="93"/>
      <c r="AJ13" s="86"/>
      <c r="AK13" s="107"/>
      <c r="AL13" s="108">
        <f t="shared" si="1"/>
        <v>18557800</v>
      </c>
      <c r="AM13" s="109">
        <f t="shared" si="2"/>
        <v>0</v>
      </c>
      <c r="AN13" s="110">
        <f t="shared" si="3"/>
        <v>1</v>
      </c>
      <c r="AO13" s="109">
        <f t="shared" si="4"/>
        <v>18557800</v>
      </c>
      <c r="AP13" s="117" t="str">
        <f t="shared" si="5"/>
        <v>数据正确</v>
      </c>
    </row>
    <row r="14" s="37" customFormat="1" customHeight="1" spans="1:42">
      <c r="A14" s="56" t="str">
        <f t="shared" si="6"/>
        <v/>
      </c>
      <c r="B14" s="56" t="s">
        <v>83</v>
      </c>
      <c r="C14" s="56" t="s">
        <v>84</v>
      </c>
      <c r="D14" s="61">
        <v>65</v>
      </c>
      <c r="E14" s="62" t="s">
        <v>1273</v>
      </c>
      <c r="F14" s="63" t="s">
        <v>25</v>
      </c>
      <c r="G14" s="63" t="s">
        <v>75</v>
      </c>
      <c r="H14" s="64">
        <v>42160</v>
      </c>
      <c r="I14" s="86">
        <f>25000000-3060000</f>
        <v>21940000</v>
      </c>
      <c r="J14" s="62" t="s">
        <v>1274</v>
      </c>
      <c r="K14" s="62" t="s">
        <v>1275</v>
      </c>
      <c r="L14" s="62" t="s">
        <v>1276</v>
      </c>
      <c r="M14" s="87" t="s">
        <v>838</v>
      </c>
      <c r="N14" s="88" t="s">
        <v>1277</v>
      </c>
      <c r="O14" s="86">
        <f>I14*0.15</f>
        <v>3291000</v>
      </c>
      <c r="P14" s="86">
        <f>3704879.76+45120.24</f>
        <v>3750000</v>
      </c>
      <c r="Q14" s="93" t="s">
        <v>1278</v>
      </c>
      <c r="R14" s="86">
        <f>I14*0.05</f>
        <v>1097000</v>
      </c>
      <c r="S14" s="86">
        <f>6125000+2625000+1250000</f>
        <v>10000000</v>
      </c>
      <c r="T14" s="93" t="s">
        <v>1279</v>
      </c>
      <c r="U14" s="86">
        <f>I14*0.3</f>
        <v>6582000</v>
      </c>
      <c r="V14" s="86">
        <v>1133000</v>
      </c>
      <c r="W14" s="93" t="s">
        <v>1280</v>
      </c>
      <c r="X14" s="86">
        <f>I14*0.05</f>
        <v>1097000</v>
      </c>
      <c r="Y14" s="86"/>
      <c r="Z14" s="93" t="s">
        <v>1281</v>
      </c>
      <c r="AA14" s="86">
        <f>I14*0.05</f>
        <v>1097000</v>
      </c>
      <c r="AB14" s="86"/>
      <c r="AC14" s="93" t="s">
        <v>1282</v>
      </c>
      <c r="AD14" s="86">
        <f>I14*0.3</f>
        <v>6582000</v>
      </c>
      <c r="AE14" s="86"/>
      <c r="AF14" s="93" t="s">
        <v>1283</v>
      </c>
      <c r="AG14" s="86">
        <f>I14*0.1</f>
        <v>2194000</v>
      </c>
      <c r="AH14" s="86"/>
      <c r="AI14" s="93"/>
      <c r="AJ14" s="86"/>
      <c r="AK14" s="107"/>
      <c r="AL14" s="108">
        <f t="shared" si="1"/>
        <v>14883000</v>
      </c>
      <c r="AM14" s="109">
        <f t="shared" si="2"/>
        <v>7057000</v>
      </c>
      <c r="AN14" s="110">
        <f t="shared" si="3"/>
        <v>0.678350045578851</v>
      </c>
      <c r="AO14" s="109">
        <f t="shared" si="4"/>
        <v>21940000</v>
      </c>
      <c r="AP14" s="117" t="str">
        <f t="shared" si="5"/>
        <v>数据正确</v>
      </c>
    </row>
    <row r="15" s="37" customFormat="1" customHeight="1" spans="1:42">
      <c r="A15" s="56" t="str">
        <f t="shared" si="6"/>
        <v>已完毕</v>
      </c>
      <c r="B15" s="56" t="s">
        <v>83</v>
      </c>
      <c r="C15" s="56" t="s">
        <v>84</v>
      </c>
      <c r="D15" s="61">
        <v>118</v>
      </c>
      <c r="E15" s="62" t="s">
        <v>1284</v>
      </c>
      <c r="F15" s="63" t="s">
        <v>25</v>
      </c>
      <c r="G15" s="63" t="s">
        <v>75</v>
      </c>
      <c r="H15" s="64">
        <v>42178</v>
      </c>
      <c r="I15" s="86">
        <v>62470000</v>
      </c>
      <c r="J15" s="62" t="s">
        <v>1285</v>
      </c>
      <c r="K15" s="62" t="s">
        <v>1286</v>
      </c>
      <c r="L15" s="62"/>
      <c r="M15" s="87" t="s">
        <v>76</v>
      </c>
      <c r="N15" s="88" t="s">
        <v>1287</v>
      </c>
      <c r="O15" s="86">
        <f t="shared" ref="O15:O20" si="7">I15</f>
        <v>62470000</v>
      </c>
      <c r="P15" s="86">
        <f>12490000+13510000+11000000+15000000+10470000</f>
        <v>62470000</v>
      </c>
      <c r="Q15" s="93"/>
      <c r="R15" s="86"/>
      <c r="S15" s="86"/>
      <c r="T15" s="93"/>
      <c r="U15" s="86"/>
      <c r="V15" s="86"/>
      <c r="W15" s="93"/>
      <c r="X15" s="86"/>
      <c r="Y15" s="86"/>
      <c r="Z15" s="93"/>
      <c r="AA15" s="86"/>
      <c r="AB15" s="86"/>
      <c r="AC15" s="93"/>
      <c r="AD15" s="86"/>
      <c r="AE15" s="86"/>
      <c r="AF15" s="93"/>
      <c r="AG15" s="86"/>
      <c r="AH15" s="86"/>
      <c r="AI15" s="93"/>
      <c r="AJ15" s="86"/>
      <c r="AK15" s="107"/>
      <c r="AL15" s="108">
        <f t="shared" si="1"/>
        <v>62470000</v>
      </c>
      <c r="AM15" s="109">
        <f t="shared" si="2"/>
        <v>0</v>
      </c>
      <c r="AN15" s="110">
        <f t="shared" si="3"/>
        <v>1</v>
      </c>
      <c r="AO15" s="109">
        <f t="shared" si="4"/>
        <v>62470000</v>
      </c>
      <c r="AP15" s="117" t="str">
        <f t="shared" si="5"/>
        <v>数据正确</v>
      </c>
    </row>
    <row r="16" s="37" customFormat="1" customHeight="1" spans="1:42">
      <c r="A16" s="56" t="str">
        <f t="shared" si="6"/>
        <v>已完毕</v>
      </c>
      <c r="B16" s="56" t="s">
        <v>83</v>
      </c>
      <c r="C16" s="56" t="s">
        <v>84</v>
      </c>
      <c r="D16" s="61">
        <v>129</v>
      </c>
      <c r="E16" s="62" t="s">
        <v>106</v>
      </c>
      <c r="F16" s="63" t="s">
        <v>25</v>
      </c>
      <c r="G16" s="63" t="s">
        <v>75</v>
      </c>
      <c r="H16" s="64">
        <v>42220</v>
      </c>
      <c r="I16" s="86">
        <v>100000</v>
      </c>
      <c r="J16" s="62" t="s">
        <v>1288</v>
      </c>
      <c r="K16" s="62" t="s">
        <v>1289</v>
      </c>
      <c r="L16" s="62"/>
      <c r="M16" s="87" t="s">
        <v>76</v>
      </c>
      <c r="N16" s="88" t="s">
        <v>1290</v>
      </c>
      <c r="O16" s="86">
        <f>100000</f>
        <v>100000</v>
      </c>
      <c r="P16" s="86">
        <f>50000+50000</f>
        <v>100000</v>
      </c>
      <c r="Q16" s="93"/>
      <c r="R16" s="86"/>
      <c r="S16" s="86"/>
      <c r="T16" s="93"/>
      <c r="U16" s="86"/>
      <c r="V16" s="86"/>
      <c r="W16" s="93"/>
      <c r="X16" s="86"/>
      <c r="Y16" s="86"/>
      <c r="Z16" s="93"/>
      <c r="AA16" s="86"/>
      <c r="AB16" s="86"/>
      <c r="AC16" s="93"/>
      <c r="AD16" s="86"/>
      <c r="AE16" s="86"/>
      <c r="AF16" s="93"/>
      <c r="AG16" s="86"/>
      <c r="AH16" s="86"/>
      <c r="AI16" s="93"/>
      <c r="AJ16" s="86"/>
      <c r="AK16" s="107"/>
      <c r="AL16" s="108">
        <f t="shared" si="1"/>
        <v>100000</v>
      </c>
      <c r="AM16" s="109">
        <f t="shared" si="2"/>
        <v>0</v>
      </c>
      <c r="AN16" s="110">
        <f t="shared" si="3"/>
        <v>1</v>
      </c>
      <c r="AO16" s="109">
        <f t="shared" si="4"/>
        <v>100000</v>
      </c>
      <c r="AP16" s="117" t="str">
        <f t="shared" si="5"/>
        <v>数据正确</v>
      </c>
    </row>
    <row r="17" s="37" customFormat="1" customHeight="1" spans="1:42">
      <c r="A17" s="56" t="str">
        <f t="shared" si="6"/>
        <v>已完毕</v>
      </c>
      <c r="B17" s="56" t="s">
        <v>83</v>
      </c>
      <c r="C17" s="56" t="s">
        <v>84</v>
      </c>
      <c r="D17" s="61">
        <v>124</v>
      </c>
      <c r="E17" s="62" t="s">
        <v>1291</v>
      </c>
      <c r="F17" s="63" t="s">
        <v>25</v>
      </c>
      <c r="G17" s="63" t="s">
        <v>75</v>
      </c>
      <c r="H17" s="64">
        <v>42451</v>
      </c>
      <c r="I17" s="86">
        <v>39206000</v>
      </c>
      <c r="J17" s="62" t="s">
        <v>1292</v>
      </c>
      <c r="K17" s="62" t="s">
        <v>1286</v>
      </c>
      <c r="L17" s="62"/>
      <c r="M17" s="87" t="s">
        <v>76</v>
      </c>
      <c r="N17" s="88" t="s">
        <v>1287</v>
      </c>
      <c r="O17" s="86">
        <f t="shared" si="7"/>
        <v>39206000</v>
      </c>
      <c r="P17" s="86">
        <f>7850000+31356000</f>
        <v>39206000</v>
      </c>
      <c r="Q17" s="93"/>
      <c r="R17" s="86"/>
      <c r="S17" s="86"/>
      <c r="T17" s="93"/>
      <c r="U17" s="86"/>
      <c r="V17" s="86"/>
      <c r="W17" s="93"/>
      <c r="X17" s="86"/>
      <c r="Y17" s="86"/>
      <c r="Z17" s="93"/>
      <c r="AA17" s="86"/>
      <c r="AB17" s="86"/>
      <c r="AC17" s="93"/>
      <c r="AD17" s="86"/>
      <c r="AE17" s="86"/>
      <c r="AF17" s="93"/>
      <c r="AG17" s="86"/>
      <c r="AH17" s="86"/>
      <c r="AI17" s="93"/>
      <c r="AJ17" s="86"/>
      <c r="AK17" s="107"/>
      <c r="AL17" s="108">
        <f t="shared" si="1"/>
        <v>39206000</v>
      </c>
      <c r="AM17" s="109">
        <f t="shared" si="2"/>
        <v>0</v>
      </c>
      <c r="AN17" s="110">
        <f t="shared" si="3"/>
        <v>1</v>
      </c>
      <c r="AO17" s="109">
        <f t="shared" si="4"/>
        <v>39206000</v>
      </c>
      <c r="AP17" s="117" t="str">
        <f t="shared" si="5"/>
        <v>数据正确</v>
      </c>
    </row>
    <row r="18" s="37" customFormat="1" customHeight="1" spans="1:42">
      <c r="A18" s="56" t="str">
        <f t="shared" si="6"/>
        <v/>
      </c>
      <c r="B18" s="56" t="s">
        <v>83</v>
      </c>
      <c r="C18" s="56" t="s">
        <v>84</v>
      </c>
      <c r="D18" s="61">
        <v>123</v>
      </c>
      <c r="E18" s="62" t="s">
        <v>1293</v>
      </c>
      <c r="F18" s="63" t="s">
        <v>25</v>
      </c>
      <c r="G18" s="63" t="s">
        <v>75</v>
      </c>
      <c r="H18" s="64">
        <v>42460</v>
      </c>
      <c r="I18" s="86">
        <v>180000</v>
      </c>
      <c r="J18" s="62" t="s">
        <v>1294</v>
      </c>
      <c r="K18" s="62" t="s">
        <v>1295</v>
      </c>
      <c r="L18" s="62"/>
      <c r="M18" s="87" t="s">
        <v>76</v>
      </c>
      <c r="N18" s="88" t="s">
        <v>1296</v>
      </c>
      <c r="O18" s="86">
        <f>I18*0.2</f>
        <v>36000</v>
      </c>
      <c r="P18" s="86"/>
      <c r="Q18" s="93" t="s">
        <v>1297</v>
      </c>
      <c r="R18" s="86">
        <f>I18*0.3</f>
        <v>54000</v>
      </c>
      <c r="S18" s="86"/>
      <c r="T18" s="93" t="s">
        <v>1298</v>
      </c>
      <c r="U18" s="86">
        <f>I18*0.5</f>
        <v>90000</v>
      </c>
      <c r="V18" s="86"/>
      <c r="W18" s="93"/>
      <c r="X18" s="86"/>
      <c r="Y18" s="86"/>
      <c r="Z18" s="93"/>
      <c r="AA18" s="86"/>
      <c r="AB18" s="86"/>
      <c r="AC18" s="93"/>
      <c r="AD18" s="86"/>
      <c r="AE18" s="86"/>
      <c r="AF18" s="93"/>
      <c r="AG18" s="86"/>
      <c r="AH18" s="86"/>
      <c r="AI18" s="93"/>
      <c r="AJ18" s="86"/>
      <c r="AK18" s="107"/>
      <c r="AL18" s="108">
        <f t="shared" si="1"/>
        <v>0</v>
      </c>
      <c r="AM18" s="109">
        <f t="shared" si="2"/>
        <v>180000</v>
      </c>
      <c r="AN18" s="110">
        <f t="shared" si="3"/>
        <v>0</v>
      </c>
      <c r="AO18" s="109">
        <f t="shared" si="4"/>
        <v>180000</v>
      </c>
      <c r="AP18" s="117" t="str">
        <f t="shared" si="5"/>
        <v>数据正确</v>
      </c>
    </row>
    <row r="19" s="37" customFormat="1" customHeight="1" spans="1:42">
      <c r="A19" s="56" t="str">
        <f t="shared" si="6"/>
        <v>已完毕</v>
      </c>
      <c r="B19" s="56" t="s">
        <v>83</v>
      </c>
      <c r="C19" s="56" t="s">
        <v>84</v>
      </c>
      <c r="D19" s="61">
        <v>121</v>
      </c>
      <c r="E19" s="62" t="s">
        <v>106</v>
      </c>
      <c r="F19" s="63" t="s">
        <v>25</v>
      </c>
      <c r="G19" s="63" t="s">
        <v>75</v>
      </c>
      <c r="H19" s="64">
        <v>42520</v>
      </c>
      <c r="I19" s="86">
        <v>62439385.77</v>
      </c>
      <c r="J19" s="62" t="s">
        <v>1299</v>
      </c>
      <c r="K19" s="62" t="s">
        <v>1300</v>
      </c>
      <c r="L19" s="62"/>
      <c r="M19" s="87" t="s">
        <v>76</v>
      </c>
      <c r="N19" s="88" t="s">
        <v>1272</v>
      </c>
      <c r="O19" s="86">
        <f t="shared" si="7"/>
        <v>62439385.77</v>
      </c>
      <c r="P19" s="86">
        <f>29810.6+59406195.17+3003380</f>
        <v>62439385.77</v>
      </c>
      <c r="Q19" s="93"/>
      <c r="R19" s="86"/>
      <c r="S19" s="86"/>
      <c r="T19" s="93"/>
      <c r="U19" s="86"/>
      <c r="V19" s="86"/>
      <c r="W19" s="93"/>
      <c r="X19" s="86"/>
      <c r="Y19" s="86"/>
      <c r="Z19" s="93"/>
      <c r="AA19" s="86"/>
      <c r="AB19" s="86"/>
      <c r="AC19" s="93"/>
      <c r="AD19" s="86"/>
      <c r="AE19" s="86"/>
      <c r="AF19" s="93"/>
      <c r="AG19" s="86"/>
      <c r="AH19" s="86"/>
      <c r="AI19" s="93"/>
      <c r="AJ19" s="86"/>
      <c r="AK19" s="107"/>
      <c r="AL19" s="108">
        <f t="shared" si="1"/>
        <v>62439385.77</v>
      </c>
      <c r="AM19" s="109">
        <f t="shared" si="2"/>
        <v>0</v>
      </c>
      <c r="AN19" s="110">
        <f t="shared" si="3"/>
        <v>1</v>
      </c>
      <c r="AO19" s="109">
        <f t="shared" si="4"/>
        <v>62439385.77</v>
      </c>
      <c r="AP19" s="117" t="str">
        <f t="shared" si="5"/>
        <v>数据正确</v>
      </c>
    </row>
    <row r="20" s="37" customFormat="1" customHeight="1" spans="1:42">
      <c r="A20" s="56" t="e">
        <f t="shared" si="6"/>
        <v>#DIV/0!</v>
      </c>
      <c r="B20" s="56" t="s">
        <v>83</v>
      </c>
      <c r="C20" s="56" t="s">
        <v>84</v>
      </c>
      <c r="D20" s="61">
        <v>187</v>
      </c>
      <c r="E20" s="62" t="s">
        <v>106</v>
      </c>
      <c r="F20" s="63" t="s">
        <v>25</v>
      </c>
      <c r="G20" s="63" t="s">
        <v>75</v>
      </c>
      <c r="H20" s="64">
        <v>42520</v>
      </c>
      <c r="I20" s="86">
        <v>0</v>
      </c>
      <c r="J20" s="62" t="s">
        <v>1301</v>
      </c>
      <c r="K20" s="62" t="s">
        <v>1300</v>
      </c>
      <c r="L20" s="62"/>
      <c r="M20" s="87" t="s">
        <v>76</v>
      </c>
      <c r="N20" s="88" t="s">
        <v>1272</v>
      </c>
      <c r="O20" s="86">
        <f t="shared" si="7"/>
        <v>0</v>
      </c>
      <c r="P20" s="86">
        <f>O20</f>
        <v>0</v>
      </c>
      <c r="Q20" s="93"/>
      <c r="R20" s="86"/>
      <c r="S20" s="86"/>
      <c r="T20" s="93"/>
      <c r="U20" s="86"/>
      <c r="V20" s="86"/>
      <c r="W20" s="93"/>
      <c r="X20" s="86"/>
      <c r="Y20" s="86"/>
      <c r="Z20" s="93"/>
      <c r="AA20" s="86"/>
      <c r="AB20" s="86"/>
      <c r="AC20" s="93"/>
      <c r="AD20" s="86"/>
      <c r="AE20" s="86"/>
      <c r="AF20" s="93"/>
      <c r="AG20" s="86"/>
      <c r="AH20" s="86"/>
      <c r="AI20" s="93"/>
      <c r="AJ20" s="86"/>
      <c r="AK20" s="107"/>
      <c r="AL20" s="108">
        <f t="shared" si="1"/>
        <v>0</v>
      </c>
      <c r="AM20" s="109">
        <f t="shared" si="2"/>
        <v>0</v>
      </c>
      <c r="AN20" s="110" t="e">
        <f t="shared" si="3"/>
        <v>#DIV/0!</v>
      </c>
      <c r="AO20" s="109">
        <f t="shared" si="4"/>
        <v>0</v>
      </c>
      <c r="AP20" s="117" t="str">
        <f t="shared" si="5"/>
        <v>数据正确</v>
      </c>
    </row>
    <row r="21" s="37" customFormat="1" customHeight="1" spans="1:44">
      <c r="A21" s="56" t="str">
        <f t="shared" si="6"/>
        <v>已完毕</v>
      </c>
      <c r="B21" s="56" t="s">
        <v>83</v>
      </c>
      <c r="C21" s="56" t="s">
        <v>84</v>
      </c>
      <c r="D21" s="61">
        <v>41</v>
      </c>
      <c r="E21" s="62" t="s">
        <v>1302</v>
      </c>
      <c r="F21" s="63" t="s">
        <v>25</v>
      </c>
      <c r="G21" s="63"/>
      <c r="H21" s="64">
        <v>42865</v>
      </c>
      <c r="I21" s="86">
        <v>98000</v>
      </c>
      <c r="J21" s="62" t="s">
        <v>1303</v>
      </c>
      <c r="K21" s="62" t="s">
        <v>1304</v>
      </c>
      <c r="L21" s="62" t="s">
        <v>1276</v>
      </c>
      <c r="M21" s="87" t="s">
        <v>76</v>
      </c>
      <c r="N21" s="88" t="s">
        <v>1305</v>
      </c>
      <c r="O21" s="86">
        <v>28000</v>
      </c>
      <c r="P21" s="86">
        <v>28000</v>
      </c>
      <c r="Q21" s="93" t="s">
        <v>1306</v>
      </c>
      <c r="R21" s="86">
        <v>70000</v>
      </c>
      <c r="S21" s="86">
        <v>70000</v>
      </c>
      <c r="T21" s="93"/>
      <c r="U21" s="86"/>
      <c r="V21" s="86"/>
      <c r="W21" s="93"/>
      <c r="X21" s="86"/>
      <c r="Y21" s="86"/>
      <c r="Z21" s="93"/>
      <c r="AA21" s="86"/>
      <c r="AB21" s="86"/>
      <c r="AC21" s="93"/>
      <c r="AD21" s="86"/>
      <c r="AE21" s="86"/>
      <c r="AF21" s="93"/>
      <c r="AG21" s="86"/>
      <c r="AH21" s="86"/>
      <c r="AI21" s="93"/>
      <c r="AJ21" s="86"/>
      <c r="AK21" s="107"/>
      <c r="AL21" s="108">
        <f t="shared" si="1"/>
        <v>98000</v>
      </c>
      <c r="AM21" s="109">
        <f t="shared" si="2"/>
        <v>0</v>
      </c>
      <c r="AN21" s="110">
        <f t="shared" si="3"/>
        <v>1</v>
      </c>
      <c r="AO21" s="109">
        <f t="shared" si="4"/>
        <v>98000</v>
      </c>
      <c r="AP21" s="117" t="str">
        <f t="shared" si="5"/>
        <v>数据正确</v>
      </c>
      <c r="AQ21" s="37" t="s">
        <v>106</v>
      </c>
      <c r="AR21" s="37" t="s">
        <v>106</v>
      </c>
    </row>
    <row r="22" s="37" customFormat="1" customHeight="1" spans="1:42">
      <c r="A22" s="56" t="str">
        <f t="shared" si="6"/>
        <v>已完毕</v>
      </c>
      <c r="B22" s="56" t="s">
        <v>83</v>
      </c>
      <c r="C22" s="56" t="s">
        <v>84</v>
      </c>
      <c r="D22" s="61">
        <v>63</v>
      </c>
      <c r="E22" s="62" t="s">
        <v>1307</v>
      </c>
      <c r="F22" s="63" t="s">
        <v>25</v>
      </c>
      <c r="G22" s="63" t="s">
        <v>75</v>
      </c>
      <c r="H22" s="64">
        <v>42881</v>
      </c>
      <c r="I22" s="86">
        <f>P22</f>
        <v>2329791.84</v>
      </c>
      <c r="J22" s="62" t="s">
        <v>1308</v>
      </c>
      <c r="K22" s="62" t="s">
        <v>1309</v>
      </c>
      <c r="L22" s="62"/>
      <c r="M22" s="87" t="s">
        <v>76</v>
      </c>
      <c r="N22" s="88" t="s">
        <v>1310</v>
      </c>
      <c r="O22" s="86">
        <f>I22</f>
        <v>2329791.84</v>
      </c>
      <c r="P22" s="86">
        <f>963591.64+670791.7+695408.5</f>
        <v>2329791.84</v>
      </c>
      <c r="Q22" s="93"/>
      <c r="R22" s="86"/>
      <c r="S22" s="86"/>
      <c r="T22" s="93"/>
      <c r="U22" s="86"/>
      <c r="V22" s="86"/>
      <c r="W22" s="93"/>
      <c r="X22" s="86"/>
      <c r="Y22" s="86"/>
      <c r="Z22" s="93"/>
      <c r="AA22" s="86"/>
      <c r="AB22" s="86"/>
      <c r="AC22" s="93"/>
      <c r="AD22" s="86"/>
      <c r="AE22" s="86"/>
      <c r="AF22" s="93"/>
      <c r="AG22" s="86"/>
      <c r="AH22" s="86"/>
      <c r="AI22" s="93"/>
      <c r="AJ22" s="86"/>
      <c r="AK22" s="107"/>
      <c r="AL22" s="108">
        <f t="shared" si="1"/>
        <v>2329791.84</v>
      </c>
      <c r="AM22" s="109">
        <f t="shared" si="2"/>
        <v>0</v>
      </c>
      <c r="AN22" s="110">
        <f t="shared" si="3"/>
        <v>1</v>
      </c>
      <c r="AO22" s="109">
        <f t="shared" si="4"/>
        <v>2329791.84</v>
      </c>
      <c r="AP22" s="117" t="str">
        <f t="shared" si="5"/>
        <v>数据正确</v>
      </c>
    </row>
    <row r="23" s="37" customFormat="1" customHeight="1" spans="1:42">
      <c r="A23" s="56" t="str">
        <f t="shared" si="6"/>
        <v>已完毕</v>
      </c>
      <c r="B23" s="56" t="s">
        <v>83</v>
      </c>
      <c r="C23" s="56" t="s">
        <v>84</v>
      </c>
      <c r="D23" s="61">
        <v>149</v>
      </c>
      <c r="E23" s="62" t="s">
        <v>106</v>
      </c>
      <c r="F23" s="63" t="s">
        <v>25</v>
      </c>
      <c r="G23" s="63" t="s">
        <v>75</v>
      </c>
      <c r="H23" s="64">
        <v>42370</v>
      </c>
      <c r="I23" s="86">
        <f>5000000+592841.17</f>
        <v>5592841.17</v>
      </c>
      <c r="J23" s="62" t="s">
        <v>1311</v>
      </c>
      <c r="K23" s="62" t="s">
        <v>1312</v>
      </c>
      <c r="L23" s="62"/>
      <c r="M23" s="87" t="s">
        <v>76</v>
      </c>
      <c r="N23" s="88" t="s">
        <v>1313</v>
      </c>
      <c r="O23" s="86">
        <f>I23</f>
        <v>5592841.17</v>
      </c>
      <c r="P23" s="86">
        <v>5592841.17</v>
      </c>
      <c r="Q23" s="93"/>
      <c r="R23" s="86"/>
      <c r="S23" s="86"/>
      <c r="T23" s="93"/>
      <c r="U23" s="86"/>
      <c r="V23" s="86"/>
      <c r="W23" s="93"/>
      <c r="X23" s="86"/>
      <c r="Y23" s="86"/>
      <c r="Z23" s="93"/>
      <c r="AA23" s="86"/>
      <c r="AB23" s="86"/>
      <c r="AC23" s="93"/>
      <c r="AD23" s="86"/>
      <c r="AE23" s="86"/>
      <c r="AF23" s="93"/>
      <c r="AG23" s="86"/>
      <c r="AH23" s="86"/>
      <c r="AI23" s="93"/>
      <c r="AJ23" s="86"/>
      <c r="AK23" s="107"/>
      <c r="AL23" s="108">
        <f t="shared" si="1"/>
        <v>5592841.17</v>
      </c>
      <c r="AM23" s="109">
        <f t="shared" si="2"/>
        <v>0</v>
      </c>
      <c r="AN23" s="110">
        <f t="shared" si="3"/>
        <v>1</v>
      </c>
      <c r="AO23" s="109">
        <f t="shared" si="4"/>
        <v>5592841.17</v>
      </c>
      <c r="AP23" s="117" t="str">
        <f t="shared" si="5"/>
        <v>数据正确</v>
      </c>
    </row>
    <row r="24" s="37" customFormat="1" customHeight="1" spans="1:42">
      <c r="A24" s="56" t="str">
        <f t="shared" ref="A24:A66" si="8">IF(AN24=100%,"已完毕","")</f>
        <v>已完毕</v>
      </c>
      <c r="B24" s="56" t="s">
        <v>83</v>
      </c>
      <c r="C24" s="56" t="s">
        <v>84</v>
      </c>
      <c r="D24" s="61">
        <v>184</v>
      </c>
      <c r="E24" s="62" t="s">
        <v>1314</v>
      </c>
      <c r="F24" s="63" t="s">
        <v>25</v>
      </c>
      <c r="G24" s="63" t="s">
        <v>75</v>
      </c>
      <c r="H24" s="64">
        <v>41233</v>
      </c>
      <c r="I24" s="86">
        <v>8000000</v>
      </c>
      <c r="J24" s="62" t="s">
        <v>1315</v>
      </c>
      <c r="K24" s="62" t="s">
        <v>1316</v>
      </c>
      <c r="L24" s="62"/>
      <c r="M24" s="87" t="s">
        <v>76</v>
      </c>
      <c r="N24" s="88" t="s">
        <v>1317</v>
      </c>
      <c r="O24" s="86">
        <f t="shared" ref="O24:O30" si="9">I24</f>
        <v>8000000</v>
      </c>
      <c r="P24" s="86">
        <f>O24</f>
        <v>8000000</v>
      </c>
      <c r="Q24" s="93"/>
      <c r="R24" s="86"/>
      <c r="S24" s="86"/>
      <c r="T24" s="93"/>
      <c r="U24" s="86"/>
      <c r="V24" s="86"/>
      <c r="W24" s="93"/>
      <c r="X24" s="86"/>
      <c r="Y24" s="86"/>
      <c r="Z24" s="93"/>
      <c r="AA24" s="86"/>
      <c r="AB24" s="86"/>
      <c r="AC24" s="93"/>
      <c r="AD24" s="86"/>
      <c r="AE24" s="86"/>
      <c r="AF24" s="93"/>
      <c r="AG24" s="86"/>
      <c r="AH24" s="86"/>
      <c r="AI24" s="93"/>
      <c r="AJ24" s="86"/>
      <c r="AK24" s="107"/>
      <c r="AL24" s="108">
        <f t="shared" ref="AL24:AL66" si="10">P24+S24+V24+Y24+AB24+AE24+AH24+AK24</f>
        <v>8000000</v>
      </c>
      <c r="AM24" s="109">
        <f t="shared" ref="AM24:AM66" si="11">I24-AL24</f>
        <v>0</v>
      </c>
      <c r="AN24" s="110">
        <f t="shared" ref="AN24:AN66" si="12">AL24/I24</f>
        <v>1</v>
      </c>
      <c r="AO24" s="109">
        <f t="shared" ref="AO24:AO66" si="13">O24+R24+U24+X24+AA24+AD24+AG24+AJ24</f>
        <v>8000000</v>
      </c>
      <c r="AP24" s="117" t="str">
        <f t="shared" ref="AP24:AP66" si="14">IF(AO24-I24=0,"数据正确","数据错误")</f>
        <v>数据正确</v>
      </c>
    </row>
    <row r="25" s="37" customFormat="1" customHeight="1" spans="1:42">
      <c r="A25" s="56" t="str">
        <f t="shared" si="8"/>
        <v>已完毕</v>
      </c>
      <c r="B25" s="56" t="s">
        <v>83</v>
      </c>
      <c r="C25" s="56" t="s">
        <v>84</v>
      </c>
      <c r="D25" s="61">
        <v>185</v>
      </c>
      <c r="E25" s="62" t="s">
        <v>1318</v>
      </c>
      <c r="F25" s="63" t="s">
        <v>25</v>
      </c>
      <c r="G25" s="63" t="s">
        <v>75</v>
      </c>
      <c r="H25" s="64">
        <v>41226</v>
      </c>
      <c r="I25" s="86">
        <v>11200000</v>
      </c>
      <c r="J25" s="62" t="s">
        <v>1319</v>
      </c>
      <c r="K25" s="62" t="s">
        <v>1320</v>
      </c>
      <c r="L25" s="62"/>
      <c r="M25" s="87" t="s">
        <v>76</v>
      </c>
      <c r="N25" s="88" t="s">
        <v>1321</v>
      </c>
      <c r="O25" s="86">
        <v>11200000</v>
      </c>
      <c r="P25" s="86">
        <v>11200000</v>
      </c>
      <c r="Q25" s="93"/>
      <c r="R25" s="86"/>
      <c r="S25" s="86"/>
      <c r="T25" s="93"/>
      <c r="U25" s="86"/>
      <c r="V25" s="86"/>
      <c r="W25" s="93"/>
      <c r="X25" s="86"/>
      <c r="Y25" s="86"/>
      <c r="Z25" s="93"/>
      <c r="AA25" s="86"/>
      <c r="AB25" s="86"/>
      <c r="AC25" s="93"/>
      <c r="AD25" s="86"/>
      <c r="AE25" s="86"/>
      <c r="AF25" s="93"/>
      <c r="AG25" s="86"/>
      <c r="AH25" s="86"/>
      <c r="AI25" s="93"/>
      <c r="AJ25" s="86"/>
      <c r="AK25" s="107"/>
      <c r="AL25" s="108">
        <f t="shared" si="10"/>
        <v>11200000</v>
      </c>
      <c r="AM25" s="109">
        <f t="shared" si="11"/>
        <v>0</v>
      </c>
      <c r="AN25" s="110">
        <f t="shared" si="12"/>
        <v>1</v>
      </c>
      <c r="AO25" s="109">
        <f t="shared" si="13"/>
        <v>11200000</v>
      </c>
      <c r="AP25" s="117" t="str">
        <f t="shared" si="14"/>
        <v>数据正确</v>
      </c>
    </row>
    <row r="26" s="37" customFormat="1" customHeight="1" spans="1:42">
      <c r="A26" s="56" t="e">
        <f t="shared" si="8"/>
        <v>#DIV/0!</v>
      </c>
      <c r="B26" s="56" t="s">
        <v>83</v>
      </c>
      <c r="C26" s="56" t="s">
        <v>84</v>
      </c>
      <c r="D26" s="61">
        <v>186</v>
      </c>
      <c r="E26" s="62" t="s">
        <v>1322</v>
      </c>
      <c r="F26" s="63" t="s">
        <v>25</v>
      </c>
      <c r="G26" s="63" t="s">
        <v>75</v>
      </c>
      <c r="H26" s="64">
        <v>42460</v>
      </c>
      <c r="I26" s="86">
        <v>0</v>
      </c>
      <c r="J26" s="62" t="s">
        <v>1323</v>
      </c>
      <c r="K26" s="62" t="s">
        <v>1324</v>
      </c>
      <c r="L26" s="62"/>
      <c r="M26" s="87" t="s">
        <v>76</v>
      </c>
      <c r="N26" s="88" t="s">
        <v>1325</v>
      </c>
      <c r="O26" s="86">
        <f t="shared" si="9"/>
        <v>0</v>
      </c>
      <c r="P26" s="86">
        <f>I26</f>
        <v>0</v>
      </c>
      <c r="Q26" s="93"/>
      <c r="R26" s="86"/>
      <c r="S26" s="86"/>
      <c r="T26" s="93"/>
      <c r="U26" s="86"/>
      <c r="V26" s="86"/>
      <c r="W26" s="93"/>
      <c r="X26" s="86"/>
      <c r="Y26" s="86"/>
      <c r="Z26" s="93"/>
      <c r="AA26" s="86"/>
      <c r="AB26" s="86"/>
      <c r="AC26" s="93"/>
      <c r="AD26" s="86"/>
      <c r="AE26" s="86"/>
      <c r="AF26" s="93"/>
      <c r="AG26" s="86"/>
      <c r="AH26" s="86"/>
      <c r="AI26" s="93"/>
      <c r="AJ26" s="86"/>
      <c r="AK26" s="107"/>
      <c r="AL26" s="108">
        <f t="shared" si="10"/>
        <v>0</v>
      </c>
      <c r="AM26" s="109">
        <f t="shared" si="11"/>
        <v>0</v>
      </c>
      <c r="AN26" s="110" t="e">
        <f t="shared" si="12"/>
        <v>#DIV/0!</v>
      </c>
      <c r="AO26" s="109">
        <f t="shared" si="13"/>
        <v>0</v>
      </c>
      <c r="AP26" s="117" t="str">
        <f t="shared" si="14"/>
        <v>数据正确</v>
      </c>
    </row>
    <row r="27" s="41" customFormat="1" customHeight="1" spans="1:42">
      <c r="A27" s="65" t="str">
        <f t="shared" si="8"/>
        <v>已完毕</v>
      </c>
      <c r="B27" s="65" t="s">
        <v>83</v>
      </c>
      <c r="C27" s="65" t="s">
        <v>84</v>
      </c>
      <c r="D27" s="66">
        <v>224</v>
      </c>
      <c r="E27" s="67" t="s">
        <v>75</v>
      </c>
      <c r="F27" s="68" t="s">
        <v>25</v>
      </c>
      <c r="G27" s="68" t="s">
        <v>75</v>
      </c>
      <c r="H27" s="69">
        <v>43008</v>
      </c>
      <c r="I27" s="89">
        <v>39137986.4810001</v>
      </c>
      <c r="J27" s="67" t="s">
        <v>1326</v>
      </c>
      <c r="K27" s="67" t="s">
        <v>1327</v>
      </c>
      <c r="L27" s="67"/>
      <c r="M27" s="90" t="s">
        <v>76</v>
      </c>
      <c r="N27" s="91" t="s">
        <v>75</v>
      </c>
      <c r="O27" s="89">
        <f t="shared" si="9"/>
        <v>39137986.4810001</v>
      </c>
      <c r="P27" s="89">
        <f>I27</f>
        <v>39137986.4810001</v>
      </c>
      <c r="Q27" s="94"/>
      <c r="R27" s="89"/>
      <c r="S27" s="89"/>
      <c r="T27" s="94"/>
      <c r="U27" s="89"/>
      <c r="V27" s="89"/>
      <c r="W27" s="94"/>
      <c r="X27" s="89"/>
      <c r="Y27" s="89"/>
      <c r="Z27" s="94"/>
      <c r="AA27" s="89"/>
      <c r="AB27" s="89"/>
      <c r="AC27" s="94"/>
      <c r="AD27" s="89"/>
      <c r="AE27" s="89"/>
      <c r="AF27" s="94"/>
      <c r="AG27" s="89"/>
      <c r="AH27" s="89"/>
      <c r="AI27" s="94"/>
      <c r="AJ27" s="89"/>
      <c r="AK27" s="111"/>
      <c r="AL27" s="112">
        <f t="shared" si="10"/>
        <v>39137986.4810001</v>
      </c>
      <c r="AM27" s="113">
        <f t="shared" si="11"/>
        <v>0</v>
      </c>
      <c r="AN27" s="114">
        <f t="shared" si="12"/>
        <v>1</v>
      </c>
      <c r="AO27" s="113">
        <f t="shared" si="13"/>
        <v>39137986.4810001</v>
      </c>
      <c r="AP27" s="118" t="str">
        <f t="shared" si="14"/>
        <v>数据正确</v>
      </c>
    </row>
    <row r="28" s="37" customFormat="1" customHeight="1" spans="1:42">
      <c r="A28" s="37" t="str">
        <f t="shared" si="8"/>
        <v/>
      </c>
      <c r="B28" s="37" t="s">
        <v>83</v>
      </c>
      <c r="C28" s="37" t="s">
        <v>84</v>
      </c>
      <c r="D28" s="57">
        <v>78</v>
      </c>
      <c r="E28" s="59" t="s">
        <v>1328</v>
      </c>
      <c r="F28" s="59" t="s">
        <v>25</v>
      </c>
      <c r="G28" s="59" t="s">
        <v>75</v>
      </c>
      <c r="H28" s="60">
        <v>42479</v>
      </c>
      <c r="I28" s="83">
        <v>80000</v>
      </c>
      <c r="J28" s="58" t="s">
        <v>1329</v>
      </c>
      <c r="K28" s="58" t="s">
        <v>1330</v>
      </c>
      <c r="L28" s="58"/>
      <c r="M28" s="84" t="s">
        <v>254</v>
      </c>
      <c r="N28" s="85" t="s">
        <v>1331</v>
      </c>
      <c r="O28" s="83">
        <f>I28*0.95</f>
        <v>76000</v>
      </c>
      <c r="P28" s="83">
        <v>76000</v>
      </c>
      <c r="Q28" s="92" t="s">
        <v>256</v>
      </c>
      <c r="R28" s="83">
        <f>I28*0.05</f>
        <v>4000</v>
      </c>
      <c r="S28" s="83"/>
      <c r="T28" s="92"/>
      <c r="U28" s="83"/>
      <c r="V28" s="83"/>
      <c r="W28" s="92"/>
      <c r="X28" s="83"/>
      <c r="Y28" s="83"/>
      <c r="Z28" s="92"/>
      <c r="AA28" s="83"/>
      <c r="AB28" s="83"/>
      <c r="AC28" s="92"/>
      <c r="AD28" s="83"/>
      <c r="AE28" s="83"/>
      <c r="AF28" s="92"/>
      <c r="AG28" s="83"/>
      <c r="AH28" s="83"/>
      <c r="AI28" s="92"/>
      <c r="AJ28" s="83"/>
      <c r="AK28" s="103"/>
      <c r="AL28" s="104">
        <f t="shared" si="10"/>
        <v>76000</v>
      </c>
      <c r="AM28" s="105">
        <f t="shared" si="11"/>
        <v>4000</v>
      </c>
      <c r="AN28" s="106">
        <f t="shared" si="12"/>
        <v>0.95</v>
      </c>
      <c r="AO28" s="105">
        <f t="shared" si="13"/>
        <v>80000</v>
      </c>
      <c r="AP28" s="116" t="str">
        <f t="shared" si="14"/>
        <v>数据正确</v>
      </c>
    </row>
    <row r="29" s="37" customFormat="1" customHeight="1" spans="1:42">
      <c r="A29" s="37" t="str">
        <f t="shared" si="8"/>
        <v>已完毕</v>
      </c>
      <c r="B29" s="37" t="s">
        <v>83</v>
      </c>
      <c r="C29" s="37" t="s">
        <v>84</v>
      </c>
      <c r="D29" s="61">
        <v>79</v>
      </c>
      <c r="E29" s="63" t="s">
        <v>1332</v>
      </c>
      <c r="F29" s="59" t="s">
        <v>25</v>
      </c>
      <c r="G29" s="63" t="s">
        <v>75</v>
      </c>
      <c r="H29" s="64">
        <v>42508</v>
      </c>
      <c r="I29" s="86">
        <f>23000+34988</f>
        <v>57988</v>
      </c>
      <c r="J29" s="62" t="s">
        <v>1333</v>
      </c>
      <c r="K29" s="62" t="s">
        <v>1334</v>
      </c>
      <c r="L29" s="62"/>
      <c r="M29" s="87" t="s">
        <v>76</v>
      </c>
      <c r="N29" s="88" t="s">
        <v>1040</v>
      </c>
      <c r="O29" s="86">
        <f t="shared" si="9"/>
        <v>57988</v>
      </c>
      <c r="P29" s="86">
        <v>57988</v>
      </c>
      <c r="Q29" s="93"/>
      <c r="R29" s="86"/>
      <c r="S29" s="86"/>
      <c r="T29" s="93"/>
      <c r="U29" s="86"/>
      <c r="V29" s="86"/>
      <c r="W29" s="93"/>
      <c r="X29" s="86"/>
      <c r="Y29" s="86"/>
      <c r="Z29" s="93"/>
      <c r="AA29" s="86"/>
      <c r="AB29" s="86"/>
      <c r="AC29" s="93"/>
      <c r="AD29" s="86"/>
      <c r="AE29" s="86"/>
      <c r="AF29" s="93"/>
      <c r="AG29" s="86"/>
      <c r="AH29" s="86"/>
      <c r="AI29" s="93"/>
      <c r="AJ29" s="86"/>
      <c r="AK29" s="107"/>
      <c r="AL29" s="108">
        <f t="shared" si="10"/>
        <v>57988</v>
      </c>
      <c r="AM29" s="109">
        <f t="shared" si="11"/>
        <v>0</v>
      </c>
      <c r="AN29" s="110">
        <f t="shared" si="12"/>
        <v>1</v>
      </c>
      <c r="AO29" s="109">
        <f t="shared" si="13"/>
        <v>57988</v>
      </c>
      <c r="AP29" s="117" t="str">
        <f t="shared" si="14"/>
        <v>数据正确</v>
      </c>
    </row>
    <row r="30" s="37" customFormat="1" customHeight="1" spans="1:42">
      <c r="A30" s="37" t="str">
        <f t="shared" si="8"/>
        <v>已完毕</v>
      </c>
      <c r="B30" s="37" t="s">
        <v>83</v>
      </c>
      <c r="C30" s="37" t="s">
        <v>84</v>
      </c>
      <c r="D30" s="61">
        <v>81</v>
      </c>
      <c r="E30" s="63" t="s">
        <v>1335</v>
      </c>
      <c r="F30" s="59" t="s">
        <v>25</v>
      </c>
      <c r="G30" s="63" t="s">
        <v>75</v>
      </c>
      <c r="H30" s="64">
        <v>42520</v>
      </c>
      <c r="I30" s="86">
        <v>22050</v>
      </c>
      <c r="J30" s="62" t="s">
        <v>1336</v>
      </c>
      <c r="K30" s="62" t="s">
        <v>1337</v>
      </c>
      <c r="L30" s="62"/>
      <c r="M30" s="87" t="s">
        <v>76</v>
      </c>
      <c r="N30" s="88" t="s">
        <v>1338</v>
      </c>
      <c r="O30" s="86">
        <f t="shared" si="9"/>
        <v>22050</v>
      </c>
      <c r="P30" s="86">
        <v>22050</v>
      </c>
      <c r="Q30" s="93"/>
      <c r="R30" s="86"/>
      <c r="S30" s="86"/>
      <c r="T30" s="93"/>
      <c r="U30" s="86"/>
      <c r="V30" s="86"/>
      <c r="W30" s="93"/>
      <c r="X30" s="86"/>
      <c r="Y30" s="86"/>
      <c r="Z30" s="93"/>
      <c r="AA30" s="86"/>
      <c r="AB30" s="86"/>
      <c r="AC30" s="93"/>
      <c r="AD30" s="86"/>
      <c r="AE30" s="86"/>
      <c r="AF30" s="93"/>
      <c r="AG30" s="86"/>
      <c r="AH30" s="86"/>
      <c r="AI30" s="93"/>
      <c r="AJ30" s="86"/>
      <c r="AK30" s="107"/>
      <c r="AL30" s="108">
        <f t="shared" si="10"/>
        <v>22050</v>
      </c>
      <c r="AM30" s="109">
        <f t="shared" si="11"/>
        <v>0</v>
      </c>
      <c r="AN30" s="110">
        <f t="shared" si="12"/>
        <v>1</v>
      </c>
      <c r="AO30" s="109">
        <f t="shared" si="13"/>
        <v>22050</v>
      </c>
      <c r="AP30" s="117" t="str">
        <f t="shared" si="14"/>
        <v>数据正确</v>
      </c>
    </row>
    <row r="31" s="37" customFormat="1" customHeight="1" spans="1:42">
      <c r="A31" s="37" t="str">
        <f t="shared" si="8"/>
        <v>已完毕</v>
      </c>
      <c r="B31" s="37" t="s">
        <v>83</v>
      </c>
      <c r="C31" s="37" t="s">
        <v>84</v>
      </c>
      <c r="D31" s="61">
        <v>80</v>
      </c>
      <c r="E31" s="63" t="s">
        <v>1335</v>
      </c>
      <c r="F31" s="59" t="s">
        <v>25</v>
      </c>
      <c r="G31" s="63" t="s">
        <v>75</v>
      </c>
      <c r="H31" s="64">
        <v>42545</v>
      </c>
      <c r="I31" s="86">
        <v>21850</v>
      </c>
      <c r="J31" s="62" t="s">
        <v>1339</v>
      </c>
      <c r="K31" s="62" t="s">
        <v>1340</v>
      </c>
      <c r="L31" s="62"/>
      <c r="M31" s="87" t="s">
        <v>76</v>
      </c>
      <c r="N31" s="88" t="s">
        <v>1040</v>
      </c>
      <c r="O31" s="86">
        <f>21850</f>
        <v>21850</v>
      </c>
      <c r="P31" s="86">
        <v>21850</v>
      </c>
      <c r="Q31" s="93"/>
      <c r="R31" s="86"/>
      <c r="S31" s="86"/>
      <c r="T31" s="93"/>
      <c r="U31" s="86"/>
      <c r="V31" s="86"/>
      <c r="W31" s="93"/>
      <c r="X31" s="86"/>
      <c r="Y31" s="86"/>
      <c r="Z31" s="93"/>
      <c r="AA31" s="86"/>
      <c r="AB31" s="86"/>
      <c r="AC31" s="93"/>
      <c r="AD31" s="86"/>
      <c r="AE31" s="86"/>
      <c r="AF31" s="93"/>
      <c r="AG31" s="86"/>
      <c r="AH31" s="86"/>
      <c r="AI31" s="93"/>
      <c r="AJ31" s="86"/>
      <c r="AK31" s="107"/>
      <c r="AL31" s="108">
        <f t="shared" si="10"/>
        <v>21850</v>
      </c>
      <c r="AM31" s="109">
        <f t="shared" si="11"/>
        <v>0</v>
      </c>
      <c r="AN31" s="110">
        <f t="shared" si="12"/>
        <v>1</v>
      </c>
      <c r="AO31" s="109">
        <f t="shared" si="13"/>
        <v>21850</v>
      </c>
      <c r="AP31" s="117" t="str">
        <f t="shared" si="14"/>
        <v>数据正确</v>
      </c>
    </row>
    <row r="32" s="37" customFormat="1" customHeight="1" spans="1:42">
      <c r="A32" s="37" t="str">
        <f t="shared" si="8"/>
        <v>已完毕</v>
      </c>
      <c r="B32" s="37" t="s">
        <v>83</v>
      </c>
      <c r="C32" s="37" t="s">
        <v>84</v>
      </c>
      <c r="D32" s="61">
        <v>83</v>
      </c>
      <c r="E32" s="63" t="s">
        <v>1341</v>
      </c>
      <c r="F32" s="59" t="s">
        <v>25</v>
      </c>
      <c r="G32" s="63" t="s">
        <v>75</v>
      </c>
      <c r="H32" s="64">
        <v>42590</v>
      </c>
      <c r="I32" s="86">
        <v>5000</v>
      </c>
      <c r="J32" s="62" t="s">
        <v>1342</v>
      </c>
      <c r="K32" s="62" t="s">
        <v>1343</v>
      </c>
      <c r="L32" s="62"/>
      <c r="M32" s="87" t="s">
        <v>76</v>
      </c>
      <c r="N32" s="88" t="s">
        <v>1338</v>
      </c>
      <c r="O32" s="86">
        <v>5000</v>
      </c>
      <c r="P32" s="86">
        <v>5000</v>
      </c>
      <c r="Q32" s="93"/>
      <c r="R32" s="86"/>
      <c r="S32" s="86"/>
      <c r="T32" s="93"/>
      <c r="U32" s="86"/>
      <c r="V32" s="86"/>
      <c r="W32" s="93"/>
      <c r="X32" s="86"/>
      <c r="Y32" s="86"/>
      <c r="Z32" s="93"/>
      <c r="AA32" s="86"/>
      <c r="AB32" s="86"/>
      <c r="AC32" s="93"/>
      <c r="AD32" s="86"/>
      <c r="AE32" s="86"/>
      <c r="AF32" s="93"/>
      <c r="AG32" s="86"/>
      <c r="AH32" s="86"/>
      <c r="AI32" s="93"/>
      <c r="AJ32" s="86"/>
      <c r="AK32" s="107"/>
      <c r="AL32" s="108">
        <f t="shared" si="10"/>
        <v>5000</v>
      </c>
      <c r="AM32" s="109">
        <f t="shared" si="11"/>
        <v>0</v>
      </c>
      <c r="AN32" s="110">
        <f t="shared" si="12"/>
        <v>1</v>
      </c>
      <c r="AO32" s="109">
        <f t="shared" si="13"/>
        <v>5000</v>
      </c>
      <c r="AP32" s="117" t="str">
        <f t="shared" si="14"/>
        <v>数据正确</v>
      </c>
    </row>
    <row r="33" s="37" customFormat="1" customHeight="1" spans="1:42">
      <c r="A33" s="37" t="str">
        <f t="shared" si="8"/>
        <v>已完毕</v>
      </c>
      <c r="B33" s="37" t="s">
        <v>83</v>
      </c>
      <c r="C33" s="37" t="s">
        <v>84</v>
      </c>
      <c r="D33" s="61">
        <v>126</v>
      </c>
      <c r="E33" s="63" t="s">
        <v>1344</v>
      </c>
      <c r="F33" s="59" t="s">
        <v>25</v>
      </c>
      <c r="G33" s="63" t="s">
        <v>75</v>
      </c>
      <c r="H33" s="64">
        <v>42594</v>
      </c>
      <c r="I33" s="86">
        <v>999</v>
      </c>
      <c r="J33" s="62" t="s">
        <v>1345</v>
      </c>
      <c r="K33" s="62" t="s">
        <v>1346</v>
      </c>
      <c r="L33" s="62"/>
      <c r="M33" s="87" t="s">
        <v>76</v>
      </c>
      <c r="N33" s="88" t="s">
        <v>1347</v>
      </c>
      <c r="O33" s="86">
        <f>I33</f>
        <v>999</v>
      </c>
      <c r="P33" s="86">
        <v>999</v>
      </c>
      <c r="Q33" s="93"/>
      <c r="R33" s="86"/>
      <c r="S33" s="86"/>
      <c r="T33" s="93"/>
      <c r="U33" s="86"/>
      <c r="V33" s="86"/>
      <c r="W33" s="93"/>
      <c r="X33" s="86"/>
      <c r="Y33" s="86"/>
      <c r="Z33" s="93"/>
      <c r="AA33" s="86"/>
      <c r="AB33" s="86"/>
      <c r="AC33" s="93"/>
      <c r="AD33" s="86"/>
      <c r="AE33" s="86"/>
      <c r="AF33" s="93"/>
      <c r="AG33" s="86"/>
      <c r="AH33" s="86"/>
      <c r="AI33" s="93"/>
      <c r="AJ33" s="86"/>
      <c r="AK33" s="107"/>
      <c r="AL33" s="108">
        <f t="shared" si="10"/>
        <v>999</v>
      </c>
      <c r="AM33" s="109">
        <f t="shared" si="11"/>
        <v>0</v>
      </c>
      <c r="AN33" s="110">
        <f t="shared" si="12"/>
        <v>1</v>
      </c>
      <c r="AO33" s="109">
        <f t="shared" si="13"/>
        <v>999</v>
      </c>
      <c r="AP33" s="117" t="str">
        <f t="shared" si="14"/>
        <v>数据正确</v>
      </c>
    </row>
    <row r="34" s="37" customFormat="1" customHeight="1" spans="1:42">
      <c r="A34" s="37" t="str">
        <f t="shared" si="8"/>
        <v/>
      </c>
      <c r="B34" s="37" t="s">
        <v>83</v>
      </c>
      <c r="C34" s="37" t="s">
        <v>84</v>
      </c>
      <c r="D34" s="61">
        <v>82</v>
      </c>
      <c r="E34" s="63" t="s">
        <v>1348</v>
      </c>
      <c r="F34" s="59" t="s">
        <v>25</v>
      </c>
      <c r="G34" s="63" t="s">
        <v>75</v>
      </c>
      <c r="H34" s="64">
        <v>42595</v>
      </c>
      <c r="I34" s="86">
        <v>34300</v>
      </c>
      <c r="J34" s="62" t="s">
        <v>1349</v>
      </c>
      <c r="K34" s="62" t="s">
        <v>1330</v>
      </c>
      <c r="L34" s="62"/>
      <c r="M34" s="87" t="s">
        <v>278</v>
      </c>
      <c r="N34" s="88" t="s">
        <v>1350</v>
      </c>
      <c r="O34" s="86">
        <f>I34*0.95</f>
        <v>32585</v>
      </c>
      <c r="P34" s="86">
        <v>32585</v>
      </c>
      <c r="Q34" s="93" t="s">
        <v>1351</v>
      </c>
      <c r="R34" s="86">
        <f>I34*0.05</f>
        <v>1715</v>
      </c>
      <c r="S34" s="86"/>
      <c r="T34" s="93"/>
      <c r="U34" s="86"/>
      <c r="V34" s="86"/>
      <c r="W34" s="93"/>
      <c r="X34" s="86"/>
      <c r="Y34" s="86"/>
      <c r="Z34" s="93"/>
      <c r="AA34" s="86"/>
      <c r="AB34" s="86"/>
      <c r="AC34" s="93"/>
      <c r="AD34" s="86"/>
      <c r="AE34" s="86"/>
      <c r="AF34" s="93"/>
      <c r="AG34" s="86"/>
      <c r="AH34" s="86"/>
      <c r="AI34" s="93"/>
      <c r="AJ34" s="86"/>
      <c r="AK34" s="107"/>
      <c r="AL34" s="108">
        <f t="shared" si="10"/>
        <v>32585</v>
      </c>
      <c r="AM34" s="109">
        <f t="shared" si="11"/>
        <v>1715</v>
      </c>
      <c r="AN34" s="110">
        <f t="shared" si="12"/>
        <v>0.95</v>
      </c>
      <c r="AO34" s="109">
        <f t="shared" si="13"/>
        <v>34300</v>
      </c>
      <c r="AP34" s="117" t="str">
        <f t="shared" si="14"/>
        <v>数据正确</v>
      </c>
    </row>
    <row r="35" s="37" customFormat="1" customHeight="1" spans="1:42">
      <c r="A35" s="37" t="str">
        <f t="shared" si="8"/>
        <v>已完毕</v>
      </c>
      <c r="B35" s="37" t="s">
        <v>83</v>
      </c>
      <c r="C35" s="37" t="s">
        <v>84</v>
      </c>
      <c r="D35" s="61">
        <v>84</v>
      </c>
      <c r="E35" s="63" t="s">
        <v>1352</v>
      </c>
      <c r="F35" s="59" t="s">
        <v>25</v>
      </c>
      <c r="G35" s="63" t="s">
        <v>75</v>
      </c>
      <c r="H35" s="64">
        <v>42598</v>
      </c>
      <c r="I35" s="86">
        <v>25728</v>
      </c>
      <c r="J35" s="62" t="s">
        <v>1353</v>
      </c>
      <c r="K35" s="62" t="s">
        <v>1354</v>
      </c>
      <c r="L35" s="62"/>
      <c r="M35" s="87" t="s">
        <v>76</v>
      </c>
      <c r="N35" s="88" t="s">
        <v>1355</v>
      </c>
      <c r="O35" s="86">
        <f>I35*0.1</f>
        <v>2572.8</v>
      </c>
      <c r="P35" s="86">
        <v>2572.8</v>
      </c>
      <c r="Q35" s="93" t="s">
        <v>1356</v>
      </c>
      <c r="R35" s="86">
        <f>I35*0.9</f>
        <v>23155.2</v>
      </c>
      <c r="S35" s="86">
        <v>23155.2</v>
      </c>
      <c r="T35" s="93"/>
      <c r="U35" s="86"/>
      <c r="V35" s="86"/>
      <c r="W35" s="93"/>
      <c r="X35" s="86"/>
      <c r="Y35" s="86"/>
      <c r="Z35" s="93"/>
      <c r="AA35" s="86"/>
      <c r="AB35" s="86"/>
      <c r="AC35" s="93"/>
      <c r="AD35" s="86"/>
      <c r="AE35" s="86"/>
      <c r="AF35" s="93"/>
      <c r="AG35" s="86"/>
      <c r="AH35" s="86"/>
      <c r="AI35" s="93"/>
      <c r="AJ35" s="86"/>
      <c r="AK35" s="107"/>
      <c r="AL35" s="108">
        <f t="shared" si="10"/>
        <v>25728</v>
      </c>
      <c r="AM35" s="109">
        <f t="shared" si="11"/>
        <v>0</v>
      </c>
      <c r="AN35" s="110">
        <f t="shared" si="12"/>
        <v>1</v>
      </c>
      <c r="AO35" s="109">
        <f t="shared" si="13"/>
        <v>25728</v>
      </c>
      <c r="AP35" s="117" t="str">
        <f t="shared" si="14"/>
        <v>数据正确</v>
      </c>
    </row>
    <row r="36" s="37" customFormat="1" customHeight="1" spans="1:42">
      <c r="A36" s="37" t="str">
        <f t="shared" si="8"/>
        <v/>
      </c>
      <c r="B36" s="37" t="s">
        <v>83</v>
      </c>
      <c r="C36" s="37" t="s">
        <v>84</v>
      </c>
      <c r="D36" s="61">
        <v>148</v>
      </c>
      <c r="E36" s="63" t="s">
        <v>1357</v>
      </c>
      <c r="F36" s="59" t="s">
        <v>25</v>
      </c>
      <c r="G36" s="70"/>
      <c r="H36" s="64">
        <v>42697</v>
      </c>
      <c r="I36" s="86">
        <v>108000</v>
      </c>
      <c r="J36" s="62" t="s">
        <v>1358</v>
      </c>
      <c r="K36" s="62" t="s">
        <v>1334</v>
      </c>
      <c r="L36" s="62"/>
      <c r="M36" s="87" t="s">
        <v>278</v>
      </c>
      <c r="N36" s="88" t="s">
        <v>1359</v>
      </c>
      <c r="O36" s="86">
        <f>I36*0.95</f>
        <v>102600</v>
      </c>
      <c r="P36" s="86">
        <v>102600</v>
      </c>
      <c r="Q36" s="93" t="s">
        <v>1351</v>
      </c>
      <c r="R36" s="86">
        <f>I36*0.05</f>
        <v>5400</v>
      </c>
      <c r="S36" s="86"/>
      <c r="T36" s="93"/>
      <c r="U36" s="86"/>
      <c r="V36" s="86"/>
      <c r="W36" s="93"/>
      <c r="X36" s="86"/>
      <c r="Y36" s="86"/>
      <c r="Z36" s="93"/>
      <c r="AA36" s="86"/>
      <c r="AB36" s="86"/>
      <c r="AC36" s="93"/>
      <c r="AD36" s="86"/>
      <c r="AE36" s="86"/>
      <c r="AF36" s="93"/>
      <c r="AG36" s="86"/>
      <c r="AH36" s="86"/>
      <c r="AI36" s="93"/>
      <c r="AJ36" s="86"/>
      <c r="AK36" s="107"/>
      <c r="AL36" s="108">
        <f t="shared" si="10"/>
        <v>102600</v>
      </c>
      <c r="AM36" s="109">
        <f t="shared" si="11"/>
        <v>5400</v>
      </c>
      <c r="AN36" s="110">
        <f t="shared" si="12"/>
        <v>0.95</v>
      </c>
      <c r="AO36" s="109">
        <f t="shared" si="13"/>
        <v>108000</v>
      </c>
      <c r="AP36" s="117" t="str">
        <f t="shared" si="14"/>
        <v>数据正确</v>
      </c>
    </row>
    <row r="37" s="37" customFormat="1" customHeight="1" spans="1:42">
      <c r="A37" s="37" t="str">
        <f t="shared" si="8"/>
        <v>已完毕</v>
      </c>
      <c r="B37" s="37" t="s">
        <v>83</v>
      </c>
      <c r="C37" s="37" t="s">
        <v>84</v>
      </c>
      <c r="D37" s="61">
        <v>85</v>
      </c>
      <c r="E37" s="63" t="s">
        <v>1360</v>
      </c>
      <c r="F37" s="59" t="s">
        <v>25</v>
      </c>
      <c r="G37" s="63" t="s">
        <v>75</v>
      </c>
      <c r="H37" s="64">
        <v>42703</v>
      </c>
      <c r="I37" s="86">
        <v>8000</v>
      </c>
      <c r="J37" s="62" t="s">
        <v>1361</v>
      </c>
      <c r="K37" s="62" t="s">
        <v>1362</v>
      </c>
      <c r="L37" s="62"/>
      <c r="M37" s="87" t="s">
        <v>76</v>
      </c>
      <c r="N37" s="88" t="s">
        <v>1363</v>
      </c>
      <c r="O37" s="86">
        <f>I37*0.25</f>
        <v>2000</v>
      </c>
      <c r="P37" s="86">
        <v>2000</v>
      </c>
      <c r="Q37" s="93" t="s">
        <v>1364</v>
      </c>
      <c r="R37" s="86">
        <f>I37*0.75</f>
        <v>6000</v>
      </c>
      <c r="S37" s="86">
        <v>6000</v>
      </c>
      <c r="T37" s="93"/>
      <c r="U37" s="86"/>
      <c r="V37" s="86"/>
      <c r="W37" s="93"/>
      <c r="X37" s="86"/>
      <c r="Y37" s="86"/>
      <c r="Z37" s="93"/>
      <c r="AA37" s="86"/>
      <c r="AB37" s="86"/>
      <c r="AC37" s="93"/>
      <c r="AD37" s="86"/>
      <c r="AE37" s="86"/>
      <c r="AF37" s="93"/>
      <c r="AG37" s="86"/>
      <c r="AH37" s="86"/>
      <c r="AI37" s="93"/>
      <c r="AJ37" s="86"/>
      <c r="AK37" s="107"/>
      <c r="AL37" s="108">
        <f t="shared" si="10"/>
        <v>8000</v>
      </c>
      <c r="AM37" s="109">
        <f t="shared" si="11"/>
        <v>0</v>
      </c>
      <c r="AN37" s="110">
        <f t="shared" si="12"/>
        <v>1</v>
      </c>
      <c r="AO37" s="109">
        <f t="shared" si="13"/>
        <v>8000</v>
      </c>
      <c r="AP37" s="117" t="str">
        <f t="shared" si="14"/>
        <v>数据正确</v>
      </c>
    </row>
    <row r="38" s="37" customFormat="1" customHeight="1" spans="1:42">
      <c r="A38" s="37" t="str">
        <f t="shared" si="8"/>
        <v/>
      </c>
      <c r="B38" s="37" t="s">
        <v>83</v>
      </c>
      <c r="C38" s="37" t="s">
        <v>84</v>
      </c>
      <c r="D38" s="61">
        <v>47</v>
      </c>
      <c r="E38" s="63" t="s">
        <v>1365</v>
      </c>
      <c r="F38" s="59" t="s">
        <v>25</v>
      </c>
      <c r="G38" s="63" t="s">
        <v>75</v>
      </c>
      <c r="H38" s="64">
        <v>42758</v>
      </c>
      <c r="I38" s="86">
        <v>163300</v>
      </c>
      <c r="J38" s="62" t="s">
        <v>1366</v>
      </c>
      <c r="K38" s="62" t="s">
        <v>1330</v>
      </c>
      <c r="L38" s="62"/>
      <c r="M38" s="87" t="s">
        <v>278</v>
      </c>
      <c r="N38" s="88" t="s">
        <v>1367</v>
      </c>
      <c r="O38" s="86">
        <f>163300*0.95</f>
        <v>155135</v>
      </c>
      <c r="P38" s="86">
        <v>155135</v>
      </c>
      <c r="Q38" s="93" t="s">
        <v>1368</v>
      </c>
      <c r="R38" s="86">
        <f>163300*0.05</f>
        <v>8165</v>
      </c>
      <c r="S38" s="86"/>
      <c r="T38" s="93"/>
      <c r="U38" s="86"/>
      <c r="V38" s="86"/>
      <c r="W38" s="93"/>
      <c r="X38" s="86"/>
      <c r="Y38" s="86"/>
      <c r="Z38" s="93"/>
      <c r="AA38" s="86"/>
      <c r="AB38" s="86"/>
      <c r="AC38" s="93"/>
      <c r="AD38" s="86"/>
      <c r="AE38" s="86"/>
      <c r="AF38" s="93"/>
      <c r="AG38" s="86"/>
      <c r="AH38" s="86"/>
      <c r="AI38" s="93"/>
      <c r="AJ38" s="86"/>
      <c r="AK38" s="107"/>
      <c r="AL38" s="108">
        <f t="shared" si="10"/>
        <v>155135</v>
      </c>
      <c r="AM38" s="109">
        <f t="shared" si="11"/>
        <v>8165</v>
      </c>
      <c r="AN38" s="110">
        <f t="shared" si="12"/>
        <v>0.95</v>
      </c>
      <c r="AO38" s="109">
        <f t="shared" si="13"/>
        <v>163300</v>
      </c>
      <c r="AP38" s="117" t="str">
        <f t="shared" si="14"/>
        <v>数据正确</v>
      </c>
    </row>
    <row r="39" s="37" customFormat="1" customHeight="1" spans="1:42">
      <c r="A39" s="37" t="str">
        <f t="shared" si="8"/>
        <v/>
      </c>
      <c r="B39" s="37" t="s">
        <v>83</v>
      </c>
      <c r="C39" s="37" t="s">
        <v>84</v>
      </c>
      <c r="D39" s="61">
        <v>48</v>
      </c>
      <c r="E39" s="63" t="s">
        <v>1369</v>
      </c>
      <c r="F39" s="59" t="s">
        <v>25</v>
      </c>
      <c r="G39" s="63" t="s">
        <v>75</v>
      </c>
      <c r="H39" s="64">
        <v>42769</v>
      </c>
      <c r="I39" s="86">
        <v>63600</v>
      </c>
      <c r="J39" s="62" t="s">
        <v>1370</v>
      </c>
      <c r="K39" s="62" t="s">
        <v>1371</v>
      </c>
      <c r="L39" s="62"/>
      <c r="M39" s="87" t="s">
        <v>76</v>
      </c>
      <c r="N39" s="88" t="s">
        <v>1372</v>
      </c>
      <c r="O39" s="86">
        <f>63600*0.5</f>
        <v>31800</v>
      </c>
      <c r="P39" s="86"/>
      <c r="Q39" s="93" t="s">
        <v>1373</v>
      </c>
      <c r="R39" s="86">
        <v>31800</v>
      </c>
      <c r="S39" s="86"/>
      <c r="T39" s="93"/>
      <c r="U39" s="86"/>
      <c r="V39" s="86"/>
      <c r="W39" s="93"/>
      <c r="X39" s="86"/>
      <c r="Y39" s="86"/>
      <c r="Z39" s="93"/>
      <c r="AA39" s="86"/>
      <c r="AB39" s="86"/>
      <c r="AC39" s="93"/>
      <c r="AD39" s="86"/>
      <c r="AE39" s="86"/>
      <c r="AF39" s="93"/>
      <c r="AG39" s="86"/>
      <c r="AH39" s="86"/>
      <c r="AI39" s="93"/>
      <c r="AJ39" s="86"/>
      <c r="AK39" s="107"/>
      <c r="AL39" s="108">
        <f t="shared" si="10"/>
        <v>0</v>
      </c>
      <c r="AM39" s="109">
        <f t="shared" si="11"/>
        <v>63600</v>
      </c>
      <c r="AN39" s="110">
        <f t="shared" si="12"/>
        <v>0</v>
      </c>
      <c r="AO39" s="109">
        <f t="shared" si="13"/>
        <v>63600</v>
      </c>
      <c r="AP39" s="117" t="str">
        <f t="shared" si="14"/>
        <v>数据正确</v>
      </c>
    </row>
    <row r="40" s="37" customFormat="1" customHeight="1" spans="1:42">
      <c r="A40" s="37" t="str">
        <f t="shared" si="8"/>
        <v/>
      </c>
      <c r="B40" s="37" t="s">
        <v>83</v>
      </c>
      <c r="C40" s="37" t="s">
        <v>84</v>
      </c>
      <c r="D40" s="61">
        <v>49</v>
      </c>
      <c r="E40" s="63" t="s">
        <v>1374</v>
      </c>
      <c r="F40" s="59" t="s">
        <v>25</v>
      </c>
      <c r="G40" s="63">
        <v>2017020055</v>
      </c>
      <c r="H40" s="64">
        <v>42815</v>
      </c>
      <c r="I40" s="86">
        <v>37100</v>
      </c>
      <c r="J40" s="62" t="s">
        <v>1375</v>
      </c>
      <c r="K40" s="62" t="s">
        <v>1376</v>
      </c>
      <c r="L40" s="62"/>
      <c r="M40" s="87" t="s">
        <v>76</v>
      </c>
      <c r="N40" s="88" t="s">
        <v>1367</v>
      </c>
      <c r="O40" s="86">
        <f>37100*0.95</f>
        <v>35245</v>
      </c>
      <c r="P40" s="86">
        <v>35245</v>
      </c>
      <c r="Q40" s="93" t="s">
        <v>1368</v>
      </c>
      <c r="R40" s="86">
        <f>37100*0.05</f>
        <v>1855</v>
      </c>
      <c r="S40" s="86"/>
      <c r="T40" s="93"/>
      <c r="U40" s="86"/>
      <c r="V40" s="86"/>
      <c r="W40" s="93"/>
      <c r="X40" s="86"/>
      <c r="Y40" s="86"/>
      <c r="Z40" s="93"/>
      <c r="AA40" s="86"/>
      <c r="AB40" s="86"/>
      <c r="AC40" s="93"/>
      <c r="AD40" s="86"/>
      <c r="AE40" s="86"/>
      <c r="AF40" s="93"/>
      <c r="AG40" s="86"/>
      <c r="AH40" s="86"/>
      <c r="AI40" s="93"/>
      <c r="AJ40" s="86"/>
      <c r="AK40" s="107"/>
      <c r="AL40" s="108">
        <f t="shared" si="10"/>
        <v>35245</v>
      </c>
      <c r="AM40" s="109">
        <f t="shared" si="11"/>
        <v>1855</v>
      </c>
      <c r="AN40" s="110">
        <f t="shared" si="12"/>
        <v>0.95</v>
      </c>
      <c r="AO40" s="109">
        <f t="shared" si="13"/>
        <v>37100</v>
      </c>
      <c r="AP40" s="117" t="str">
        <f t="shared" si="14"/>
        <v>数据正确</v>
      </c>
    </row>
    <row r="41" s="37" customFormat="1" customHeight="1" spans="1:42">
      <c r="A41" s="37" t="str">
        <f t="shared" si="8"/>
        <v>已完毕</v>
      </c>
      <c r="B41" s="37" t="s">
        <v>83</v>
      </c>
      <c r="C41" s="37" t="s">
        <v>84</v>
      </c>
      <c r="D41" s="61">
        <v>50</v>
      </c>
      <c r="E41" s="63" t="s">
        <v>1377</v>
      </c>
      <c r="F41" s="59" t="s">
        <v>25</v>
      </c>
      <c r="G41" s="63">
        <v>2017030009</v>
      </c>
      <c r="H41" s="64">
        <v>42830</v>
      </c>
      <c r="I41" s="86">
        <v>23520</v>
      </c>
      <c r="J41" s="62" t="s">
        <v>1378</v>
      </c>
      <c r="K41" s="62" t="s">
        <v>1334</v>
      </c>
      <c r="L41" s="62"/>
      <c r="M41" s="87" t="s">
        <v>254</v>
      </c>
      <c r="N41" s="88" t="s">
        <v>1379</v>
      </c>
      <c r="O41" s="86">
        <v>23520</v>
      </c>
      <c r="P41" s="86">
        <v>23520</v>
      </c>
      <c r="Q41" s="93"/>
      <c r="R41" s="86"/>
      <c r="S41" s="86"/>
      <c r="T41" s="93"/>
      <c r="U41" s="86"/>
      <c r="V41" s="86"/>
      <c r="W41" s="93"/>
      <c r="X41" s="86"/>
      <c r="Y41" s="86"/>
      <c r="Z41" s="93"/>
      <c r="AA41" s="86"/>
      <c r="AB41" s="86"/>
      <c r="AC41" s="93"/>
      <c r="AD41" s="86"/>
      <c r="AE41" s="86"/>
      <c r="AF41" s="93"/>
      <c r="AG41" s="86"/>
      <c r="AH41" s="86"/>
      <c r="AI41" s="93"/>
      <c r="AJ41" s="86"/>
      <c r="AK41" s="107"/>
      <c r="AL41" s="108">
        <f t="shared" si="10"/>
        <v>23520</v>
      </c>
      <c r="AM41" s="109">
        <f t="shared" si="11"/>
        <v>0</v>
      </c>
      <c r="AN41" s="110">
        <f t="shared" si="12"/>
        <v>1</v>
      </c>
      <c r="AO41" s="109">
        <f t="shared" si="13"/>
        <v>23520</v>
      </c>
      <c r="AP41" s="117" t="str">
        <f t="shared" si="14"/>
        <v>数据正确</v>
      </c>
    </row>
    <row r="42" s="37" customFormat="1" customHeight="1" spans="1:42">
      <c r="A42" s="37" t="str">
        <f t="shared" si="8"/>
        <v>已完毕</v>
      </c>
      <c r="B42" s="37" t="s">
        <v>83</v>
      </c>
      <c r="C42" s="37" t="s">
        <v>84</v>
      </c>
      <c r="D42" s="61">
        <v>51</v>
      </c>
      <c r="E42" s="63" t="s">
        <v>1380</v>
      </c>
      <c r="F42" s="59" t="s">
        <v>25</v>
      </c>
      <c r="G42" s="63">
        <v>2017040026</v>
      </c>
      <c r="H42" s="64">
        <v>42839</v>
      </c>
      <c r="I42" s="86">
        <f>45990+11800+16940+2960</f>
        <v>77690</v>
      </c>
      <c r="J42" s="62" t="s">
        <v>1381</v>
      </c>
      <c r="K42" s="62" t="s">
        <v>1334</v>
      </c>
      <c r="L42" s="62"/>
      <c r="M42" s="87" t="s">
        <v>254</v>
      </c>
      <c r="N42" s="88" t="s">
        <v>1379</v>
      </c>
      <c r="O42" s="86">
        <f>I42</f>
        <v>77690</v>
      </c>
      <c r="P42" s="86">
        <v>77690</v>
      </c>
      <c r="Q42" s="93"/>
      <c r="R42" s="86"/>
      <c r="S42" s="86"/>
      <c r="T42" s="93"/>
      <c r="U42" s="86"/>
      <c r="V42" s="86"/>
      <c r="W42" s="93"/>
      <c r="X42" s="86"/>
      <c r="Y42" s="86"/>
      <c r="Z42" s="93"/>
      <c r="AA42" s="86"/>
      <c r="AB42" s="86"/>
      <c r="AC42" s="93"/>
      <c r="AD42" s="86"/>
      <c r="AE42" s="86"/>
      <c r="AF42" s="93"/>
      <c r="AG42" s="86"/>
      <c r="AH42" s="86"/>
      <c r="AI42" s="93"/>
      <c r="AJ42" s="86"/>
      <c r="AK42" s="107"/>
      <c r="AL42" s="108">
        <f t="shared" si="10"/>
        <v>77690</v>
      </c>
      <c r="AM42" s="109">
        <f t="shared" si="11"/>
        <v>0</v>
      </c>
      <c r="AN42" s="110">
        <f t="shared" si="12"/>
        <v>1</v>
      </c>
      <c r="AO42" s="109">
        <f t="shared" si="13"/>
        <v>77690</v>
      </c>
      <c r="AP42" s="117" t="str">
        <f t="shared" si="14"/>
        <v>数据正确</v>
      </c>
    </row>
    <row r="43" s="37" customFormat="1" customHeight="1" spans="1:42">
      <c r="A43" s="37" t="str">
        <f t="shared" si="8"/>
        <v>已完毕</v>
      </c>
      <c r="B43" s="37" t="s">
        <v>83</v>
      </c>
      <c r="C43" s="37" t="s">
        <v>84</v>
      </c>
      <c r="D43" s="61">
        <v>52</v>
      </c>
      <c r="E43" s="63" t="s">
        <v>1382</v>
      </c>
      <c r="F43" s="59" t="s">
        <v>25</v>
      </c>
      <c r="G43" s="63" t="s">
        <v>75</v>
      </c>
      <c r="H43" s="64">
        <v>42845</v>
      </c>
      <c r="I43" s="86">
        <v>87600</v>
      </c>
      <c r="J43" s="62" t="s">
        <v>1383</v>
      </c>
      <c r="K43" s="62" t="s">
        <v>1384</v>
      </c>
      <c r="L43" s="62"/>
      <c r="M43" s="87" t="s">
        <v>254</v>
      </c>
      <c r="N43" s="88" t="s">
        <v>1385</v>
      </c>
      <c r="O43" s="86">
        <v>87600</v>
      </c>
      <c r="P43" s="86">
        <v>87600</v>
      </c>
      <c r="Q43" s="93"/>
      <c r="R43" s="86"/>
      <c r="S43" s="86"/>
      <c r="T43" s="93"/>
      <c r="U43" s="86"/>
      <c r="V43" s="86"/>
      <c r="W43" s="93"/>
      <c r="X43" s="86"/>
      <c r="Y43" s="86"/>
      <c r="Z43" s="93"/>
      <c r="AA43" s="86"/>
      <c r="AB43" s="86"/>
      <c r="AC43" s="93"/>
      <c r="AD43" s="86"/>
      <c r="AE43" s="86"/>
      <c r="AF43" s="93"/>
      <c r="AG43" s="86"/>
      <c r="AH43" s="86"/>
      <c r="AI43" s="93"/>
      <c r="AJ43" s="86"/>
      <c r="AK43" s="107"/>
      <c r="AL43" s="108">
        <f t="shared" si="10"/>
        <v>87600</v>
      </c>
      <c r="AM43" s="109">
        <f t="shared" si="11"/>
        <v>0</v>
      </c>
      <c r="AN43" s="110">
        <f t="shared" si="12"/>
        <v>1</v>
      </c>
      <c r="AO43" s="109">
        <f t="shared" si="13"/>
        <v>87600</v>
      </c>
      <c r="AP43" s="117" t="str">
        <f t="shared" si="14"/>
        <v>数据正确</v>
      </c>
    </row>
    <row r="44" s="37" customFormat="1" customHeight="1" spans="1:42">
      <c r="A44" s="37" t="str">
        <f t="shared" si="8"/>
        <v/>
      </c>
      <c r="B44" s="37" t="s">
        <v>83</v>
      </c>
      <c r="C44" s="37" t="s">
        <v>84</v>
      </c>
      <c r="D44" s="61">
        <v>53</v>
      </c>
      <c r="E44" s="63" t="s">
        <v>1386</v>
      </c>
      <c r="F44" s="59" t="s">
        <v>25</v>
      </c>
      <c r="G44" s="63">
        <v>2017050003</v>
      </c>
      <c r="H44" s="64">
        <v>42872</v>
      </c>
      <c r="I44" s="86">
        <v>91200</v>
      </c>
      <c r="J44" s="62" t="s">
        <v>1387</v>
      </c>
      <c r="K44" s="62" t="s">
        <v>1388</v>
      </c>
      <c r="L44" s="62"/>
      <c r="M44" s="87" t="s">
        <v>76</v>
      </c>
      <c r="N44" s="88" t="s">
        <v>1389</v>
      </c>
      <c r="O44" s="86">
        <f>91200</f>
        <v>91200</v>
      </c>
      <c r="P44" s="86"/>
      <c r="Q44" s="93"/>
      <c r="R44" s="86"/>
      <c r="S44" s="86"/>
      <c r="T44" s="93"/>
      <c r="U44" s="86"/>
      <c r="V44" s="86"/>
      <c r="W44" s="93"/>
      <c r="X44" s="86"/>
      <c r="Y44" s="86"/>
      <c r="Z44" s="93"/>
      <c r="AA44" s="86"/>
      <c r="AB44" s="86"/>
      <c r="AC44" s="93"/>
      <c r="AD44" s="86"/>
      <c r="AE44" s="86"/>
      <c r="AF44" s="93"/>
      <c r="AG44" s="86"/>
      <c r="AH44" s="86"/>
      <c r="AI44" s="93"/>
      <c r="AJ44" s="86"/>
      <c r="AK44" s="107"/>
      <c r="AL44" s="108">
        <f t="shared" si="10"/>
        <v>0</v>
      </c>
      <c r="AM44" s="109">
        <f t="shared" si="11"/>
        <v>91200</v>
      </c>
      <c r="AN44" s="110">
        <f t="shared" si="12"/>
        <v>0</v>
      </c>
      <c r="AO44" s="109">
        <f t="shared" si="13"/>
        <v>91200</v>
      </c>
      <c r="AP44" s="117" t="str">
        <f t="shared" si="14"/>
        <v>数据正确</v>
      </c>
    </row>
    <row r="45" s="37" customFormat="1" customHeight="1" spans="1:42">
      <c r="A45" s="37" t="str">
        <f t="shared" si="8"/>
        <v/>
      </c>
      <c r="B45" s="37" t="s">
        <v>83</v>
      </c>
      <c r="C45" s="37" t="s">
        <v>84</v>
      </c>
      <c r="D45" s="61">
        <v>54</v>
      </c>
      <c r="E45" s="63" t="s">
        <v>1390</v>
      </c>
      <c r="F45" s="59" t="s">
        <v>25</v>
      </c>
      <c r="G45" s="63">
        <v>2017050026</v>
      </c>
      <c r="H45" s="64">
        <v>42872</v>
      </c>
      <c r="I45" s="86">
        <v>20510</v>
      </c>
      <c r="J45" s="62" t="s">
        <v>1391</v>
      </c>
      <c r="K45" s="62" t="s">
        <v>1334</v>
      </c>
      <c r="L45" s="62"/>
      <c r="M45" s="87" t="s">
        <v>254</v>
      </c>
      <c r="N45" s="88" t="s">
        <v>1392</v>
      </c>
      <c r="O45" s="86">
        <v>20510</v>
      </c>
      <c r="P45" s="86"/>
      <c r="Q45" s="93"/>
      <c r="R45" s="86"/>
      <c r="S45" s="86"/>
      <c r="T45" s="93"/>
      <c r="U45" s="86"/>
      <c r="V45" s="86"/>
      <c r="W45" s="93"/>
      <c r="X45" s="86"/>
      <c r="Y45" s="86"/>
      <c r="Z45" s="93"/>
      <c r="AA45" s="86"/>
      <c r="AB45" s="86"/>
      <c r="AC45" s="93"/>
      <c r="AD45" s="86"/>
      <c r="AE45" s="86"/>
      <c r="AF45" s="93"/>
      <c r="AG45" s="86"/>
      <c r="AH45" s="86"/>
      <c r="AI45" s="93"/>
      <c r="AJ45" s="86"/>
      <c r="AK45" s="107"/>
      <c r="AL45" s="108">
        <f t="shared" si="10"/>
        <v>0</v>
      </c>
      <c r="AM45" s="109">
        <f t="shared" si="11"/>
        <v>20510</v>
      </c>
      <c r="AN45" s="110">
        <f t="shared" si="12"/>
        <v>0</v>
      </c>
      <c r="AO45" s="109">
        <f t="shared" si="13"/>
        <v>20510</v>
      </c>
      <c r="AP45" s="117" t="str">
        <f t="shared" si="14"/>
        <v>数据正确</v>
      </c>
    </row>
    <row r="46" s="37" customFormat="1" customHeight="1" spans="1:42">
      <c r="A46" s="37" t="str">
        <f t="shared" si="8"/>
        <v>已完毕</v>
      </c>
      <c r="B46" s="37" t="s">
        <v>83</v>
      </c>
      <c r="C46" s="37" t="s">
        <v>84</v>
      </c>
      <c r="D46" s="61">
        <v>56</v>
      </c>
      <c r="E46" s="63" t="s">
        <v>1393</v>
      </c>
      <c r="F46" s="59" t="s">
        <v>25</v>
      </c>
      <c r="G46" s="63" t="s">
        <v>75</v>
      </c>
      <c r="H46" s="64">
        <v>42887</v>
      </c>
      <c r="I46" s="86">
        <v>0.001</v>
      </c>
      <c r="J46" s="62" t="s">
        <v>1394</v>
      </c>
      <c r="K46" s="62" t="s">
        <v>1395</v>
      </c>
      <c r="L46" s="62" t="s">
        <v>1276</v>
      </c>
      <c r="M46" s="87" t="s">
        <v>76</v>
      </c>
      <c r="N46" s="88" t="s">
        <v>1396</v>
      </c>
      <c r="O46" s="86">
        <v>0.001</v>
      </c>
      <c r="P46" s="86">
        <v>0.001</v>
      </c>
      <c r="Q46" s="93"/>
      <c r="R46" s="86"/>
      <c r="S46" s="86"/>
      <c r="T46" s="93"/>
      <c r="U46" s="86"/>
      <c r="V46" s="86"/>
      <c r="W46" s="93"/>
      <c r="X46" s="86"/>
      <c r="Y46" s="86"/>
      <c r="Z46" s="93"/>
      <c r="AA46" s="86"/>
      <c r="AB46" s="86"/>
      <c r="AC46" s="93"/>
      <c r="AD46" s="86"/>
      <c r="AE46" s="86"/>
      <c r="AF46" s="93"/>
      <c r="AG46" s="86"/>
      <c r="AH46" s="86"/>
      <c r="AI46" s="93"/>
      <c r="AJ46" s="86"/>
      <c r="AK46" s="107"/>
      <c r="AL46" s="108">
        <f t="shared" si="10"/>
        <v>0.001</v>
      </c>
      <c r="AM46" s="109">
        <f t="shared" si="11"/>
        <v>0</v>
      </c>
      <c r="AN46" s="110">
        <f t="shared" si="12"/>
        <v>1</v>
      </c>
      <c r="AO46" s="109">
        <f t="shared" si="13"/>
        <v>0.001</v>
      </c>
      <c r="AP46" s="117" t="str">
        <f t="shared" si="14"/>
        <v>数据正确</v>
      </c>
    </row>
    <row r="47" s="37" customFormat="1" customHeight="1" spans="1:42">
      <c r="A47" s="37" t="str">
        <f t="shared" si="8"/>
        <v>已完毕</v>
      </c>
      <c r="B47" s="37" t="s">
        <v>83</v>
      </c>
      <c r="C47" s="37" t="s">
        <v>84</v>
      </c>
      <c r="D47" s="61">
        <v>58</v>
      </c>
      <c r="E47" s="63" t="s">
        <v>1397</v>
      </c>
      <c r="F47" s="59" t="s">
        <v>25</v>
      </c>
      <c r="G47" s="63" t="s">
        <v>75</v>
      </c>
      <c r="H47" s="64">
        <v>42887</v>
      </c>
      <c r="I47" s="86">
        <v>0.001</v>
      </c>
      <c r="J47" s="62" t="s">
        <v>1398</v>
      </c>
      <c r="K47" s="62" t="s">
        <v>1399</v>
      </c>
      <c r="L47" s="62" t="s">
        <v>1276</v>
      </c>
      <c r="M47" s="87" t="s">
        <v>76</v>
      </c>
      <c r="N47" s="88" t="s">
        <v>1400</v>
      </c>
      <c r="O47" s="86">
        <v>0.001</v>
      </c>
      <c r="P47" s="86">
        <v>0.001</v>
      </c>
      <c r="Q47" s="93"/>
      <c r="R47" s="86"/>
      <c r="S47" s="86"/>
      <c r="T47" s="93"/>
      <c r="U47" s="86"/>
      <c r="V47" s="86"/>
      <c r="W47" s="93"/>
      <c r="X47" s="86"/>
      <c r="Y47" s="86"/>
      <c r="Z47" s="93"/>
      <c r="AA47" s="86"/>
      <c r="AB47" s="86"/>
      <c r="AC47" s="93"/>
      <c r="AD47" s="86"/>
      <c r="AE47" s="86"/>
      <c r="AF47" s="93"/>
      <c r="AG47" s="86"/>
      <c r="AH47" s="86"/>
      <c r="AI47" s="93"/>
      <c r="AJ47" s="86"/>
      <c r="AK47" s="107"/>
      <c r="AL47" s="108">
        <f t="shared" si="10"/>
        <v>0.001</v>
      </c>
      <c r="AM47" s="109">
        <f t="shared" si="11"/>
        <v>0</v>
      </c>
      <c r="AN47" s="110">
        <f t="shared" si="12"/>
        <v>1</v>
      </c>
      <c r="AO47" s="109">
        <f t="shared" si="13"/>
        <v>0.001</v>
      </c>
      <c r="AP47" s="117" t="str">
        <f t="shared" si="14"/>
        <v>数据正确</v>
      </c>
    </row>
    <row r="48" s="37" customFormat="1" customHeight="1" spans="1:42">
      <c r="A48" s="37" t="str">
        <f t="shared" si="8"/>
        <v>已完毕</v>
      </c>
      <c r="B48" s="37" t="s">
        <v>83</v>
      </c>
      <c r="C48" s="37" t="s">
        <v>84</v>
      </c>
      <c r="D48" s="61">
        <v>55</v>
      </c>
      <c r="E48" s="63" t="s">
        <v>1401</v>
      </c>
      <c r="F48" s="59" t="s">
        <v>25</v>
      </c>
      <c r="G48" s="63" t="s">
        <v>75</v>
      </c>
      <c r="H48" s="64">
        <v>42895</v>
      </c>
      <c r="I48" s="86">
        <v>49800</v>
      </c>
      <c r="J48" s="62" t="s">
        <v>1402</v>
      </c>
      <c r="K48" s="62" t="s">
        <v>1403</v>
      </c>
      <c r="L48" s="62" t="s">
        <v>1276</v>
      </c>
      <c r="M48" s="87" t="s">
        <v>278</v>
      </c>
      <c r="N48" s="88" t="s">
        <v>1404</v>
      </c>
      <c r="O48" s="86">
        <v>49800</v>
      </c>
      <c r="P48" s="86">
        <v>49800</v>
      </c>
      <c r="Q48" s="93"/>
      <c r="R48" s="86"/>
      <c r="S48" s="86"/>
      <c r="T48" s="93"/>
      <c r="U48" s="86"/>
      <c r="V48" s="86"/>
      <c r="W48" s="93"/>
      <c r="X48" s="86"/>
      <c r="Y48" s="86"/>
      <c r="Z48" s="93"/>
      <c r="AA48" s="86"/>
      <c r="AB48" s="86"/>
      <c r="AC48" s="93"/>
      <c r="AD48" s="86"/>
      <c r="AE48" s="86"/>
      <c r="AF48" s="93"/>
      <c r="AG48" s="86"/>
      <c r="AH48" s="86"/>
      <c r="AI48" s="93"/>
      <c r="AJ48" s="86"/>
      <c r="AK48" s="107"/>
      <c r="AL48" s="108">
        <f t="shared" si="10"/>
        <v>49800</v>
      </c>
      <c r="AM48" s="109">
        <f t="shared" si="11"/>
        <v>0</v>
      </c>
      <c r="AN48" s="110">
        <f t="shared" si="12"/>
        <v>1</v>
      </c>
      <c r="AO48" s="109">
        <f t="shared" si="13"/>
        <v>49800</v>
      </c>
      <c r="AP48" s="117" t="str">
        <f t="shared" si="14"/>
        <v>数据正确</v>
      </c>
    </row>
    <row r="49" s="37" customFormat="1" customHeight="1" spans="1:42">
      <c r="A49" s="37" t="str">
        <f t="shared" si="8"/>
        <v>已完毕</v>
      </c>
      <c r="B49" s="37" t="s">
        <v>83</v>
      </c>
      <c r="C49" s="37" t="s">
        <v>84</v>
      </c>
      <c r="D49" s="61">
        <v>57</v>
      </c>
      <c r="E49" s="63" t="s">
        <v>1405</v>
      </c>
      <c r="F49" s="59" t="s">
        <v>25</v>
      </c>
      <c r="G49" s="63" t="s">
        <v>75</v>
      </c>
      <c r="H49" s="64">
        <v>42895</v>
      </c>
      <c r="I49" s="86">
        <v>0.001</v>
      </c>
      <c r="J49" s="62" t="s">
        <v>1406</v>
      </c>
      <c r="K49" s="62" t="s">
        <v>1407</v>
      </c>
      <c r="L49" s="62" t="s">
        <v>1276</v>
      </c>
      <c r="M49" s="87" t="s">
        <v>76</v>
      </c>
      <c r="N49" s="88" t="s">
        <v>1396</v>
      </c>
      <c r="O49" s="86">
        <v>0.001</v>
      </c>
      <c r="P49" s="86">
        <v>0.001</v>
      </c>
      <c r="Q49" s="93"/>
      <c r="R49" s="86"/>
      <c r="S49" s="86"/>
      <c r="T49" s="93"/>
      <c r="U49" s="86"/>
      <c r="V49" s="86"/>
      <c r="W49" s="93"/>
      <c r="X49" s="86"/>
      <c r="Y49" s="86"/>
      <c r="Z49" s="93"/>
      <c r="AA49" s="86"/>
      <c r="AB49" s="86"/>
      <c r="AC49" s="93"/>
      <c r="AD49" s="86"/>
      <c r="AE49" s="86"/>
      <c r="AF49" s="93"/>
      <c r="AG49" s="86"/>
      <c r="AH49" s="86"/>
      <c r="AI49" s="93"/>
      <c r="AJ49" s="86"/>
      <c r="AK49" s="107"/>
      <c r="AL49" s="108">
        <f t="shared" si="10"/>
        <v>0.001</v>
      </c>
      <c r="AM49" s="109">
        <f t="shared" si="11"/>
        <v>0</v>
      </c>
      <c r="AN49" s="110">
        <f t="shared" si="12"/>
        <v>1</v>
      </c>
      <c r="AO49" s="109">
        <f t="shared" si="13"/>
        <v>0.001</v>
      </c>
      <c r="AP49" s="117" t="str">
        <f t="shared" si="14"/>
        <v>数据正确</v>
      </c>
    </row>
    <row r="50" s="37" customFormat="1" customHeight="1" spans="1:42">
      <c r="A50" s="37" t="str">
        <f t="shared" si="8"/>
        <v/>
      </c>
      <c r="B50" s="37" t="s">
        <v>83</v>
      </c>
      <c r="C50" s="37" t="s">
        <v>84</v>
      </c>
      <c r="D50" s="61">
        <v>59</v>
      </c>
      <c r="E50" s="63" t="s">
        <v>1408</v>
      </c>
      <c r="F50" s="59" t="s">
        <v>25</v>
      </c>
      <c r="G50" s="63" t="s">
        <v>75</v>
      </c>
      <c r="H50" s="64">
        <v>42898</v>
      </c>
      <c r="I50" s="86">
        <v>26370</v>
      </c>
      <c r="J50" s="62" t="s">
        <v>1409</v>
      </c>
      <c r="K50" s="62" t="s">
        <v>1334</v>
      </c>
      <c r="L50" s="62"/>
      <c r="M50" s="87" t="s">
        <v>278</v>
      </c>
      <c r="N50" s="88" t="s">
        <v>1410</v>
      </c>
      <c r="O50" s="86">
        <v>26370</v>
      </c>
      <c r="P50" s="86"/>
      <c r="Q50" s="93"/>
      <c r="R50" s="86"/>
      <c r="S50" s="86"/>
      <c r="T50" s="93"/>
      <c r="U50" s="86"/>
      <c r="V50" s="86"/>
      <c r="W50" s="93"/>
      <c r="X50" s="86"/>
      <c r="Y50" s="86"/>
      <c r="Z50" s="93"/>
      <c r="AA50" s="86"/>
      <c r="AB50" s="86"/>
      <c r="AC50" s="93"/>
      <c r="AD50" s="86"/>
      <c r="AE50" s="86"/>
      <c r="AF50" s="93"/>
      <c r="AG50" s="86"/>
      <c r="AH50" s="86"/>
      <c r="AI50" s="93"/>
      <c r="AJ50" s="86"/>
      <c r="AK50" s="107"/>
      <c r="AL50" s="108">
        <f t="shared" si="10"/>
        <v>0</v>
      </c>
      <c r="AM50" s="109">
        <f t="shared" si="11"/>
        <v>26370</v>
      </c>
      <c r="AN50" s="110">
        <f t="shared" si="12"/>
        <v>0</v>
      </c>
      <c r="AO50" s="109">
        <f t="shared" si="13"/>
        <v>26370</v>
      </c>
      <c r="AP50" s="117" t="str">
        <f t="shared" si="14"/>
        <v>数据正确</v>
      </c>
    </row>
    <row r="51" s="37" customFormat="1" customHeight="1" spans="1:42">
      <c r="A51" s="37" t="str">
        <f t="shared" si="8"/>
        <v/>
      </c>
      <c r="B51" s="37" t="s">
        <v>83</v>
      </c>
      <c r="C51" s="37" t="s">
        <v>84</v>
      </c>
      <c r="D51" s="61">
        <v>60</v>
      </c>
      <c r="E51" s="63" t="s">
        <v>1411</v>
      </c>
      <c r="F51" s="59" t="s">
        <v>25</v>
      </c>
      <c r="G51" s="63">
        <v>2017050001</v>
      </c>
      <c r="H51" s="64">
        <v>42909</v>
      </c>
      <c r="I51" s="86">
        <v>215000</v>
      </c>
      <c r="J51" s="62" t="s">
        <v>1412</v>
      </c>
      <c r="K51" s="62" t="s">
        <v>1413</v>
      </c>
      <c r="L51" s="62" t="s">
        <v>1276</v>
      </c>
      <c r="M51" s="87" t="s">
        <v>278</v>
      </c>
      <c r="N51" s="88" t="s">
        <v>1359</v>
      </c>
      <c r="O51" s="86">
        <f>215000*0.9</f>
        <v>193500</v>
      </c>
      <c r="P51" s="86"/>
      <c r="Q51" s="93" t="s">
        <v>1414</v>
      </c>
      <c r="R51" s="86">
        <f>215000*0.1</f>
        <v>21500</v>
      </c>
      <c r="S51" s="86"/>
      <c r="T51" s="93"/>
      <c r="U51" s="86"/>
      <c r="V51" s="86"/>
      <c r="W51" s="93"/>
      <c r="X51" s="86"/>
      <c r="Y51" s="86"/>
      <c r="Z51" s="93"/>
      <c r="AA51" s="86"/>
      <c r="AB51" s="86"/>
      <c r="AC51" s="93"/>
      <c r="AD51" s="86"/>
      <c r="AE51" s="86"/>
      <c r="AF51" s="93"/>
      <c r="AG51" s="86"/>
      <c r="AH51" s="86"/>
      <c r="AI51" s="93"/>
      <c r="AJ51" s="86"/>
      <c r="AK51" s="107"/>
      <c r="AL51" s="108">
        <f t="shared" si="10"/>
        <v>0</v>
      </c>
      <c r="AM51" s="109">
        <f t="shared" si="11"/>
        <v>215000</v>
      </c>
      <c r="AN51" s="110">
        <f t="shared" si="12"/>
        <v>0</v>
      </c>
      <c r="AO51" s="109">
        <f t="shared" si="13"/>
        <v>215000</v>
      </c>
      <c r="AP51" s="117" t="str">
        <f t="shared" si="14"/>
        <v>数据正确</v>
      </c>
    </row>
    <row r="52" s="37" customFormat="1" customHeight="1" spans="1:42">
      <c r="A52" s="37" t="str">
        <f t="shared" si="8"/>
        <v/>
      </c>
      <c r="B52" s="37" t="s">
        <v>83</v>
      </c>
      <c r="C52" s="37" t="s">
        <v>84</v>
      </c>
      <c r="D52" s="61">
        <v>68</v>
      </c>
      <c r="E52" s="63" t="s">
        <v>1415</v>
      </c>
      <c r="F52" s="59" t="s">
        <v>25</v>
      </c>
      <c r="G52" s="63">
        <v>2017050001</v>
      </c>
      <c r="H52" s="64">
        <v>42920</v>
      </c>
      <c r="I52" s="86">
        <v>74784</v>
      </c>
      <c r="J52" s="62" t="s">
        <v>1416</v>
      </c>
      <c r="K52" s="62" t="s">
        <v>1417</v>
      </c>
      <c r="L52" s="62"/>
      <c r="M52" s="87" t="s">
        <v>76</v>
      </c>
      <c r="N52" s="88" t="s">
        <v>1418</v>
      </c>
      <c r="O52" s="86">
        <f>I52*0.15</f>
        <v>11217.6</v>
      </c>
      <c r="P52" s="86"/>
      <c r="Q52" s="93" t="s">
        <v>1419</v>
      </c>
      <c r="R52" s="86">
        <f>I52*0.85</f>
        <v>63566.4</v>
      </c>
      <c r="S52" s="86"/>
      <c r="T52" s="93"/>
      <c r="U52" s="86"/>
      <c r="V52" s="86"/>
      <c r="W52" s="93"/>
      <c r="X52" s="86"/>
      <c r="Y52" s="86"/>
      <c r="Z52" s="93"/>
      <c r="AA52" s="86"/>
      <c r="AB52" s="86"/>
      <c r="AC52" s="93"/>
      <c r="AD52" s="86"/>
      <c r="AE52" s="86"/>
      <c r="AF52" s="93"/>
      <c r="AG52" s="86"/>
      <c r="AH52" s="86"/>
      <c r="AI52" s="93"/>
      <c r="AJ52" s="86"/>
      <c r="AK52" s="107"/>
      <c r="AL52" s="108">
        <f t="shared" si="10"/>
        <v>0</v>
      </c>
      <c r="AM52" s="109">
        <f t="shared" si="11"/>
        <v>74784</v>
      </c>
      <c r="AN52" s="110">
        <f t="shared" si="12"/>
        <v>0</v>
      </c>
      <c r="AO52" s="109">
        <f t="shared" si="13"/>
        <v>74784</v>
      </c>
      <c r="AP52" s="117" t="str">
        <f t="shared" si="14"/>
        <v>数据正确</v>
      </c>
    </row>
    <row r="53" s="37" customFormat="1" customHeight="1" spans="1:42">
      <c r="A53" s="37" t="str">
        <f t="shared" si="8"/>
        <v/>
      </c>
      <c r="B53" s="37" t="s">
        <v>83</v>
      </c>
      <c r="C53" s="37" t="s">
        <v>84</v>
      </c>
      <c r="D53" s="61">
        <v>72</v>
      </c>
      <c r="E53" s="63" t="s">
        <v>1420</v>
      </c>
      <c r="F53" s="59" t="s">
        <v>25</v>
      </c>
      <c r="G53" s="71">
        <v>2017050001</v>
      </c>
      <c r="H53" s="64">
        <v>42921</v>
      </c>
      <c r="I53" s="86">
        <v>271360</v>
      </c>
      <c r="J53" s="62" t="s">
        <v>1421</v>
      </c>
      <c r="K53" s="62" t="s">
        <v>1422</v>
      </c>
      <c r="L53" s="62"/>
      <c r="M53" s="87" t="s">
        <v>278</v>
      </c>
      <c r="N53" s="88" t="s">
        <v>1423</v>
      </c>
      <c r="O53" s="86">
        <f t="shared" ref="O53:O56" si="15">I53*0.9</f>
        <v>244224</v>
      </c>
      <c r="P53" s="86"/>
      <c r="Q53" s="93" t="s">
        <v>1424</v>
      </c>
      <c r="R53" s="86">
        <f t="shared" ref="R53:R56" si="16">I53*0.1</f>
        <v>27136</v>
      </c>
      <c r="S53" s="86"/>
      <c r="T53" s="93"/>
      <c r="U53" s="86"/>
      <c r="V53" s="86"/>
      <c r="W53" s="93"/>
      <c r="X53" s="86"/>
      <c r="Y53" s="86"/>
      <c r="Z53" s="93"/>
      <c r="AA53" s="86"/>
      <c r="AB53" s="86"/>
      <c r="AC53" s="93"/>
      <c r="AD53" s="86"/>
      <c r="AE53" s="86"/>
      <c r="AF53" s="93"/>
      <c r="AG53" s="86"/>
      <c r="AH53" s="86"/>
      <c r="AI53" s="93"/>
      <c r="AJ53" s="86"/>
      <c r="AK53" s="107"/>
      <c r="AL53" s="108">
        <f t="shared" si="10"/>
        <v>0</v>
      </c>
      <c r="AM53" s="109">
        <f t="shared" si="11"/>
        <v>271360</v>
      </c>
      <c r="AN53" s="110">
        <f t="shared" si="12"/>
        <v>0</v>
      </c>
      <c r="AO53" s="109">
        <f t="shared" si="13"/>
        <v>271360</v>
      </c>
      <c r="AP53" s="117" t="str">
        <f t="shared" si="14"/>
        <v>数据正确</v>
      </c>
    </row>
    <row r="54" s="37" customFormat="1" customHeight="1" spans="1:42">
      <c r="A54" s="37" t="str">
        <f t="shared" si="8"/>
        <v/>
      </c>
      <c r="B54" s="37" t="s">
        <v>83</v>
      </c>
      <c r="C54" s="37" t="s">
        <v>84</v>
      </c>
      <c r="D54" s="61">
        <v>77</v>
      </c>
      <c r="E54" s="63" t="s">
        <v>1425</v>
      </c>
      <c r="F54" s="59" t="s">
        <v>25</v>
      </c>
      <c r="G54" s="71">
        <v>2017050001</v>
      </c>
      <c r="H54" s="64">
        <v>42940</v>
      </c>
      <c r="I54" s="86">
        <v>704480</v>
      </c>
      <c r="J54" s="62" t="s">
        <v>1426</v>
      </c>
      <c r="K54" s="62" t="s">
        <v>1413</v>
      </c>
      <c r="L54" s="62"/>
      <c r="M54" s="87" t="s">
        <v>76</v>
      </c>
      <c r="N54" s="88" t="s">
        <v>1423</v>
      </c>
      <c r="O54" s="86">
        <f t="shared" si="15"/>
        <v>634032</v>
      </c>
      <c r="P54" s="86"/>
      <c r="Q54" s="93" t="s">
        <v>1424</v>
      </c>
      <c r="R54" s="86">
        <f t="shared" si="16"/>
        <v>70448</v>
      </c>
      <c r="S54" s="86"/>
      <c r="T54" s="93"/>
      <c r="U54" s="86"/>
      <c r="V54" s="86"/>
      <c r="W54" s="93"/>
      <c r="X54" s="86"/>
      <c r="Y54" s="86"/>
      <c r="Z54" s="93"/>
      <c r="AA54" s="86"/>
      <c r="AB54" s="86"/>
      <c r="AC54" s="93"/>
      <c r="AD54" s="86"/>
      <c r="AE54" s="86"/>
      <c r="AF54" s="93"/>
      <c r="AG54" s="86"/>
      <c r="AH54" s="86"/>
      <c r="AI54" s="93"/>
      <c r="AJ54" s="86"/>
      <c r="AK54" s="107"/>
      <c r="AL54" s="108">
        <f t="shared" si="10"/>
        <v>0</v>
      </c>
      <c r="AM54" s="109">
        <f t="shared" si="11"/>
        <v>704480</v>
      </c>
      <c r="AN54" s="110">
        <f t="shared" si="12"/>
        <v>0</v>
      </c>
      <c r="AO54" s="109">
        <f t="shared" si="13"/>
        <v>704480</v>
      </c>
      <c r="AP54" s="117" t="str">
        <f t="shared" si="14"/>
        <v>数据正确</v>
      </c>
    </row>
    <row r="55" s="37" customFormat="1" customHeight="1" spans="1:42">
      <c r="A55" s="37" t="str">
        <f t="shared" si="8"/>
        <v/>
      </c>
      <c r="B55" s="37" t="s">
        <v>83</v>
      </c>
      <c r="C55" s="37" t="s">
        <v>84</v>
      </c>
      <c r="D55" s="61">
        <v>76</v>
      </c>
      <c r="E55" s="63" t="s">
        <v>1427</v>
      </c>
      <c r="F55" s="59" t="s">
        <v>25</v>
      </c>
      <c r="G55" s="71">
        <v>2017050001</v>
      </c>
      <c r="H55" s="64">
        <v>42944</v>
      </c>
      <c r="I55" s="86">
        <v>34740</v>
      </c>
      <c r="J55" s="62" t="s">
        <v>1428</v>
      </c>
      <c r="K55" s="62" t="s">
        <v>1413</v>
      </c>
      <c r="L55" s="62"/>
      <c r="M55" s="87" t="s">
        <v>76</v>
      </c>
      <c r="N55" s="88" t="s">
        <v>1423</v>
      </c>
      <c r="O55" s="86">
        <f t="shared" si="15"/>
        <v>31266</v>
      </c>
      <c r="P55" s="86"/>
      <c r="Q55" s="93" t="s">
        <v>1424</v>
      </c>
      <c r="R55" s="86">
        <f t="shared" si="16"/>
        <v>3474</v>
      </c>
      <c r="S55" s="86"/>
      <c r="T55" s="93"/>
      <c r="U55" s="86"/>
      <c r="V55" s="86"/>
      <c r="W55" s="93"/>
      <c r="X55" s="86"/>
      <c r="Y55" s="86"/>
      <c r="Z55" s="93"/>
      <c r="AA55" s="86"/>
      <c r="AB55" s="86"/>
      <c r="AC55" s="93"/>
      <c r="AD55" s="86"/>
      <c r="AE55" s="86"/>
      <c r="AF55" s="93"/>
      <c r="AG55" s="86"/>
      <c r="AH55" s="86"/>
      <c r="AI55" s="93"/>
      <c r="AJ55" s="86"/>
      <c r="AK55" s="107"/>
      <c r="AL55" s="108">
        <f t="shared" si="10"/>
        <v>0</v>
      </c>
      <c r="AM55" s="109">
        <f t="shared" si="11"/>
        <v>34740</v>
      </c>
      <c r="AN55" s="110">
        <f t="shared" si="12"/>
        <v>0</v>
      </c>
      <c r="AO55" s="109">
        <f t="shared" si="13"/>
        <v>34740</v>
      </c>
      <c r="AP55" s="117" t="str">
        <f t="shared" si="14"/>
        <v>数据正确</v>
      </c>
    </row>
    <row r="56" s="37" customFormat="1" customHeight="1" spans="1:42">
      <c r="A56" s="37" t="str">
        <f t="shared" si="8"/>
        <v/>
      </c>
      <c r="B56" s="37" t="s">
        <v>83</v>
      </c>
      <c r="C56" s="37" t="s">
        <v>84</v>
      </c>
      <c r="D56" s="61">
        <v>179</v>
      </c>
      <c r="E56" s="63" t="s">
        <v>1429</v>
      </c>
      <c r="F56" s="59" t="s">
        <v>25</v>
      </c>
      <c r="G56" s="63"/>
      <c r="H56" s="64">
        <v>42937</v>
      </c>
      <c r="I56" s="86">
        <v>948068</v>
      </c>
      <c r="J56" s="62" t="s">
        <v>1430</v>
      </c>
      <c r="K56" s="62" t="s">
        <v>1431</v>
      </c>
      <c r="L56" s="62"/>
      <c r="M56" s="87" t="s">
        <v>558</v>
      </c>
      <c r="N56" s="88" t="s">
        <v>1359</v>
      </c>
      <c r="O56" s="86">
        <f t="shared" si="15"/>
        <v>853261.2</v>
      </c>
      <c r="P56" s="86"/>
      <c r="Q56" s="93" t="s">
        <v>1424</v>
      </c>
      <c r="R56" s="86">
        <f t="shared" si="16"/>
        <v>94806.8</v>
      </c>
      <c r="S56" s="86"/>
      <c r="T56" s="93"/>
      <c r="U56" s="86"/>
      <c r="V56" s="86"/>
      <c r="W56" s="93"/>
      <c r="X56" s="86"/>
      <c r="Y56" s="86"/>
      <c r="Z56" s="93"/>
      <c r="AA56" s="86"/>
      <c r="AB56" s="86"/>
      <c r="AC56" s="93"/>
      <c r="AD56" s="86"/>
      <c r="AE56" s="86"/>
      <c r="AF56" s="93"/>
      <c r="AG56" s="86"/>
      <c r="AH56" s="86"/>
      <c r="AI56" s="93"/>
      <c r="AJ56" s="86"/>
      <c r="AK56" s="107"/>
      <c r="AL56" s="108">
        <f t="shared" si="10"/>
        <v>0</v>
      </c>
      <c r="AM56" s="109">
        <f t="shared" si="11"/>
        <v>948068</v>
      </c>
      <c r="AN56" s="110">
        <f t="shared" si="12"/>
        <v>0</v>
      </c>
      <c r="AO56" s="109">
        <f t="shared" si="13"/>
        <v>948068</v>
      </c>
      <c r="AP56" s="117" t="str">
        <f t="shared" si="14"/>
        <v>数据正确</v>
      </c>
    </row>
    <row r="57" s="37" customFormat="1" customHeight="1" spans="1:42">
      <c r="A57" s="37" t="str">
        <f t="shared" si="8"/>
        <v/>
      </c>
      <c r="B57" s="37" t="s">
        <v>83</v>
      </c>
      <c r="C57" s="37" t="s">
        <v>84</v>
      </c>
      <c r="D57" s="61">
        <v>180</v>
      </c>
      <c r="E57" s="63" t="s">
        <v>1432</v>
      </c>
      <c r="F57" s="59" t="s">
        <v>25</v>
      </c>
      <c r="G57" s="63"/>
      <c r="H57" s="64">
        <v>42922</v>
      </c>
      <c r="I57" s="86">
        <v>35000</v>
      </c>
      <c r="J57" s="62" t="s">
        <v>1433</v>
      </c>
      <c r="K57" s="62" t="s">
        <v>1434</v>
      </c>
      <c r="L57" s="62"/>
      <c r="M57" s="87" t="s">
        <v>76</v>
      </c>
      <c r="N57" s="88" t="s">
        <v>1435</v>
      </c>
      <c r="O57" s="86">
        <f t="shared" ref="O57:O59" si="17">I57</f>
        <v>35000</v>
      </c>
      <c r="P57" s="86"/>
      <c r="Q57" s="93"/>
      <c r="R57" s="86"/>
      <c r="S57" s="86"/>
      <c r="T57" s="93"/>
      <c r="U57" s="86"/>
      <c r="V57" s="86"/>
      <c r="W57" s="93"/>
      <c r="X57" s="86"/>
      <c r="Y57" s="86"/>
      <c r="Z57" s="93"/>
      <c r="AA57" s="86"/>
      <c r="AB57" s="86"/>
      <c r="AC57" s="93"/>
      <c r="AD57" s="86"/>
      <c r="AE57" s="86"/>
      <c r="AF57" s="93"/>
      <c r="AG57" s="86"/>
      <c r="AH57" s="86"/>
      <c r="AI57" s="93"/>
      <c r="AJ57" s="86"/>
      <c r="AK57" s="107"/>
      <c r="AL57" s="108">
        <f t="shared" si="10"/>
        <v>0</v>
      </c>
      <c r="AM57" s="109">
        <f t="shared" si="11"/>
        <v>35000</v>
      </c>
      <c r="AN57" s="110">
        <f t="shared" si="12"/>
        <v>0</v>
      </c>
      <c r="AO57" s="109">
        <f t="shared" si="13"/>
        <v>35000</v>
      </c>
      <c r="AP57" s="117" t="str">
        <f t="shared" si="14"/>
        <v>数据正确</v>
      </c>
    </row>
    <row r="58" s="37" customFormat="1" customHeight="1" spans="1:42">
      <c r="A58" s="37" t="str">
        <f t="shared" si="8"/>
        <v/>
      </c>
      <c r="B58" s="37" t="s">
        <v>83</v>
      </c>
      <c r="C58" s="37" t="s">
        <v>84</v>
      </c>
      <c r="D58" s="61">
        <v>181</v>
      </c>
      <c r="E58" s="63" t="s">
        <v>1436</v>
      </c>
      <c r="F58" s="59" t="s">
        <v>25</v>
      </c>
      <c r="G58" s="63"/>
      <c r="H58" s="64">
        <v>42951</v>
      </c>
      <c r="I58" s="86">
        <v>9520</v>
      </c>
      <c r="J58" s="62" t="s">
        <v>1437</v>
      </c>
      <c r="K58" s="62" t="s">
        <v>1413</v>
      </c>
      <c r="L58" s="62"/>
      <c r="M58" s="87" t="s">
        <v>76</v>
      </c>
      <c r="N58" s="88" t="s">
        <v>1435</v>
      </c>
      <c r="O58" s="86">
        <f t="shared" si="17"/>
        <v>9520</v>
      </c>
      <c r="P58" s="86"/>
      <c r="Q58" s="93"/>
      <c r="R58" s="86"/>
      <c r="S58" s="86"/>
      <c r="T58" s="93"/>
      <c r="U58" s="86"/>
      <c r="V58" s="86"/>
      <c r="W58" s="93"/>
      <c r="X58" s="86"/>
      <c r="Y58" s="86"/>
      <c r="Z58" s="93"/>
      <c r="AA58" s="86"/>
      <c r="AB58" s="86"/>
      <c r="AC58" s="93"/>
      <c r="AD58" s="86"/>
      <c r="AE58" s="86"/>
      <c r="AF58" s="93"/>
      <c r="AG58" s="86"/>
      <c r="AH58" s="86"/>
      <c r="AI58" s="93"/>
      <c r="AJ58" s="86"/>
      <c r="AK58" s="107"/>
      <c r="AL58" s="108">
        <f t="shared" si="10"/>
        <v>0</v>
      </c>
      <c r="AM58" s="109">
        <f t="shared" si="11"/>
        <v>9520</v>
      </c>
      <c r="AN58" s="110">
        <f t="shared" si="12"/>
        <v>0</v>
      </c>
      <c r="AO58" s="109">
        <f t="shared" si="13"/>
        <v>9520</v>
      </c>
      <c r="AP58" s="117" t="str">
        <f t="shared" si="14"/>
        <v>数据正确</v>
      </c>
    </row>
    <row r="59" s="37" customFormat="1" customHeight="1" spans="1:42">
      <c r="A59" s="37" t="str">
        <f t="shared" si="8"/>
        <v/>
      </c>
      <c r="B59" s="37" t="s">
        <v>83</v>
      </c>
      <c r="C59" s="37" t="s">
        <v>84</v>
      </c>
      <c r="D59" s="61">
        <v>182</v>
      </c>
      <c r="E59" s="63" t="s">
        <v>1438</v>
      </c>
      <c r="F59" s="59" t="s">
        <v>25</v>
      </c>
      <c r="G59" s="63"/>
      <c r="H59" s="64">
        <v>42951</v>
      </c>
      <c r="I59" s="86">
        <v>23450</v>
      </c>
      <c r="J59" s="62" t="s">
        <v>1439</v>
      </c>
      <c r="K59" s="62" t="s">
        <v>1343</v>
      </c>
      <c r="L59" s="62"/>
      <c r="M59" s="87" t="s">
        <v>76</v>
      </c>
      <c r="N59" s="88" t="s">
        <v>1359</v>
      </c>
      <c r="O59" s="86">
        <f t="shared" si="17"/>
        <v>23450</v>
      </c>
      <c r="P59" s="86"/>
      <c r="Q59" s="93"/>
      <c r="R59" s="86"/>
      <c r="S59" s="86"/>
      <c r="T59" s="93"/>
      <c r="U59" s="86"/>
      <c r="V59" s="86"/>
      <c r="W59" s="93"/>
      <c r="X59" s="86"/>
      <c r="Y59" s="86"/>
      <c r="Z59" s="93"/>
      <c r="AA59" s="86"/>
      <c r="AB59" s="86"/>
      <c r="AC59" s="93"/>
      <c r="AD59" s="86"/>
      <c r="AE59" s="86"/>
      <c r="AF59" s="93"/>
      <c r="AG59" s="86"/>
      <c r="AH59" s="86"/>
      <c r="AI59" s="93"/>
      <c r="AJ59" s="86"/>
      <c r="AK59" s="107"/>
      <c r="AL59" s="108">
        <f t="shared" si="10"/>
        <v>0</v>
      </c>
      <c r="AM59" s="109">
        <f t="shared" si="11"/>
        <v>23450</v>
      </c>
      <c r="AN59" s="110">
        <f t="shared" si="12"/>
        <v>0</v>
      </c>
      <c r="AO59" s="109">
        <f t="shared" si="13"/>
        <v>23450</v>
      </c>
      <c r="AP59" s="117" t="str">
        <f t="shared" si="14"/>
        <v>数据正确</v>
      </c>
    </row>
    <row r="60" s="37" customFormat="1" customHeight="1" spans="1:42">
      <c r="A60" s="37" t="str">
        <f t="shared" si="8"/>
        <v>已完毕</v>
      </c>
      <c r="B60" s="37" t="s">
        <v>83</v>
      </c>
      <c r="C60" s="37" t="s">
        <v>84</v>
      </c>
      <c r="D60" s="61">
        <v>183</v>
      </c>
      <c r="E60" s="63" t="s">
        <v>1440</v>
      </c>
      <c r="F60" s="59" t="s">
        <v>25</v>
      </c>
      <c r="G60" s="63"/>
      <c r="H60" s="64">
        <v>42887</v>
      </c>
      <c r="I60" s="86">
        <v>0.001</v>
      </c>
      <c r="J60" s="62" t="s">
        <v>1441</v>
      </c>
      <c r="K60" s="62" t="s">
        <v>1442</v>
      </c>
      <c r="L60" s="62"/>
      <c r="M60" s="87" t="s">
        <v>76</v>
      </c>
      <c r="N60" s="88" t="s">
        <v>1443</v>
      </c>
      <c r="O60" s="86">
        <v>0.001</v>
      </c>
      <c r="P60" s="86">
        <v>0.001</v>
      </c>
      <c r="Q60" s="93"/>
      <c r="R60" s="86"/>
      <c r="S60" s="86"/>
      <c r="T60" s="93"/>
      <c r="U60" s="86"/>
      <c r="V60" s="86"/>
      <c r="W60" s="93"/>
      <c r="X60" s="86"/>
      <c r="Y60" s="86"/>
      <c r="Z60" s="93"/>
      <c r="AA60" s="86"/>
      <c r="AB60" s="86"/>
      <c r="AC60" s="93"/>
      <c r="AD60" s="86"/>
      <c r="AE60" s="86"/>
      <c r="AF60" s="93"/>
      <c r="AG60" s="86"/>
      <c r="AH60" s="86"/>
      <c r="AI60" s="93"/>
      <c r="AJ60" s="86"/>
      <c r="AK60" s="107"/>
      <c r="AL60" s="108">
        <f t="shared" si="10"/>
        <v>0.001</v>
      </c>
      <c r="AM60" s="109">
        <f t="shared" si="11"/>
        <v>0</v>
      </c>
      <c r="AN60" s="110">
        <f t="shared" si="12"/>
        <v>1</v>
      </c>
      <c r="AO60" s="109">
        <f t="shared" si="13"/>
        <v>0.001</v>
      </c>
      <c r="AP60" s="117" t="str">
        <f t="shared" si="14"/>
        <v>数据正确</v>
      </c>
    </row>
    <row r="61" s="37" customFormat="1" customHeight="1" spans="1:42">
      <c r="A61" s="37" t="str">
        <f t="shared" si="8"/>
        <v/>
      </c>
      <c r="B61" s="37" t="s">
        <v>83</v>
      </c>
      <c r="C61" s="37" t="s">
        <v>84</v>
      </c>
      <c r="D61" s="61">
        <v>195</v>
      </c>
      <c r="E61" s="63" t="s">
        <v>1444</v>
      </c>
      <c r="F61" s="59" t="s">
        <v>25</v>
      </c>
      <c r="G61" s="63"/>
      <c r="H61" s="64">
        <v>42958</v>
      </c>
      <c r="I61" s="86">
        <v>23450</v>
      </c>
      <c r="J61" s="62" t="s">
        <v>1439</v>
      </c>
      <c r="K61" s="62" t="s">
        <v>1343</v>
      </c>
      <c r="L61" s="62"/>
      <c r="M61" s="87" t="s">
        <v>76</v>
      </c>
      <c r="N61" s="88" t="s">
        <v>1435</v>
      </c>
      <c r="O61" s="86">
        <f t="shared" ref="O61:O63" si="18">I61</f>
        <v>23450</v>
      </c>
      <c r="P61" s="86"/>
      <c r="Q61" s="93"/>
      <c r="R61" s="86"/>
      <c r="S61" s="86"/>
      <c r="T61" s="93"/>
      <c r="U61" s="86"/>
      <c r="V61" s="86"/>
      <c r="W61" s="93"/>
      <c r="X61" s="86"/>
      <c r="Y61" s="86"/>
      <c r="Z61" s="93"/>
      <c r="AA61" s="86"/>
      <c r="AB61" s="86"/>
      <c r="AC61" s="93"/>
      <c r="AD61" s="86"/>
      <c r="AE61" s="86"/>
      <c r="AF61" s="93"/>
      <c r="AG61" s="86"/>
      <c r="AH61" s="86"/>
      <c r="AI61" s="93"/>
      <c r="AJ61" s="86"/>
      <c r="AK61" s="107"/>
      <c r="AL61" s="108">
        <f t="shared" si="10"/>
        <v>0</v>
      </c>
      <c r="AM61" s="109">
        <f t="shared" si="11"/>
        <v>23450</v>
      </c>
      <c r="AN61" s="110">
        <f t="shared" si="12"/>
        <v>0</v>
      </c>
      <c r="AO61" s="109">
        <f t="shared" si="13"/>
        <v>23450</v>
      </c>
      <c r="AP61" s="117" t="str">
        <f t="shared" si="14"/>
        <v>数据正确</v>
      </c>
    </row>
    <row r="62" s="37" customFormat="1" customHeight="1" spans="1:42">
      <c r="A62" s="37" t="str">
        <f t="shared" si="8"/>
        <v/>
      </c>
      <c r="B62" s="37" t="s">
        <v>83</v>
      </c>
      <c r="C62" s="37" t="s">
        <v>84</v>
      </c>
      <c r="D62" s="61">
        <v>196</v>
      </c>
      <c r="E62" s="63" t="s">
        <v>1445</v>
      </c>
      <c r="F62" s="59" t="s">
        <v>25</v>
      </c>
      <c r="G62" s="63"/>
      <c r="H62" s="64">
        <v>42965</v>
      </c>
      <c r="I62" s="86">
        <v>95640</v>
      </c>
      <c r="J62" s="62" t="s">
        <v>1446</v>
      </c>
      <c r="K62" s="62" t="s">
        <v>891</v>
      </c>
      <c r="L62" s="62"/>
      <c r="M62" s="87" t="s">
        <v>547</v>
      </c>
      <c r="N62" s="88" t="s">
        <v>1435</v>
      </c>
      <c r="O62" s="86">
        <f t="shared" si="18"/>
        <v>95640</v>
      </c>
      <c r="P62" s="86"/>
      <c r="Q62" s="93"/>
      <c r="R62" s="86"/>
      <c r="S62" s="86"/>
      <c r="T62" s="93"/>
      <c r="U62" s="86"/>
      <c r="V62" s="86"/>
      <c r="W62" s="93"/>
      <c r="X62" s="86"/>
      <c r="Y62" s="86"/>
      <c r="Z62" s="93"/>
      <c r="AA62" s="86"/>
      <c r="AB62" s="86"/>
      <c r="AC62" s="93"/>
      <c r="AD62" s="86"/>
      <c r="AE62" s="86"/>
      <c r="AF62" s="93"/>
      <c r="AG62" s="86"/>
      <c r="AH62" s="86"/>
      <c r="AI62" s="93"/>
      <c r="AJ62" s="86"/>
      <c r="AK62" s="107"/>
      <c r="AL62" s="108">
        <f t="shared" si="10"/>
        <v>0</v>
      </c>
      <c r="AM62" s="109">
        <f t="shared" si="11"/>
        <v>95640</v>
      </c>
      <c r="AN62" s="110">
        <f t="shared" si="12"/>
        <v>0</v>
      </c>
      <c r="AO62" s="109">
        <f t="shared" si="13"/>
        <v>95640</v>
      </c>
      <c r="AP62" s="117" t="str">
        <f t="shared" si="14"/>
        <v>数据正确</v>
      </c>
    </row>
    <row r="63" s="37" customFormat="1" customHeight="1" spans="1:42">
      <c r="A63" s="37" t="str">
        <f t="shared" si="8"/>
        <v/>
      </c>
      <c r="C63" s="37" t="s">
        <v>84</v>
      </c>
      <c r="D63" s="61">
        <v>241</v>
      </c>
      <c r="E63" s="63" t="s">
        <v>1447</v>
      </c>
      <c r="F63" s="59" t="s">
        <v>25</v>
      </c>
      <c r="G63" s="63"/>
      <c r="H63" s="64">
        <v>42993</v>
      </c>
      <c r="I63" s="86">
        <v>34740</v>
      </c>
      <c r="J63" s="62" t="s">
        <v>1448</v>
      </c>
      <c r="K63" s="62" t="s">
        <v>1413</v>
      </c>
      <c r="L63" s="62"/>
      <c r="M63" s="87" t="s">
        <v>76</v>
      </c>
      <c r="N63" s="88" t="s">
        <v>1435</v>
      </c>
      <c r="O63" s="86">
        <f t="shared" si="18"/>
        <v>34740</v>
      </c>
      <c r="P63" s="86"/>
      <c r="Q63" s="93"/>
      <c r="R63" s="86"/>
      <c r="S63" s="86"/>
      <c r="T63" s="93"/>
      <c r="U63" s="86"/>
      <c r="V63" s="86"/>
      <c r="W63" s="93"/>
      <c r="X63" s="86"/>
      <c r="Y63" s="86"/>
      <c r="Z63" s="93"/>
      <c r="AA63" s="86"/>
      <c r="AB63" s="86"/>
      <c r="AC63" s="93"/>
      <c r="AD63" s="86"/>
      <c r="AE63" s="86"/>
      <c r="AF63" s="93"/>
      <c r="AG63" s="86"/>
      <c r="AH63" s="86"/>
      <c r="AI63" s="93"/>
      <c r="AJ63" s="86"/>
      <c r="AK63" s="107"/>
      <c r="AL63" s="108">
        <f t="shared" si="10"/>
        <v>0</v>
      </c>
      <c r="AM63" s="109">
        <f t="shared" si="11"/>
        <v>34740</v>
      </c>
      <c r="AN63" s="110">
        <f t="shared" si="12"/>
        <v>0</v>
      </c>
      <c r="AO63" s="109">
        <f t="shared" si="13"/>
        <v>34740</v>
      </c>
      <c r="AP63" s="117" t="str">
        <f t="shared" si="14"/>
        <v>数据正确</v>
      </c>
    </row>
    <row r="64" s="37" customFormat="1" customHeight="1" spans="1:42">
      <c r="A64" s="37" t="str">
        <f t="shared" si="8"/>
        <v/>
      </c>
      <c r="C64" s="37" t="s">
        <v>84</v>
      </c>
      <c r="D64" s="61">
        <v>242</v>
      </c>
      <c r="E64" s="63" t="s">
        <v>1449</v>
      </c>
      <c r="F64" s="59" t="s">
        <v>25</v>
      </c>
      <c r="G64" s="63"/>
      <c r="H64" s="64">
        <v>42993</v>
      </c>
      <c r="I64" s="86">
        <v>176120</v>
      </c>
      <c r="J64" s="62" t="s">
        <v>1450</v>
      </c>
      <c r="K64" s="62" t="s">
        <v>1413</v>
      </c>
      <c r="L64" s="62"/>
      <c r="M64" s="87" t="s">
        <v>76</v>
      </c>
      <c r="N64" s="88" t="s">
        <v>1359</v>
      </c>
      <c r="O64" s="86">
        <f>I64*0.9</f>
        <v>158508</v>
      </c>
      <c r="P64" s="86"/>
      <c r="Q64" s="93" t="s">
        <v>1424</v>
      </c>
      <c r="R64" s="86">
        <f>I64*0.1</f>
        <v>17612</v>
      </c>
      <c r="S64" s="86"/>
      <c r="T64" s="93"/>
      <c r="U64" s="86"/>
      <c r="V64" s="86"/>
      <c r="W64" s="93"/>
      <c r="X64" s="86"/>
      <c r="Y64" s="86"/>
      <c r="Z64" s="93"/>
      <c r="AA64" s="86"/>
      <c r="AB64" s="86"/>
      <c r="AC64" s="93"/>
      <c r="AD64" s="86"/>
      <c r="AE64" s="86"/>
      <c r="AF64" s="93"/>
      <c r="AG64" s="86"/>
      <c r="AH64" s="86"/>
      <c r="AI64" s="93"/>
      <c r="AJ64" s="86"/>
      <c r="AK64" s="107"/>
      <c r="AL64" s="108">
        <f t="shared" si="10"/>
        <v>0</v>
      </c>
      <c r="AM64" s="109">
        <f t="shared" si="11"/>
        <v>176120</v>
      </c>
      <c r="AN64" s="110">
        <f t="shared" si="12"/>
        <v>0</v>
      </c>
      <c r="AO64" s="109">
        <f t="shared" si="13"/>
        <v>176120</v>
      </c>
      <c r="AP64" s="117" t="str">
        <f t="shared" si="14"/>
        <v>数据正确</v>
      </c>
    </row>
    <row r="65" s="37" customFormat="1" customHeight="1" spans="1:42">
      <c r="A65" s="37" t="str">
        <f t="shared" si="8"/>
        <v/>
      </c>
      <c r="C65" s="37" t="s">
        <v>84</v>
      </c>
      <c r="D65" s="61">
        <v>243</v>
      </c>
      <c r="E65" s="63" t="s">
        <v>1451</v>
      </c>
      <c r="F65" s="59" t="s">
        <v>25</v>
      </c>
      <c r="G65" s="63"/>
      <c r="H65" s="64">
        <v>42912</v>
      </c>
      <c r="I65" s="86">
        <v>57000</v>
      </c>
      <c r="J65" s="62" t="s">
        <v>1452</v>
      </c>
      <c r="K65" s="62" t="s">
        <v>1334</v>
      </c>
      <c r="L65" s="62"/>
      <c r="M65" s="87" t="s">
        <v>547</v>
      </c>
      <c r="N65" s="88" t="s">
        <v>1435</v>
      </c>
      <c r="O65" s="86">
        <f>I65</f>
        <v>57000</v>
      </c>
      <c r="P65" s="86"/>
      <c r="Q65" s="93"/>
      <c r="R65" s="86"/>
      <c r="S65" s="86"/>
      <c r="T65" s="93"/>
      <c r="U65" s="86"/>
      <c r="V65" s="86"/>
      <c r="W65" s="93"/>
      <c r="X65" s="86"/>
      <c r="Y65" s="86"/>
      <c r="Z65" s="93"/>
      <c r="AA65" s="86"/>
      <c r="AB65" s="86"/>
      <c r="AC65" s="93"/>
      <c r="AD65" s="86"/>
      <c r="AE65" s="86"/>
      <c r="AF65" s="93"/>
      <c r="AG65" s="86"/>
      <c r="AH65" s="86"/>
      <c r="AI65" s="93"/>
      <c r="AJ65" s="86"/>
      <c r="AK65" s="107"/>
      <c r="AL65" s="108">
        <f t="shared" si="10"/>
        <v>0</v>
      </c>
      <c r="AM65" s="109">
        <f t="shared" si="11"/>
        <v>57000</v>
      </c>
      <c r="AN65" s="110">
        <f t="shared" si="12"/>
        <v>0</v>
      </c>
      <c r="AO65" s="109">
        <f t="shared" si="13"/>
        <v>57000</v>
      </c>
      <c r="AP65" s="117" t="str">
        <f t="shared" si="14"/>
        <v>数据正确</v>
      </c>
    </row>
    <row r="66" s="41" customFormat="1" customHeight="1" spans="1:42">
      <c r="A66" s="41" t="str">
        <f t="shared" si="8"/>
        <v/>
      </c>
      <c r="C66" s="41" t="s">
        <v>84</v>
      </c>
      <c r="D66" s="66">
        <v>256</v>
      </c>
      <c r="E66" s="68" t="s">
        <v>1453</v>
      </c>
      <c r="F66" s="119" t="s">
        <v>25</v>
      </c>
      <c r="G66" s="68"/>
      <c r="H66" s="69">
        <v>43003</v>
      </c>
      <c r="I66" s="89">
        <f>1050000</f>
        <v>1050000</v>
      </c>
      <c r="J66" s="67" t="s">
        <v>1454</v>
      </c>
      <c r="K66" s="67" t="s">
        <v>1455</v>
      </c>
      <c r="L66" s="67"/>
      <c r="M66" s="90" t="s">
        <v>76</v>
      </c>
      <c r="N66" s="91" t="s">
        <v>1456</v>
      </c>
      <c r="O66" s="89">
        <f>250000*0.95+550000*0.1</f>
        <v>292500</v>
      </c>
      <c r="P66" s="89"/>
      <c r="Q66" s="94" t="s">
        <v>1457</v>
      </c>
      <c r="R66" s="89">
        <f>550000*0.2</f>
        <v>110000</v>
      </c>
      <c r="S66" s="89"/>
      <c r="T66" s="94" t="s">
        <v>1458</v>
      </c>
      <c r="U66" s="89">
        <f>550000*0.3</f>
        <v>165000</v>
      </c>
      <c r="V66" s="89"/>
      <c r="W66" s="94" t="s">
        <v>1459</v>
      </c>
      <c r="X66" s="89">
        <f>550000*0.35</f>
        <v>192500</v>
      </c>
      <c r="Y66" s="89"/>
      <c r="Z66" s="94" t="s">
        <v>1460</v>
      </c>
      <c r="AA66" s="89">
        <f>550000*0.05+250000*0.05</f>
        <v>40000</v>
      </c>
      <c r="AB66" s="89"/>
      <c r="AC66" s="94"/>
      <c r="AD66" s="89"/>
      <c r="AE66" s="89"/>
      <c r="AF66" s="94"/>
      <c r="AG66" s="89"/>
      <c r="AH66" s="89"/>
      <c r="AI66" s="94"/>
      <c r="AJ66" s="89">
        <v>250000</v>
      </c>
      <c r="AK66" s="111"/>
      <c r="AL66" s="112">
        <f t="shared" si="10"/>
        <v>0</v>
      </c>
      <c r="AM66" s="113">
        <f t="shared" si="11"/>
        <v>1050000</v>
      </c>
      <c r="AN66" s="114">
        <f t="shared" si="12"/>
        <v>0</v>
      </c>
      <c r="AO66" s="113">
        <f t="shared" si="13"/>
        <v>1050000</v>
      </c>
      <c r="AP66" s="118" t="str">
        <f t="shared" si="14"/>
        <v>数据正确</v>
      </c>
    </row>
  </sheetData>
  <autoFilter ref="A5:AR66"/>
  <mergeCells count="29">
    <mergeCell ref="E2:M2"/>
    <mergeCell ref="N2:AK2"/>
    <mergeCell ref="AL2:AP2"/>
    <mergeCell ref="N3:P3"/>
    <mergeCell ref="Q3:S3"/>
    <mergeCell ref="T3:V3"/>
    <mergeCell ref="W3:Y3"/>
    <mergeCell ref="Z3:AB3"/>
    <mergeCell ref="AC3:AE3"/>
    <mergeCell ref="AF3:AH3"/>
    <mergeCell ref="AI3:AK3"/>
    <mergeCell ref="A2:A5"/>
    <mergeCell ref="B2:B5"/>
    <mergeCell ref="C2:C5"/>
    <mergeCell ref="D2:D4"/>
    <mergeCell ref="E3:E4"/>
    <mergeCell ref="F3:F4"/>
    <mergeCell ref="G3:G4"/>
    <mergeCell ref="H3:H4"/>
    <mergeCell ref="I3:I4"/>
    <mergeCell ref="J3:J4"/>
    <mergeCell ref="K3:K4"/>
    <mergeCell ref="L3:L4"/>
    <mergeCell ref="M3:M4"/>
    <mergeCell ref="AL3:AL4"/>
    <mergeCell ref="AM3:AM4"/>
    <mergeCell ref="AN3:AN4"/>
    <mergeCell ref="AO3:AO4"/>
    <mergeCell ref="AP3:AP4"/>
  </mergeCells>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8"/>
  <sheetViews>
    <sheetView workbookViewId="0">
      <pane ySplit="2" topLeftCell="A3" activePane="bottomLeft" state="frozen"/>
      <selection/>
      <selection pane="bottomLeft" activeCell="F15" sqref="F15"/>
    </sheetView>
  </sheetViews>
  <sheetFormatPr defaultColWidth="9" defaultRowHeight="24" customHeight="1"/>
  <cols>
    <col min="1" max="1" width="1.375" style="20" customWidth="1"/>
    <col min="2" max="2" width="25" style="21" customWidth="1"/>
    <col min="3" max="3" width="21" style="22" customWidth="1"/>
    <col min="4" max="4" width="17.875" style="23" customWidth="1"/>
    <col min="5" max="5" width="14.125" style="20" customWidth="1"/>
    <col min="6" max="6" width="38" style="21" customWidth="1"/>
    <col min="7" max="7" width="18.75" style="20" customWidth="1"/>
    <col min="8" max="8" width="17.5" style="20" customWidth="1"/>
    <col min="9" max="9" width="21.625" style="20" customWidth="1"/>
    <col min="10" max="16384" width="9" style="20"/>
  </cols>
  <sheetData>
    <row r="1" customHeight="1" spans="2:8">
      <c r="B1" s="24" t="s">
        <v>1461</v>
      </c>
      <c r="C1" s="25"/>
      <c r="D1" s="24"/>
      <c r="E1" s="24"/>
      <c r="F1" s="24"/>
      <c r="G1" s="24"/>
      <c r="H1" s="24"/>
    </row>
    <row r="2" s="19" customFormat="1" customHeight="1" spans="2:9">
      <c r="B2" s="26" t="s">
        <v>56</v>
      </c>
      <c r="C2" s="27" t="s">
        <v>1462</v>
      </c>
      <c r="D2" s="28" t="s">
        <v>1463</v>
      </c>
      <c r="E2" s="26" t="s">
        <v>1464</v>
      </c>
      <c r="F2" s="26" t="s">
        <v>1465</v>
      </c>
      <c r="G2" s="26" t="s">
        <v>1466</v>
      </c>
      <c r="H2" s="26" t="s">
        <v>1467</v>
      </c>
      <c r="I2" s="26" t="s">
        <v>1468</v>
      </c>
    </row>
    <row r="3" customHeight="1" spans="2:9">
      <c r="B3" s="29" t="s">
        <v>1023</v>
      </c>
      <c r="C3" s="30"/>
      <c r="D3" s="31">
        <v>42942</v>
      </c>
      <c r="E3" s="32">
        <v>2000</v>
      </c>
      <c r="F3" s="29" t="s">
        <v>1469</v>
      </c>
      <c r="G3" s="32"/>
      <c r="H3" s="32"/>
      <c r="I3" s="32"/>
    </row>
    <row r="4" s="20" customFormat="1" customHeight="1" spans="2:9">
      <c r="B4" s="29" t="s">
        <v>1470</v>
      </c>
      <c r="C4" s="30" t="s">
        <v>75</v>
      </c>
      <c r="D4" s="31">
        <v>42874</v>
      </c>
      <c r="E4" s="32">
        <v>500</v>
      </c>
      <c r="F4" s="29" t="s">
        <v>1471</v>
      </c>
      <c r="G4" s="32" t="s">
        <v>1472</v>
      </c>
      <c r="H4" s="32" t="s">
        <v>75</v>
      </c>
      <c r="I4" s="32" t="s">
        <v>1473</v>
      </c>
    </row>
    <row r="5" customHeight="1" spans="2:9">
      <c r="B5" s="33" t="s">
        <v>1016</v>
      </c>
      <c r="C5" s="34"/>
      <c r="D5" s="31">
        <v>42910</v>
      </c>
      <c r="E5" s="32">
        <v>2000</v>
      </c>
      <c r="F5" s="29" t="s">
        <v>1474</v>
      </c>
      <c r="G5" s="32"/>
      <c r="H5" s="32"/>
      <c r="I5" s="32"/>
    </row>
    <row r="6" customHeight="1" spans="2:9">
      <c r="B6" s="35"/>
      <c r="C6" s="36"/>
      <c r="D6" s="31">
        <v>42937</v>
      </c>
      <c r="E6" s="32">
        <v>2000</v>
      </c>
      <c r="F6" s="29" t="s">
        <v>1475</v>
      </c>
      <c r="G6" s="32"/>
      <c r="H6" s="32"/>
      <c r="I6" s="32"/>
    </row>
    <row r="7" s="20" customFormat="1" customHeight="1" spans="2:9">
      <c r="B7" s="29" t="s">
        <v>790</v>
      </c>
      <c r="C7" s="30" t="s">
        <v>75</v>
      </c>
      <c r="D7" s="31">
        <v>42874</v>
      </c>
      <c r="E7" s="32">
        <v>5000</v>
      </c>
      <c r="F7" s="29" t="s">
        <v>1471</v>
      </c>
      <c r="G7" s="32" t="s">
        <v>1472</v>
      </c>
      <c r="H7" s="32" t="s">
        <v>75</v>
      </c>
      <c r="I7" s="32" t="s">
        <v>1476</v>
      </c>
    </row>
    <row r="8" customHeight="1" spans="2:9">
      <c r="B8" s="29" t="s">
        <v>827</v>
      </c>
      <c r="C8" s="30"/>
      <c r="D8" s="31">
        <v>42874</v>
      </c>
      <c r="E8" s="32">
        <v>10000</v>
      </c>
      <c r="F8" s="29" t="s">
        <v>1471</v>
      </c>
      <c r="G8" s="32"/>
      <c r="H8" s="32"/>
      <c r="I8" s="32"/>
    </row>
    <row r="9" customHeight="1" spans="2:9">
      <c r="B9" s="29" t="s">
        <v>88</v>
      </c>
      <c r="C9" s="30">
        <v>788000</v>
      </c>
      <c r="D9" s="31">
        <v>42961</v>
      </c>
      <c r="E9" s="32">
        <v>2000</v>
      </c>
      <c r="F9" s="29" t="s">
        <v>1477</v>
      </c>
      <c r="G9" s="32"/>
      <c r="H9" s="32"/>
      <c r="I9" s="32"/>
    </row>
    <row r="10" customHeight="1" spans="2:9">
      <c r="B10" s="29" t="s">
        <v>116</v>
      </c>
      <c r="C10" s="30">
        <v>400000</v>
      </c>
      <c r="D10" s="31"/>
      <c r="E10" s="32"/>
      <c r="F10" s="29"/>
      <c r="G10" s="32"/>
      <c r="H10" s="32"/>
      <c r="I10" s="32"/>
    </row>
    <row r="11" s="20" customFormat="1" customHeight="1" spans="2:9">
      <c r="B11" s="29" t="s">
        <v>986</v>
      </c>
      <c r="C11" s="30">
        <v>50000</v>
      </c>
      <c r="D11" s="31">
        <v>42947</v>
      </c>
      <c r="E11" s="32">
        <f>500</f>
        <v>500</v>
      </c>
      <c r="F11" s="29" t="s">
        <v>75</v>
      </c>
      <c r="G11" s="32" t="s">
        <v>1472</v>
      </c>
      <c r="H11" s="32" t="s">
        <v>75</v>
      </c>
      <c r="I11" s="32" t="s">
        <v>1478</v>
      </c>
    </row>
    <row r="12" s="20" customFormat="1" customHeight="1" spans="2:9">
      <c r="B12" s="29" t="s">
        <v>919</v>
      </c>
      <c r="C12" s="30">
        <v>180000</v>
      </c>
      <c r="D12" s="31">
        <v>42825</v>
      </c>
      <c r="E12" s="32">
        <v>100</v>
      </c>
      <c r="F12" s="29" t="s">
        <v>1479</v>
      </c>
      <c r="G12" s="32" t="s">
        <v>1472</v>
      </c>
      <c r="H12" s="32">
        <v>100</v>
      </c>
      <c r="I12" s="32" t="s">
        <v>75</v>
      </c>
    </row>
    <row r="13" customHeight="1" spans="2:9">
      <c r="B13" s="29" t="s">
        <v>787</v>
      </c>
      <c r="C13" s="30">
        <v>8000</v>
      </c>
      <c r="D13" s="31"/>
      <c r="E13" s="32"/>
      <c r="G13" s="32"/>
      <c r="H13" s="32"/>
      <c r="I13" s="32"/>
    </row>
    <row r="14" customHeight="1" spans="2:9">
      <c r="B14" s="29" t="s">
        <v>919</v>
      </c>
      <c r="C14" s="30">
        <v>180000</v>
      </c>
      <c r="D14" s="31"/>
      <c r="E14" s="32"/>
      <c r="F14" s="29"/>
      <c r="G14" s="32"/>
      <c r="H14" s="32"/>
      <c r="I14" s="32"/>
    </row>
    <row r="15" customHeight="1" spans="2:9">
      <c r="B15" s="29" t="s">
        <v>1074</v>
      </c>
      <c r="C15" s="30">
        <v>170000</v>
      </c>
      <c r="D15" s="31" t="s">
        <v>1480</v>
      </c>
      <c r="E15" s="32"/>
      <c r="F15" s="29"/>
      <c r="G15" s="32"/>
      <c r="H15" s="32"/>
      <c r="I15" s="32"/>
    </row>
    <row r="16" customHeight="1" spans="2:9">
      <c r="B16" s="29" t="s">
        <v>919</v>
      </c>
      <c r="C16" s="30">
        <v>170000</v>
      </c>
      <c r="D16" s="31"/>
      <c r="E16" s="32"/>
      <c r="F16" s="29"/>
      <c r="G16" s="32"/>
      <c r="H16" s="32"/>
      <c r="I16" s="32"/>
    </row>
    <row r="17" customHeight="1" spans="2:9">
      <c r="B17" s="29" t="s">
        <v>1166</v>
      </c>
      <c r="C17" s="30">
        <v>210000</v>
      </c>
      <c r="D17" s="31"/>
      <c r="E17" s="32"/>
      <c r="F17" s="29"/>
      <c r="G17" s="32"/>
      <c r="H17" s="32"/>
      <c r="I17" s="32"/>
    </row>
    <row r="18" customHeight="1" spans="2:9">
      <c r="B18" s="29" t="s">
        <v>116</v>
      </c>
      <c r="C18" s="30">
        <v>180000</v>
      </c>
      <c r="D18" s="31"/>
      <c r="E18" s="32"/>
      <c r="F18" s="29"/>
      <c r="G18" s="32"/>
      <c r="H18" s="32"/>
      <c r="I18" s="32"/>
    </row>
  </sheetData>
  <mergeCells count="3">
    <mergeCell ref="B1:H1"/>
    <mergeCell ref="B5:B6"/>
    <mergeCell ref="C5:C6"/>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7"/>
  <sheetViews>
    <sheetView workbookViewId="0">
      <selection activeCell="I32" sqref="I32"/>
    </sheetView>
  </sheetViews>
  <sheetFormatPr defaultColWidth="9" defaultRowHeight="13.5"/>
  <cols>
    <col min="1" max="2" width="5.375" style="3" customWidth="1"/>
    <col min="3" max="3" width="16" style="3" customWidth="1"/>
    <col min="4" max="4" width="13.75" style="3" customWidth="1"/>
    <col min="5" max="5" width="16" style="3" customWidth="1"/>
    <col min="6" max="7" width="12.625" style="3" customWidth="1"/>
    <col min="8" max="8" width="13.75" style="3" customWidth="1"/>
    <col min="9" max="9" width="12.625" style="3" customWidth="1"/>
    <col min="10" max="10" width="11.5" style="3" customWidth="1"/>
    <col min="11" max="13" width="12.625" style="3" customWidth="1"/>
    <col min="14" max="14" width="13.75" style="3" customWidth="1"/>
    <col min="15" max="15" width="12.625" style="3" customWidth="1"/>
    <col min="16" max="17" width="16" style="3" customWidth="1"/>
    <col min="18" max="18" width="13.75" style="3" customWidth="1"/>
    <col min="19" max="16384" width="9" style="3"/>
  </cols>
  <sheetData>
    <row r="1" s="3" customFormat="1" spans="1:18">
      <c r="A1" s="5" t="s">
        <v>1481</v>
      </c>
      <c r="B1" s="6"/>
      <c r="C1" s="6"/>
      <c r="D1" s="6"/>
      <c r="E1" s="6"/>
      <c r="F1" s="6"/>
      <c r="G1" s="6"/>
      <c r="H1" s="6"/>
      <c r="I1" s="6"/>
      <c r="J1" s="6"/>
      <c r="K1" s="6"/>
      <c r="L1" s="6"/>
      <c r="M1" s="6"/>
      <c r="N1" s="6"/>
      <c r="O1" s="6"/>
      <c r="P1" s="6"/>
      <c r="Q1" s="6"/>
      <c r="R1" s="6"/>
    </row>
    <row r="2" s="4" customFormat="1" spans="1:18">
      <c r="A2" s="7" t="s">
        <v>1482</v>
      </c>
      <c r="B2" s="7" t="s">
        <v>1483</v>
      </c>
      <c r="C2" s="7" t="s">
        <v>1484</v>
      </c>
      <c r="D2" s="7" t="s">
        <v>1485</v>
      </c>
      <c r="E2" s="7" t="s">
        <v>1486</v>
      </c>
      <c r="F2" s="7" t="s">
        <v>1487</v>
      </c>
      <c r="G2" s="7" t="s">
        <v>1488</v>
      </c>
      <c r="H2" s="7" t="s">
        <v>1489</v>
      </c>
      <c r="I2" s="7" t="s">
        <v>1490</v>
      </c>
      <c r="J2" s="7" t="s">
        <v>1491</v>
      </c>
      <c r="K2" s="7" t="s">
        <v>1492</v>
      </c>
      <c r="L2" s="7" t="s">
        <v>1493</v>
      </c>
      <c r="M2" s="7" t="s">
        <v>1494</v>
      </c>
      <c r="N2" s="7" t="s">
        <v>1495</v>
      </c>
      <c r="O2" s="7" t="s">
        <v>1496</v>
      </c>
      <c r="P2" s="7" t="s">
        <v>26</v>
      </c>
      <c r="Q2" s="17" t="s">
        <v>1497</v>
      </c>
      <c r="R2" s="17" t="s">
        <v>1498</v>
      </c>
    </row>
    <row r="3" s="3" customFormat="1" spans="1:18">
      <c r="A3" s="7">
        <v>2015</v>
      </c>
      <c r="B3" s="8" t="s">
        <v>1499</v>
      </c>
      <c r="C3" s="9">
        <v>623929.42</v>
      </c>
      <c r="D3" s="9">
        <v>277415.62</v>
      </c>
      <c r="E3" s="9">
        <v>28028.92</v>
      </c>
      <c r="F3" s="9"/>
      <c r="G3" s="9"/>
      <c r="H3" s="9"/>
      <c r="I3" s="9"/>
      <c r="J3" s="9"/>
      <c r="K3" s="9"/>
      <c r="L3" s="9"/>
      <c r="M3" s="9"/>
      <c r="N3" s="9"/>
      <c r="O3" s="9"/>
      <c r="P3" s="9">
        <f t="shared" ref="P3:P26" si="0">SUM(C3:O3)</f>
        <v>929373.96</v>
      </c>
      <c r="Q3" s="9">
        <v>926753.7</v>
      </c>
      <c r="R3" s="9">
        <f t="shared" ref="R3:R27" si="1">P3-Q3</f>
        <v>2620.26000000013</v>
      </c>
    </row>
    <row r="4" s="3" customFormat="1" spans="1:18">
      <c r="A4" s="7"/>
      <c r="B4" s="7">
        <v>6</v>
      </c>
      <c r="C4" s="9">
        <v>806108.07</v>
      </c>
      <c r="D4" s="9">
        <v>121122.77</v>
      </c>
      <c r="E4" s="9">
        <v>6258.48</v>
      </c>
      <c r="F4" s="9"/>
      <c r="G4" s="9"/>
      <c r="H4" s="9"/>
      <c r="I4" s="9"/>
      <c r="J4" s="9"/>
      <c r="K4" s="9"/>
      <c r="L4" s="9"/>
      <c r="M4" s="9"/>
      <c r="N4" s="9"/>
      <c r="O4" s="9"/>
      <c r="P4" s="9">
        <f t="shared" si="0"/>
        <v>933489.32</v>
      </c>
      <c r="Q4" s="18">
        <v>925889.41</v>
      </c>
      <c r="R4" s="9">
        <f t="shared" si="1"/>
        <v>7599.90999999992</v>
      </c>
    </row>
    <row r="5" s="3" customFormat="1" spans="1:18">
      <c r="A5" s="7"/>
      <c r="B5" s="7">
        <v>7</v>
      </c>
      <c r="C5" s="9">
        <v>1285359.06</v>
      </c>
      <c r="D5" s="9">
        <v>51986.88</v>
      </c>
      <c r="E5" s="9">
        <v>36646.72</v>
      </c>
      <c r="F5" s="9"/>
      <c r="G5" s="9"/>
      <c r="H5" s="9"/>
      <c r="I5" s="9"/>
      <c r="J5" s="9"/>
      <c r="K5" s="9"/>
      <c r="L5" s="9"/>
      <c r="M5" s="9"/>
      <c r="N5" s="9"/>
      <c r="O5" s="9"/>
      <c r="P5" s="9">
        <f t="shared" si="0"/>
        <v>1373992.66</v>
      </c>
      <c r="Q5" s="18">
        <v>1365672.22</v>
      </c>
      <c r="R5" s="9">
        <f t="shared" si="1"/>
        <v>8320.43999999994</v>
      </c>
    </row>
    <row r="6" s="3" customFormat="1" spans="1:18">
      <c r="A6" s="7"/>
      <c r="B6" s="7">
        <v>8</v>
      </c>
      <c r="C6" s="9">
        <v>1109324.21</v>
      </c>
      <c r="D6" s="9">
        <v>3730.88</v>
      </c>
      <c r="E6" s="9">
        <v>31241.67</v>
      </c>
      <c r="F6" s="9"/>
      <c r="G6" s="9"/>
      <c r="H6" s="9"/>
      <c r="I6" s="9"/>
      <c r="J6" s="9"/>
      <c r="K6" s="9"/>
      <c r="L6" s="9"/>
      <c r="M6" s="9"/>
      <c r="N6" s="9"/>
      <c r="O6" s="9">
        <v>31090</v>
      </c>
      <c r="P6" s="9">
        <f t="shared" si="0"/>
        <v>1175386.76</v>
      </c>
      <c r="Q6" s="18">
        <v>1140095.24</v>
      </c>
      <c r="R6" s="9">
        <f t="shared" si="1"/>
        <v>35291.5199999998</v>
      </c>
    </row>
    <row r="7" s="3" customFormat="1" spans="1:18">
      <c r="A7" s="7"/>
      <c r="B7" s="7">
        <v>9</v>
      </c>
      <c r="C7" s="9">
        <v>755538.55</v>
      </c>
      <c r="D7" s="9">
        <v>736.16</v>
      </c>
      <c r="E7" s="9">
        <v>161034.14</v>
      </c>
      <c r="F7" s="9"/>
      <c r="G7" s="9"/>
      <c r="H7" s="9"/>
      <c r="I7" s="9"/>
      <c r="J7" s="9"/>
      <c r="K7" s="9"/>
      <c r="L7" s="9"/>
      <c r="M7" s="9"/>
      <c r="N7" s="9"/>
      <c r="O7" s="9">
        <v>23474</v>
      </c>
      <c r="P7" s="9">
        <f t="shared" si="0"/>
        <v>940782.85</v>
      </c>
      <c r="Q7" s="18">
        <v>912217.15</v>
      </c>
      <c r="R7" s="9">
        <f t="shared" si="1"/>
        <v>28565.7000000001</v>
      </c>
    </row>
    <row r="8" s="3" customFormat="1" spans="1:18">
      <c r="A8" s="7"/>
      <c r="B8" s="7">
        <v>10</v>
      </c>
      <c r="C8" s="9">
        <v>675359.94</v>
      </c>
      <c r="D8" s="9">
        <v>1450.4</v>
      </c>
      <c r="E8" s="9">
        <v>474603.22</v>
      </c>
      <c r="F8" s="9"/>
      <c r="G8" s="9"/>
      <c r="H8" s="9"/>
      <c r="I8" s="9"/>
      <c r="J8" s="9"/>
      <c r="K8" s="9"/>
      <c r="L8" s="9"/>
      <c r="M8" s="9"/>
      <c r="N8" s="9"/>
      <c r="O8" s="9">
        <v>2455</v>
      </c>
      <c r="P8" s="9">
        <f t="shared" si="0"/>
        <v>1153868.56</v>
      </c>
      <c r="Q8" s="18">
        <v>1150314.81</v>
      </c>
      <c r="R8" s="9">
        <f t="shared" si="1"/>
        <v>3553.75</v>
      </c>
    </row>
    <row r="9" s="3" customFormat="1" spans="1:18">
      <c r="A9" s="7"/>
      <c r="B9" s="7">
        <v>11</v>
      </c>
      <c r="C9" s="9">
        <v>17173.19</v>
      </c>
      <c r="D9" s="9">
        <v>1343.12</v>
      </c>
      <c r="E9" s="9">
        <v>538829.05</v>
      </c>
      <c r="F9" s="9"/>
      <c r="G9" s="9"/>
      <c r="H9" s="9"/>
      <c r="I9" s="9"/>
      <c r="J9" s="9"/>
      <c r="K9" s="9"/>
      <c r="L9" s="9"/>
      <c r="M9" s="9"/>
      <c r="N9" s="9"/>
      <c r="O9" s="9">
        <v>10164</v>
      </c>
      <c r="P9" s="9">
        <f t="shared" si="0"/>
        <v>567509.36</v>
      </c>
      <c r="Q9" s="18">
        <v>555978.73</v>
      </c>
      <c r="R9" s="9">
        <f t="shared" si="1"/>
        <v>11530.6300000001</v>
      </c>
    </row>
    <row r="10" s="3" customFormat="1" spans="1:18">
      <c r="A10" s="7"/>
      <c r="B10" s="7">
        <v>12</v>
      </c>
      <c r="C10" s="9">
        <v>2134</v>
      </c>
      <c r="D10" s="9">
        <v>123.2</v>
      </c>
      <c r="E10" s="9">
        <v>308566.5</v>
      </c>
      <c r="F10" s="9"/>
      <c r="G10" s="9"/>
      <c r="H10" s="9"/>
      <c r="I10" s="9"/>
      <c r="J10" s="9"/>
      <c r="K10" s="9"/>
      <c r="L10" s="9"/>
      <c r="M10" s="9"/>
      <c r="N10" s="9"/>
      <c r="O10" s="9">
        <v>7102</v>
      </c>
      <c r="P10" s="9">
        <f t="shared" si="0"/>
        <v>317925.7</v>
      </c>
      <c r="Q10" s="18">
        <v>309418.68</v>
      </c>
      <c r="R10" s="9">
        <f t="shared" si="1"/>
        <v>8507.02000000002</v>
      </c>
    </row>
    <row r="11" s="3" customFormat="1" spans="1:18">
      <c r="A11" s="7">
        <v>2016</v>
      </c>
      <c r="B11" s="7" t="s">
        <v>1500</v>
      </c>
      <c r="C11" s="9">
        <v>2145</v>
      </c>
      <c r="D11" s="9">
        <v>1188</v>
      </c>
      <c r="E11" s="9">
        <v>16725.5</v>
      </c>
      <c r="F11" s="9"/>
      <c r="G11" s="9"/>
      <c r="H11" s="9"/>
      <c r="I11" s="9"/>
      <c r="J11" s="9"/>
      <c r="K11" s="9"/>
      <c r="L11" s="9"/>
      <c r="M11" s="9"/>
      <c r="N11" s="9"/>
      <c r="O11" s="9">
        <v>5019</v>
      </c>
      <c r="P11" s="9">
        <f t="shared" si="0"/>
        <v>25077.5</v>
      </c>
      <c r="Q11" s="18">
        <f>13686.45+6356.93</f>
        <v>20043.38</v>
      </c>
      <c r="R11" s="9">
        <f t="shared" si="1"/>
        <v>5034.12</v>
      </c>
    </row>
    <row r="12" s="3" customFormat="1" spans="1:18">
      <c r="A12" s="7"/>
      <c r="B12" s="7">
        <v>3</v>
      </c>
      <c r="C12" s="9">
        <v>25.5</v>
      </c>
      <c r="D12" s="9">
        <v>224.4</v>
      </c>
      <c r="E12" s="9">
        <v>9621.15</v>
      </c>
      <c r="F12" s="9">
        <v>530.4</v>
      </c>
      <c r="G12" s="9"/>
      <c r="H12" s="9"/>
      <c r="I12" s="9"/>
      <c r="J12" s="9"/>
      <c r="K12" s="9"/>
      <c r="L12" s="9"/>
      <c r="M12" s="9"/>
      <c r="N12" s="9"/>
      <c r="O12" s="9"/>
      <c r="P12" s="9">
        <f t="shared" si="0"/>
        <v>10401.45</v>
      </c>
      <c r="Q12" s="18">
        <v>10229.03</v>
      </c>
      <c r="R12" s="9">
        <f t="shared" si="1"/>
        <v>172.419999999998</v>
      </c>
    </row>
    <row r="13" s="3" customFormat="1" spans="1:18">
      <c r="A13" s="7"/>
      <c r="B13" s="7">
        <v>4</v>
      </c>
      <c r="C13" s="9">
        <v>5740.8</v>
      </c>
      <c r="D13" s="9">
        <v>218.4</v>
      </c>
      <c r="E13" s="9">
        <v>2190.9</v>
      </c>
      <c r="F13" s="9">
        <v>390</v>
      </c>
      <c r="G13" s="9"/>
      <c r="H13" s="9"/>
      <c r="I13" s="9"/>
      <c r="J13" s="9"/>
      <c r="K13" s="9"/>
      <c r="L13" s="9"/>
      <c r="M13" s="9"/>
      <c r="N13" s="9"/>
      <c r="O13" s="9"/>
      <c r="P13" s="9">
        <f t="shared" si="0"/>
        <v>8540.1</v>
      </c>
      <c r="Q13" s="18">
        <f>3639.49+4773.73</f>
        <v>8413.22</v>
      </c>
      <c r="R13" s="9">
        <f t="shared" si="1"/>
        <v>126.880000000001</v>
      </c>
    </row>
    <row r="14" s="3" customFormat="1" spans="1:18">
      <c r="A14" s="7"/>
      <c r="B14" s="7">
        <v>5</v>
      </c>
      <c r="C14" s="9"/>
      <c r="D14" s="9">
        <v>702.4</v>
      </c>
      <c r="E14" s="9">
        <v>1295.05</v>
      </c>
      <c r="F14" s="9">
        <v>2072.08</v>
      </c>
      <c r="G14" s="9"/>
      <c r="H14" s="9"/>
      <c r="I14" s="9"/>
      <c r="J14" s="9"/>
      <c r="K14" s="9"/>
      <c r="L14" s="9"/>
      <c r="M14" s="9"/>
      <c r="N14" s="9"/>
      <c r="O14" s="9"/>
      <c r="P14" s="9">
        <f t="shared" si="0"/>
        <v>4069.53</v>
      </c>
      <c r="Q14" s="18">
        <v>4065.15</v>
      </c>
      <c r="R14" s="9">
        <f t="shared" si="1"/>
        <v>4.37999999999965</v>
      </c>
    </row>
    <row r="15" s="3" customFormat="1" spans="1:18">
      <c r="A15" s="7"/>
      <c r="B15" s="7">
        <v>6</v>
      </c>
      <c r="C15" s="9"/>
      <c r="D15" s="9">
        <v>230.88</v>
      </c>
      <c r="E15" s="9"/>
      <c r="F15" s="9"/>
      <c r="G15" s="9">
        <v>4093.68</v>
      </c>
      <c r="H15" s="9"/>
      <c r="I15" s="9"/>
      <c r="J15" s="9"/>
      <c r="K15" s="9"/>
      <c r="L15" s="9"/>
      <c r="M15" s="9"/>
      <c r="N15" s="9"/>
      <c r="O15" s="9"/>
      <c r="P15" s="9">
        <f t="shared" si="0"/>
        <v>4324.56</v>
      </c>
      <c r="Q15" s="18">
        <v>4323.92</v>
      </c>
      <c r="R15" s="9">
        <f t="shared" si="1"/>
        <v>0.639999999999418</v>
      </c>
    </row>
    <row r="16" s="3" customFormat="1" spans="1:18">
      <c r="A16" s="7"/>
      <c r="B16" s="7">
        <v>7</v>
      </c>
      <c r="C16" s="9"/>
      <c r="D16" s="9">
        <v>531.36</v>
      </c>
      <c r="E16" s="9"/>
      <c r="F16" s="9"/>
      <c r="G16" s="9">
        <v>3875.04</v>
      </c>
      <c r="H16" s="9"/>
      <c r="I16" s="9"/>
      <c r="J16" s="9"/>
      <c r="K16" s="9"/>
      <c r="L16" s="9"/>
      <c r="M16" s="9"/>
      <c r="N16" s="9"/>
      <c r="O16" s="9"/>
      <c r="P16" s="9">
        <f t="shared" si="0"/>
        <v>4406.4</v>
      </c>
      <c r="Q16" s="18">
        <v>4405.36</v>
      </c>
      <c r="R16" s="9">
        <f t="shared" si="1"/>
        <v>1.03999999999996</v>
      </c>
    </row>
    <row r="17" s="3" customFormat="1" spans="1:18">
      <c r="A17" s="7"/>
      <c r="B17" s="7">
        <v>8</v>
      </c>
      <c r="C17" s="9"/>
      <c r="D17" s="9">
        <v>367.36</v>
      </c>
      <c r="E17" s="9"/>
      <c r="F17" s="9"/>
      <c r="G17" s="9">
        <v>2414.08</v>
      </c>
      <c r="H17" s="9"/>
      <c r="I17" s="9"/>
      <c r="J17" s="9"/>
      <c r="K17" s="9"/>
      <c r="L17" s="9"/>
      <c r="M17" s="9"/>
      <c r="N17" s="9"/>
      <c r="O17" s="9"/>
      <c r="P17" s="9">
        <f t="shared" si="0"/>
        <v>2781.44</v>
      </c>
      <c r="Q17" s="9">
        <v>3594.11</v>
      </c>
      <c r="R17" s="9">
        <f t="shared" si="1"/>
        <v>-812.67</v>
      </c>
    </row>
    <row r="18" s="3" customFormat="1" spans="1:18">
      <c r="A18" s="7"/>
      <c r="B18" s="10" t="s">
        <v>1501</v>
      </c>
      <c r="C18" s="9"/>
      <c r="D18" s="9">
        <v>17480</v>
      </c>
      <c r="E18" s="9"/>
      <c r="F18" s="11"/>
      <c r="G18" s="9">
        <v>4816</v>
      </c>
      <c r="H18" s="9"/>
      <c r="I18" s="9"/>
      <c r="J18" s="9"/>
      <c r="K18" s="9"/>
      <c r="L18" s="9"/>
      <c r="M18" s="9"/>
      <c r="N18" s="9"/>
      <c r="O18" s="9"/>
      <c r="P18" s="9">
        <f t="shared" si="0"/>
        <v>22296</v>
      </c>
      <c r="Q18" s="9">
        <v>5234.53</v>
      </c>
      <c r="R18" s="9">
        <f t="shared" si="1"/>
        <v>17061.47</v>
      </c>
    </row>
    <row r="19" s="3" customFormat="1" spans="1:18">
      <c r="A19" s="7"/>
      <c r="B19" s="10" t="s">
        <v>1502</v>
      </c>
      <c r="C19" s="9"/>
      <c r="D19" s="9">
        <v>7968</v>
      </c>
      <c r="E19" s="9"/>
      <c r="F19" s="9"/>
      <c r="G19" s="9">
        <v>224</v>
      </c>
      <c r="H19" s="9"/>
      <c r="I19" s="9"/>
      <c r="J19" s="9"/>
      <c r="K19" s="9"/>
      <c r="L19" s="9"/>
      <c r="M19" s="9"/>
      <c r="N19" s="9"/>
      <c r="O19" s="9"/>
      <c r="P19" s="9">
        <f t="shared" si="0"/>
        <v>8192</v>
      </c>
      <c r="Q19" s="9">
        <v>10385.46</v>
      </c>
      <c r="R19" s="9">
        <f t="shared" si="1"/>
        <v>-2193.46</v>
      </c>
    </row>
    <row r="20" s="3" customFormat="1" spans="1:18">
      <c r="A20" s="12">
        <v>2017</v>
      </c>
      <c r="B20" s="10" t="s">
        <v>1503</v>
      </c>
      <c r="C20" s="9"/>
      <c r="D20" s="9">
        <v>840</v>
      </c>
      <c r="E20" s="9"/>
      <c r="F20" s="9"/>
      <c r="G20" s="9"/>
      <c r="H20" s="9">
        <v>713</v>
      </c>
      <c r="I20" s="9"/>
      <c r="J20" s="9"/>
      <c r="K20" s="9"/>
      <c r="L20" s="9"/>
      <c r="M20" s="9"/>
      <c r="N20" s="9"/>
      <c r="O20" s="9"/>
      <c r="P20" s="9">
        <f t="shared" si="0"/>
        <v>1553</v>
      </c>
      <c r="Q20" s="9">
        <v>3209.28</v>
      </c>
      <c r="R20" s="9">
        <f t="shared" si="1"/>
        <v>-1656.28</v>
      </c>
    </row>
    <row r="21" s="3" customFormat="1" spans="1:18">
      <c r="A21" s="13"/>
      <c r="B21" s="10" t="s">
        <v>1504</v>
      </c>
      <c r="C21" s="9"/>
      <c r="D21" s="9">
        <v>2192</v>
      </c>
      <c r="E21" s="9"/>
      <c r="F21" s="9"/>
      <c r="G21" s="9"/>
      <c r="H21" s="9">
        <v>5888</v>
      </c>
      <c r="I21" s="9"/>
      <c r="J21" s="9"/>
      <c r="K21" s="9">
        <v>1956</v>
      </c>
      <c r="L21" s="9">
        <v>4550</v>
      </c>
      <c r="M21" s="9"/>
      <c r="N21" s="9"/>
      <c r="O21" s="9"/>
      <c r="P21" s="9">
        <f t="shared" si="0"/>
        <v>14586</v>
      </c>
      <c r="Q21" s="9">
        <v>17667.43</v>
      </c>
      <c r="R21" s="9">
        <f t="shared" si="1"/>
        <v>-3081.43</v>
      </c>
    </row>
    <row r="22" s="3" customFormat="1" spans="1:18">
      <c r="A22" s="13"/>
      <c r="B22" s="10" t="s">
        <v>1505</v>
      </c>
      <c r="C22" s="9"/>
      <c r="D22" s="9"/>
      <c r="E22" s="9"/>
      <c r="F22" s="9">
        <v>56</v>
      </c>
      <c r="G22" s="9"/>
      <c r="H22" s="9">
        <v>12914</v>
      </c>
      <c r="I22" s="9"/>
      <c r="J22" s="9"/>
      <c r="K22" s="9">
        <v>4200</v>
      </c>
      <c r="L22" s="9">
        <v>8702</v>
      </c>
      <c r="M22" s="9"/>
      <c r="N22" s="9"/>
      <c r="O22" s="9"/>
      <c r="P22" s="9">
        <f t="shared" si="0"/>
        <v>25872</v>
      </c>
      <c r="Q22" s="9">
        <v>20670.89</v>
      </c>
      <c r="R22" s="9">
        <f t="shared" si="1"/>
        <v>5201.11</v>
      </c>
    </row>
    <row r="23" s="3" customFormat="1" spans="1:18">
      <c r="A23" s="13"/>
      <c r="B23" s="10" t="s">
        <v>1506</v>
      </c>
      <c r="C23" s="9"/>
      <c r="D23" s="9"/>
      <c r="E23" s="9"/>
      <c r="F23" s="9">
        <v>56</v>
      </c>
      <c r="G23" s="9"/>
      <c r="H23" s="9">
        <v>12864</v>
      </c>
      <c r="I23" s="9"/>
      <c r="J23" s="9"/>
      <c r="K23" s="9">
        <v>17348</v>
      </c>
      <c r="L23" s="9">
        <v>21760</v>
      </c>
      <c r="M23" s="9">
        <v>1850</v>
      </c>
      <c r="N23" s="9">
        <v>2914</v>
      </c>
      <c r="O23" s="9"/>
      <c r="P23" s="9">
        <f t="shared" si="0"/>
        <v>56792</v>
      </c>
      <c r="Q23" s="9">
        <v>72654.34</v>
      </c>
      <c r="R23" s="9">
        <f t="shared" si="1"/>
        <v>-15862.34</v>
      </c>
    </row>
    <row r="24" s="3" customFormat="1" spans="1:18">
      <c r="A24" s="13"/>
      <c r="B24" s="10" t="s">
        <v>1507</v>
      </c>
      <c r="C24" s="9"/>
      <c r="D24" s="9"/>
      <c r="E24" s="9"/>
      <c r="F24" s="9">
        <v>1600</v>
      </c>
      <c r="G24" s="9"/>
      <c r="H24" s="9">
        <v>18970</v>
      </c>
      <c r="I24" s="9">
        <v>4020</v>
      </c>
      <c r="J24" s="9"/>
      <c r="K24" s="9">
        <v>21056</v>
      </c>
      <c r="L24" s="9">
        <v>9964</v>
      </c>
      <c r="M24" s="9">
        <v>4568</v>
      </c>
      <c r="N24" s="9">
        <v>10038</v>
      </c>
      <c r="O24" s="9"/>
      <c r="P24" s="9">
        <f t="shared" si="0"/>
        <v>70216</v>
      </c>
      <c r="Q24" s="9">
        <v>97708.95</v>
      </c>
      <c r="R24" s="9">
        <f t="shared" si="1"/>
        <v>-27492.95</v>
      </c>
    </row>
    <row r="25" s="3" customFormat="1" spans="1:18">
      <c r="A25" s="13"/>
      <c r="B25" s="14">
        <v>7</v>
      </c>
      <c r="C25" s="15"/>
      <c r="D25" s="15"/>
      <c r="E25" s="15"/>
      <c r="F25" s="15">
        <v>5820</v>
      </c>
      <c r="G25" s="15"/>
      <c r="H25" s="15">
        <f>15623+18374</f>
        <v>33997</v>
      </c>
      <c r="I25" s="15">
        <v>7064</v>
      </c>
      <c r="J25" s="15">
        <v>1120</v>
      </c>
      <c r="K25" s="15">
        <v>21452</v>
      </c>
      <c r="L25" s="15">
        <v>7512</v>
      </c>
      <c r="M25" s="15">
        <v>14864</v>
      </c>
      <c r="N25" s="15">
        <v>31845</v>
      </c>
      <c r="O25" s="15"/>
      <c r="P25" s="9">
        <f t="shared" si="0"/>
        <v>123674</v>
      </c>
      <c r="Q25" s="15">
        <v>153097.03</v>
      </c>
      <c r="R25" s="9">
        <f t="shared" si="1"/>
        <v>-29423.03</v>
      </c>
    </row>
    <row r="26" s="3" customFormat="1" spans="1:18">
      <c r="A26" s="16"/>
      <c r="B26" s="14">
        <v>8</v>
      </c>
      <c r="C26" s="15"/>
      <c r="D26" s="15"/>
      <c r="E26" s="15"/>
      <c r="F26" s="15">
        <v>7056</v>
      </c>
      <c r="G26" s="15"/>
      <c r="H26" s="15">
        <f>15579+26133</f>
        <v>41712</v>
      </c>
      <c r="I26" s="15">
        <v>7756</v>
      </c>
      <c r="J26" s="15">
        <v>8376</v>
      </c>
      <c r="K26" s="15">
        <v>15540</v>
      </c>
      <c r="L26" s="15">
        <v>3904</v>
      </c>
      <c r="M26" s="15">
        <v>21168</v>
      </c>
      <c r="N26" s="15">
        <v>59161</v>
      </c>
      <c r="O26" s="15"/>
      <c r="P26" s="9">
        <f t="shared" si="0"/>
        <v>164673</v>
      </c>
      <c r="Q26" s="15">
        <v>187331.75</v>
      </c>
      <c r="R26" s="9">
        <f t="shared" si="1"/>
        <v>-22658.75</v>
      </c>
    </row>
    <row r="27" s="3" customFormat="1" spans="1:18">
      <c r="A27" s="7" t="s">
        <v>26</v>
      </c>
      <c r="B27" s="10"/>
      <c r="C27" s="9">
        <f t="shared" ref="C27:Q27" si="2">SUM(C3:C26)</f>
        <v>5282837.74</v>
      </c>
      <c r="D27" s="9">
        <f t="shared" si="2"/>
        <v>489851.83</v>
      </c>
      <c r="E27" s="9">
        <f t="shared" si="2"/>
        <v>1615041.3</v>
      </c>
      <c r="F27" s="9">
        <f t="shared" si="2"/>
        <v>17580.48</v>
      </c>
      <c r="G27" s="9">
        <f t="shared" si="2"/>
        <v>15422.8</v>
      </c>
      <c r="H27" s="9">
        <f t="shared" si="2"/>
        <v>127058</v>
      </c>
      <c r="I27" s="9">
        <f t="shared" si="2"/>
        <v>18840</v>
      </c>
      <c r="J27" s="9">
        <f t="shared" si="2"/>
        <v>9496</v>
      </c>
      <c r="K27" s="9">
        <f t="shared" si="2"/>
        <v>81552</v>
      </c>
      <c r="L27" s="9">
        <f t="shared" si="2"/>
        <v>56392</v>
      </c>
      <c r="M27" s="9">
        <f t="shared" si="2"/>
        <v>42450</v>
      </c>
      <c r="N27" s="9">
        <f t="shared" si="2"/>
        <v>103958</v>
      </c>
      <c r="O27" s="9">
        <f t="shared" si="2"/>
        <v>79304</v>
      </c>
      <c r="P27" s="9">
        <f t="shared" si="2"/>
        <v>7939784.15</v>
      </c>
      <c r="Q27" s="9">
        <f t="shared" si="2"/>
        <v>7909373.77</v>
      </c>
      <c r="R27" s="9">
        <f t="shared" si="1"/>
        <v>30410.379999998</v>
      </c>
    </row>
  </sheetData>
  <mergeCells count="4">
    <mergeCell ref="A1:R1"/>
    <mergeCell ref="A3:A10"/>
    <mergeCell ref="A11:A19"/>
    <mergeCell ref="A20:A26"/>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封面</vt:lpstr>
      <vt:lpstr> 汇总表 </vt:lpstr>
      <vt:lpstr>合同执行情况明细汇总</vt:lpstr>
      <vt:lpstr>1、EPC合同</vt:lpstr>
      <vt:lpstr>2、设备合同</vt:lpstr>
      <vt:lpstr>3、工程合同</vt:lpstr>
      <vt:lpstr>4、其他合同</vt:lpstr>
      <vt:lpstr>HSE保证金及罚款</vt:lpstr>
      <vt:lpstr>水电费</vt:lpstr>
      <vt:lpstr>采购员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永荣科技</cp:lastModifiedBy>
  <dcterms:created xsi:type="dcterms:W3CDTF">2006-09-16T00:00:00Z</dcterms:created>
  <dcterms:modified xsi:type="dcterms:W3CDTF">2017-10-11T01:49:55Z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y fmtid="{D5CDD505-2E9C-101B-9397-08002B2CF9AE}" pid="3" name="KSOReadingLayout">
    <vt:bool>false</vt:bool>
  </property>
</Properties>
</file>