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Jb\"/>
    </mc:Choice>
  </mc:AlternateContent>
  <xr:revisionPtr revIDLastSave="0" documentId="8_{9910D305-4A5A-42A0-971C-E0D1757EAAFF}" xr6:coauthVersionLast="47" xr6:coauthVersionMax="47" xr10:uidLastSave="{00000000-0000-0000-0000-000000000000}"/>
  <bookViews>
    <workbookView xWindow="-108" yWindow="-108" windowWidth="23256" windowHeight="12456" xr2:uid="{B9755C05-1061-0841-B506-4CAD64270FE3}"/>
  </bookViews>
  <sheets>
    <sheet name="Summary500-600" sheetId="22" r:id="rId1"/>
    <sheet name="Sheet1" sheetId="24" r:id="rId2"/>
    <sheet name="Model500-600" sheetId="21" r:id="rId3"/>
    <sheet name="SchGrArr" sheetId="19" r:id="rId4"/>
    <sheet name="Risks" sheetId="23" r:id="rId5"/>
    <sheet name="Model" sheetId="16" state="hidden" r:id="rId6"/>
    <sheet name="Summary" sheetId="20" state="hidden" r:id="rId7"/>
    <sheet name="Scheme Graph" sheetId="18" r:id="rId8"/>
    <sheet name="Scheme" sheetId="17" r:id="rId9"/>
    <sheet name="1,5x +500 (2)" sheetId="11" r:id="rId10"/>
    <sheet name="Sheet4 (2)" sheetId="15" r:id="rId11"/>
    <sheet name="Sheet2" sheetId="12" r:id="rId12"/>
    <sheet name="Sheet3" sheetId="13" r:id="rId13"/>
    <sheet name="Sheet4" sheetId="14" r:id="rId14"/>
    <sheet name="1,5x +500" sheetId="8" r:id="rId15"/>
    <sheet name="1,5x +200" sheetId="7" r:id="rId16"/>
    <sheet name="1,44x +500" sheetId="9" r:id="rId17"/>
    <sheet name="1,44x +200" sheetId="6" r:id="rId18"/>
    <sheet name="1,5 + gradual increase" sheetId="1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4" l="1"/>
  <c r="D3" i="24"/>
  <c r="D2" i="24"/>
  <c r="D26" i="22"/>
  <c r="C101" i="22" l="1"/>
  <c r="C108" i="22" s="1"/>
  <c r="C102" i="22"/>
  <c r="C109" i="22" s="1"/>
  <c r="C103" i="22"/>
  <c r="C110" i="22" s="1"/>
  <c r="C104" i="22"/>
  <c r="C111" i="22" s="1"/>
  <c r="C100" i="22"/>
  <c r="C107" i="22" s="1"/>
  <c r="C97" i="22"/>
  <c r="C40" i="22"/>
  <c r="C41" i="22" s="1"/>
  <c r="C184" i="22"/>
  <c r="AA6" i="21"/>
  <c r="AA8" i="21"/>
  <c r="Y3" i="21"/>
  <c r="Z3" i="21"/>
  <c r="AA3" i="21"/>
  <c r="AA12" i="21"/>
  <c r="Z13" i="21"/>
  <c r="AA13" i="21"/>
  <c r="AA14" i="21"/>
  <c r="W6" i="21"/>
  <c r="V5" i="22" s="1"/>
  <c r="X6" i="21"/>
  <c r="Y6" i="21"/>
  <c r="Z6" i="21"/>
  <c r="W8" i="21"/>
  <c r="X8" i="21"/>
  <c r="Y8" i="21"/>
  <c r="Z8" i="21"/>
  <c r="W9" i="21"/>
  <c r="X9" i="21"/>
  <c r="Y9" i="21"/>
  <c r="Z9" i="21"/>
  <c r="X13" i="21"/>
  <c r="Y13" i="21"/>
  <c r="H14" i="21"/>
  <c r="H13" i="21"/>
  <c r="H12" i="21"/>
  <c r="X3" i="21"/>
  <c r="W3" i="21"/>
  <c r="V3" i="22" s="1"/>
  <c r="W3554" i="21"/>
  <c r="Y3583" i="21"/>
  <c r="Z3583" i="21" s="1"/>
  <c r="AA3583" i="21" s="1"/>
  <c r="Z3596" i="21"/>
  <c r="Z3614" i="21" s="1"/>
  <c r="Z3624" i="21"/>
  <c r="B3631" i="21"/>
  <c r="C3551" i="21"/>
  <c r="C3631" i="21" s="1"/>
  <c r="B3551" i="21"/>
  <c r="V3465" i="21"/>
  <c r="U3475" i="21"/>
  <c r="X3494" i="21"/>
  <c r="Y3494" i="21" s="1"/>
  <c r="Z3494" i="21" s="1"/>
  <c r="Y3507" i="21"/>
  <c r="Y3525" i="21" s="1"/>
  <c r="Y3535" i="21"/>
  <c r="B3542" i="21"/>
  <c r="C3462" i="21"/>
  <c r="C3542" i="21" s="1"/>
  <c r="B3462" i="21"/>
  <c r="U3376" i="21"/>
  <c r="W3405" i="21"/>
  <c r="X3405" i="21" s="1"/>
  <c r="Y3405" i="21" s="1"/>
  <c r="X3418" i="21"/>
  <c r="X3436" i="21" s="1"/>
  <c r="X3446" i="21"/>
  <c r="B3453" i="21"/>
  <c r="C3373" i="21"/>
  <c r="C3453" i="21" s="1"/>
  <c r="B3373" i="21"/>
  <c r="T3287" i="21"/>
  <c r="V3316" i="21"/>
  <c r="W3316" i="21" s="1"/>
  <c r="X3316" i="21" s="1"/>
  <c r="W3329" i="21"/>
  <c r="W3347" i="21" s="1"/>
  <c r="W3357" i="21"/>
  <c r="B3364" i="21"/>
  <c r="C3284" i="21"/>
  <c r="C3364" i="21" s="1"/>
  <c r="B3284" i="21"/>
  <c r="S3198" i="21"/>
  <c r="U3227" i="21"/>
  <c r="V3227" i="21" s="1"/>
  <c r="W3227" i="21" s="1"/>
  <c r="V3240" i="21"/>
  <c r="V3258" i="21" s="1"/>
  <c r="V3268" i="21"/>
  <c r="B3275" i="21"/>
  <c r="C3195" i="21"/>
  <c r="C3275" i="21" s="1"/>
  <c r="B3195" i="21"/>
  <c r="U3179" i="21"/>
  <c r="U3169" i="21"/>
  <c r="U3151" i="21"/>
  <c r="T3138" i="21"/>
  <c r="U3138" i="21" s="1"/>
  <c r="V3138" i="21" s="1"/>
  <c r="R3109" i="21"/>
  <c r="B3186" i="21"/>
  <c r="C3106" i="21"/>
  <c r="C3186" i="21" s="1"/>
  <c r="B3106" i="21"/>
  <c r="Q3020" i="21"/>
  <c r="S3049" i="21"/>
  <c r="T3049" i="21" s="1"/>
  <c r="U3049" i="21" s="1"/>
  <c r="T3062" i="21"/>
  <c r="T3080" i="21" s="1"/>
  <c r="T3090" i="21"/>
  <c r="B3097" i="21"/>
  <c r="C3097" i="21"/>
  <c r="C3017" i="21"/>
  <c r="B3017" i="21"/>
  <c r="B2928" i="21"/>
  <c r="C2928" i="21"/>
  <c r="Q2871" i="21"/>
  <c r="R2871" i="21" s="1"/>
  <c r="S2871" i="21" s="1"/>
  <c r="P2870" i="21"/>
  <c r="Q2870" i="21" s="1"/>
  <c r="R2870" i="21" s="1"/>
  <c r="Q2869" i="21"/>
  <c r="P2869" i="21"/>
  <c r="O2869" i="21"/>
  <c r="P2782" i="21"/>
  <c r="Q2782" i="21" s="1"/>
  <c r="R2782" i="21" s="1"/>
  <c r="C169" i="22"/>
  <c r="M2757" i="21"/>
  <c r="M2756" i="21"/>
  <c r="M2755" i="21"/>
  <c r="M2754" i="21"/>
  <c r="C188" i="22"/>
  <c r="C200" i="22" s="1"/>
  <c r="Q3110" i="21" s="1"/>
  <c r="S3001" i="21"/>
  <c r="S2973" i="21"/>
  <c r="S2991" i="21" s="1"/>
  <c r="R2960" i="21"/>
  <c r="S2960" i="21" s="1"/>
  <c r="T2960" i="21" s="1"/>
  <c r="P2931" i="21"/>
  <c r="D104" i="22"/>
  <c r="D103" i="22"/>
  <c r="D102" i="22"/>
  <c r="D101" i="22"/>
  <c r="D100" i="22"/>
  <c r="G35" i="21"/>
  <c r="R2912" i="21"/>
  <c r="R2884" i="21"/>
  <c r="R2902" i="21" s="1"/>
  <c r="D97" i="22"/>
  <c r="C175" i="22"/>
  <c r="C189" i="22"/>
  <c r="O2933" i="21" s="1"/>
  <c r="C190" i="22"/>
  <c r="C202" i="22" s="1"/>
  <c r="C214" i="22" s="1"/>
  <c r="C226" i="22" s="1"/>
  <c r="U3468" i="21" s="1"/>
  <c r="C191" i="22"/>
  <c r="O2935" i="21" s="1"/>
  <c r="C183" i="22"/>
  <c r="N2844" i="21" s="1"/>
  <c r="N2845" i="21"/>
  <c r="C185" i="22"/>
  <c r="N2846" i="21" s="1"/>
  <c r="C182" i="22"/>
  <c r="N2843" i="21" s="1"/>
  <c r="C22" i="23"/>
  <c r="C21" i="23"/>
  <c r="D22" i="23" s="1"/>
  <c r="E23" i="23" s="1"/>
  <c r="Q2823" i="21"/>
  <c r="Q2795" i="21"/>
  <c r="Q2813" i="21" s="1"/>
  <c r="N2753" i="21"/>
  <c r="B9" i="22"/>
  <c r="B7" i="22"/>
  <c r="B5" i="22"/>
  <c r="B3" i="22"/>
  <c r="U2608" i="21"/>
  <c r="V2608" i="21" s="1"/>
  <c r="W2608" i="21" s="1"/>
  <c r="T2607" i="21"/>
  <c r="U2607" i="21" s="1"/>
  <c r="V2607" i="21" s="1"/>
  <c r="U2606" i="21"/>
  <c r="T2606" i="21"/>
  <c r="S2606" i="21"/>
  <c r="S2260" i="21"/>
  <c r="T2260" i="21" s="1"/>
  <c r="U2260" i="21" s="1"/>
  <c r="R2259" i="21"/>
  <c r="S2259" i="21" s="1"/>
  <c r="T2259" i="21" s="1"/>
  <c r="S2258" i="21"/>
  <c r="R2258" i="21"/>
  <c r="Q2258" i="21"/>
  <c r="Q2265" i="21" s="1"/>
  <c r="S2171" i="21"/>
  <c r="T2171" i="21" s="1"/>
  <c r="U2171" i="21" s="1"/>
  <c r="R2170" i="21"/>
  <c r="S2170" i="21" s="1"/>
  <c r="T2170" i="21" s="1"/>
  <c r="S2169" i="21"/>
  <c r="R2169" i="21"/>
  <c r="Q2169" i="21"/>
  <c r="Q2176" i="21" s="1"/>
  <c r="S1993" i="21"/>
  <c r="T1993" i="21" s="1"/>
  <c r="U1993" i="21" s="1"/>
  <c r="R1992" i="21"/>
  <c r="S1992" i="21" s="1"/>
  <c r="T1992" i="21" s="1"/>
  <c r="S1991" i="21"/>
  <c r="R1991" i="21"/>
  <c r="Q1991" i="21"/>
  <c r="Q1998" i="21" s="1"/>
  <c r="Q1641" i="21"/>
  <c r="R1641" i="21" s="1"/>
  <c r="S1641" i="21" s="1"/>
  <c r="P1640" i="21"/>
  <c r="Q1640" i="21" s="1"/>
  <c r="R1640" i="21" s="1"/>
  <c r="Q1639" i="21"/>
  <c r="P1639" i="21"/>
  <c r="O1639" i="21"/>
  <c r="O1646" i="21" s="1"/>
  <c r="Q1552" i="21"/>
  <c r="R1552" i="21" s="1"/>
  <c r="S1552" i="21" s="1"/>
  <c r="P1551" i="21"/>
  <c r="Q1551" i="21" s="1"/>
  <c r="R1551" i="21" s="1"/>
  <c r="Q1550" i="21"/>
  <c r="P1550" i="21"/>
  <c r="O1550" i="21"/>
  <c r="Q1463" i="21"/>
  <c r="R1463" i="21" s="1"/>
  <c r="S1463" i="21" s="1"/>
  <c r="P1462" i="21"/>
  <c r="Q1462" i="21" s="1"/>
  <c r="R1462" i="21" s="1"/>
  <c r="Q1461" i="21"/>
  <c r="P1461" i="21"/>
  <c r="O1461" i="21"/>
  <c r="O1468" i="21" s="1"/>
  <c r="O1376" i="21"/>
  <c r="N1375" i="21"/>
  <c r="O1375" i="21" s="1"/>
  <c r="P1375" i="21" s="1"/>
  <c r="O1374" i="21"/>
  <c r="N1374" i="21"/>
  <c r="M1374" i="21"/>
  <c r="R1202" i="21"/>
  <c r="S1202" i="21" s="1"/>
  <c r="T1202" i="21" s="1"/>
  <c r="P941" i="21"/>
  <c r="Q941" i="21" s="1"/>
  <c r="R941" i="21" s="1"/>
  <c r="P854" i="21"/>
  <c r="Q854" i="21" s="1"/>
  <c r="R854" i="21" s="1"/>
  <c r="N680" i="21"/>
  <c r="O680" i="21" s="1"/>
  <c r="P680" i="21" s="1"/>
  <c r="O506" i="21"/>
  <c r="P506" i="21" s="1"/>
  <c r="Q506" i="21" s="1"/>
  <c r="M332" i="21"/>
  <c r="N332" i="21" s="1"/>
  <c r="O332" i="21" s="1"/>
  <c r="L158" i="21"/>
  <c r="M158" i="21" s="1"/>
  <c r="N158" i="21" s="1"/>
  <c r="K71" i="21"/>
  <c r="L71" i="21" s="1"/>
  <c r="M71" i="21" s="1"/>
  <c r="J70" i="21"/>
  <c r="K70" i="21" s="1"/>
  <c r="L70" i="21" s="1"/>
  <c r="K69" i="21"/>
  <c r="J69" i="21"/>
  <c r="I69" i="21"/>
  <c r="I76" i="21" s="1"/>
  <c r="H65" i="21"/>
  <c r="H66" i="21" s="1"/>
  <c r="H52" i="21"/>
  <c r="M2763" i="21" s="1"/>
  <c r="H48" i="21"/>
  <c r="K213" i="21" s="1"/>
  <c r="G27" i="21"/>
  <c r="F26" i="21"/>
  <c r="J52" i="21"/>
  <c r="D90" i="22"/>
  <c r="W2695" i="21" s="1"/>
  <c r="X2695" i="21" s="1"/>
  <c r="Y2695" i="21" s="1"/>
  <c r="D89" i="22"/>
  <c r="T2433" i="21" s="1"/>
  <c r="U2433" i="21" s="1"/>
  <c r="V2433" i="21" s="1"/>
  <c r="D88" i="22"/>
  <c r="S2080" i="21" s="1"/>
  <c r="D87" i="22"/>
  <c r="T2345" i="21" s="1"/>
  <c r="D86" i="22"/>
  <c r="S2345" i="21" s="1"/>
  <c r="S2352" i="21" s="1"/>
  <c r="D83" i="22"/>
  <c r="R1115" i="21" s="1"/>
  <c r="S1115" i="21" s="1"/>
  <c r="T1115" i="21" s="1"/>
  <c r="D76" i="22"/>
  <c r="Q593" i="21" s="1"/>
  <c r="R593" i="21" s="1"/>
  <c r="S593" i="21" s="1"/>
  <c r="D69" i="22"/>
  <c r="N245" i="21" s="1"/>
  <c r="O245" i="21" s="1"/>
  <c r="P245" i="21" s="1"/>
  <c r="C68" i="22"/>
  <c r="C75" i="22" s="1"/>
  <c r="C67" i="22"/>
  <c r="D67" i="22" s="1"/>
  <c r="N243" i="21" s="1"/>
  <c r="N504" i="21"/>
  <c r="D65" i="22"/>
  <c r="L243" i="21" s="1"/>
  <c r="L250" i="21" s="1"/>
  <c r="E40" i="22"/>
  <c r="F40" i="22" s="1"/>
  <c r="E39" i="22"/>
  <c r="F39" i="22" s="1"/>
  <c r="D38" i="22"/>
  <c r="D19" i="22"/>
  <c r="G30" i="21" s="1"/>
  <c r="C16" i="22"/>
  <c r="X2736" i="21"/>
  <c r="X2708" i="21"/>
  <c r="X2726" i="21" s="1"/>
  <c r="T2668" i="21"/>
  <c r="U2666" i="21"/>
  <c r="V2649" i="21"/>
  <c r="V2621" i="21"/>
  <c r="V2639" i="21" s="1"/>
  <c r="R2581" i="21"/>
  <c r="S2579" i="21"/>
  <c r="R2579" i="21"/>
  <c r="V2562" i="21"/>
  <c r="V2534" i="21"/>
  <c r="V2552" i="21" s="1"/>
  <c r="R2494" i="21"/>
  <c r="S2492" i="21"/>
  <c r="V2475" i="21"/>
  <c r="V2447" i="21"/>
  <c r="V2465" i="21" s="1"/>
  <c r="R2407" i="21"/>
  <c r="S2405" i="21"/>
  <c r="V2388" i="21"/>
  <c r="V2360" i="21"/>
  <c r="V2378" i="21" s="1"/>
  <c r="R2320" i="21"/>
  <c r="S2318" i="21"/>
  <c r="T2301" i="21"/>
  <c r="T2273" i="21"/>
  <c r="T2291" i="21" s="1"/>
  <c r="P2233" i="21"/>
  <c r="Q2231" i="21"/>
  <c r="P2231" i="21"/>
  <c r="T2212" i="21"/>
  <c r="T2184" i="21"/>
  <c r="T2202" i="21" s="1"/>
  <c r="P2144" i="21"/>
  <c r="Q2142" i="21"/>
  <c r="P2142" i="21"/>
  <c r="T2123" i="21"/>
  <c r="T2095" i="21"/>
  <c r="T2113" i="21" s="1"/>
  <c r="P2055" i="21"/>
  <c r="Q2053" i="21"/>
  <c r="T2034" i="21"/>
  <c r="T2006" i="21"/>
  <c r="T2024" i="21" s="1"/>
  <c r="P1966" i="21"/>
  <c r="Q1964" i="21"/>
  <c r="P1964" i="21"/>
  <c r="T1947" i="21"/>
  <c r="T1919" i="21"/>
  <c r="T1937" i="21" s="1"/>
  <c r="P1879" i="21"/>
  <c r="Q1877" i="21"/>
  <c r="T1858" i="21"/>
  <c r="T1830" i="21"/>
  <c r="T1848" i="21" s="1"/>
  <c r="P1790" i="21"/>
  <c r="Q1788" i="21"/>
  <c r="S1769" i="21"/>
  <c r="S1741" i="21"/>
  <c r="S1759" i="21" s="1"/>
  <c r="O1701" i="21"/>
  <c r="P1699" i="21"/>
  <c r="R1682" i="21"/>
  <c r="R1654" i="21"/>
  <c r="R1672" i="21" s="1"/>
  <c r="N1614" i="21"/>
  <c r="N1613" i="21"/>
  <c r="O1612" i="21"/>
  <c r="N1612" i="21"/>
  <c r="R1593" i="21"/>
  <c r="R1565" i="21"/>
  <c r="R1583" i="21" s="1"/>
  <c r="N1525" i="21"/>
  <c r="N1524" i="21"/>
  <c r="O1523" i="21"/>
  <c r="N1523" i="21"/>
  <c r="R1504" i="21"/>
  <c r="R1476" i="21"/>
  <c r="R1494" i="21" s="1"/>
  <c r="N1436" i="21"/>
  <c r="N1435" i="21"/>
  <c r="O1434" i="21"/>
  <c r="N1434" i="21"/>
  <c r="P1417" i="21"/>
  <c r="P1389" i="21"/>
  <c r="P1407" i="21" s="1"/>
  <c r="L1349" i="21"/>
  <c r="L1348" i="21"/>
  <c r="M1347" i="21"/>
  <c r="L1347" i="21"/>
  <c r="U1330" i="21"/>
  <c r="U1302" i="21"/>
  <c r="U1320" i="21" s="1"/>
  <c r="Q1262" i="21"/>
  <c r="R1260" i="21"/>
  <c r="S1243" i="21"/>
  <c r="S1215" i="21"/>
  <c r="S1233" i="21" s="1"/>
  <c r="O1175" i="21"/>
  <c r="O1174" i="21"/>
  <c r="P1173" i="21"/>
  <c r="O1173" i="21"/>
  <c r="S1156" i="21"/>
  <c r="S1128" i="21"/>
  <c r="S1146" i="21" s="1"/>
  <c r="O1088" i="21"/>
  <c r="P1086" i="21"/>
  <c r="S1069" i="21"/>
  <c r="S1041" i="21"/>
  <c r="S1059" i="21" s="1"/>
  <c r="O1001" i="21"/>
  <c r="P999" i="21"/>
  <c r="Q982" i="21"/>
  <c r="Q954" i="21"/>
  <c r="Q972" i="21" s="1"/>
  <c r="M914" i="21"/>
  <c r="M913" i="21"/>
  <c r="M912" i="21"/>
  <c r="Q895" i="21"/>
  <c r="Q867" i="21"/>
  <c r="Q885" i="21" s="1"/>
  <c r="M827" i="21"/>
  <c r="M826" i="21"/>
  <c r="M825" i="21"/>
  <c r="Q808" i="21"/>
  <c r="Q780" i="21"/>
  <c r="Q798" i="21" s="1"/>
  <c r="M740" i="21"/>
  <c r="O721" i="21"/>
  <c r="O693" i="21"/>
  <c r="O711" i="21" s="1"/>
  <c r="K653" i="21"/>
  <c r="K652" i="21"/>
  <c r="K651" i="21"/>
  <c r="R634" i="21"/>
  <c r="R606" i="21"/>
  <c r="R624" i="21" s="1"/>
  <c r="N566" i="21"/>
  <c r="P547" i="21"/>
  <c r="P519" i="21"/>
  <c r="P537" i="21" s="1"/>
  <c r="L479" i="21"/>
  <c r="L477" i="21"/>
  <c r="P460" i="21"/>
  <c r="P432" i="21"/>
  <c r="P450" i="21" s="1"/>
  <c r="L392" i="21"/>
  <c r="N373" i="21"/>
  <c r="N345" i="21"/>
  <c r="N363" i="21" s="1"/>
  <c r="J305" i="21"/>
  <c r="J304" i="21"/>
  <c r="J303" i="21"/>
  <c r="N286" i="21"/>
  <c r="O258" i="21"/>
  <c r="O276" i="21" s="1"/>
  <c r="K218" i="21"/>
  <c r="M199" i="21"/>
  <c r="M171" i="21"/>
  <c r="M189" i="21" s="1"/>
  <c r="L131" i="21"/>
  <c r="L112" i="21"/>
  <c r="L84" i="21"/>
  <c r="L102" i="21" s="1"/>
  <c r="C45" i="20"/>
  <c r="C52" i="20"/>
  <c r="C59" i="20"/>
  <c r="C66" i="20"/>
  <c r="C67" i="20"/>
  <c r="C68" i="20"/>
  <c r="L1717" i="16" s="1"/>
  <c r="B29" i="20"/>
  <c r="C29" i="20" s="1"/>
  <c r="B30" i="20"/>
  <c r="G665" i="16" s="1"/>
  <c r="G666" i="16" s="1"/>
  <c r="B28" i="20"/>
  <c r="D28" i="20" s="1"/>
  <c r="A2" i="20"/>
  <c r="A6" i="20"/>
  <c r="A4" i="20"/>
  <c r="A8" i="20"/>
  <c r="F149" i="16"/>
  <c r="G149" i="16" s="1"/>
  <c r="H149" i="16" s="1"/>
  <c r="I497" i="16"/>
  <c r="J497" i="16" s="1"/>
  <c r="K497" i="16" s="1"/>
  <c r="G323" i="16"/>
  <c r="H323" i="16" s="1"/>
  <c r="I323" i="16" s="1"/>
  <c r="L1193" i="16"/>
  <c r="M1193" i="16" s="1"/>
  <c r="N1193" i="16" s="1"/>
  <c r="J932" i="16"/>
  <c r="K932" i="16" s="1"/>
  <c r="L932" i="16" s="1"/>
  <c r="J845" i="16"/>
  <c r="K845" i="16" s="1"/>
  <c r="L845" i="16" s="1"/>
  <c r="H671" i="16"/>
  <c r="I671" i="16" s="1"/>
  <c r="J671" i="16" s="1"/>
  <c r="O2599" i="16"/>
  <c r="P2599" i="16" s="1"/>
  <c r="Q2599" i="16" s="1"/>
  <c r="N2598" i="16"/>
  <c r="O2598" i="16" s="1"/>
  <c r="P2598" i="16" s="1"/>
  <c r="O2597" i="16"/>
  <c r="N2597" i="16"/>
  <c r="M2597" i="16"/>
  <c r="M2251" i="16"/>
  <c r="N2251" i="16" s="1"/>
  <c r="O2251" i="16" s="1"/>
  <c r="L2250" i="16"/>
  <c r="M2250" i="16" s="1"/>
  <c r="N2250" i="16" s="1"/>
  <c r="M2249" i="16"/>
  <c r="L2249" i="16"/>
  <c r="K2249" i="16"/>
  <c r="M2162" i="16"/>
  <c r="N2162" i="16" s="1"/>
  <c r="O2162" i="16" s="1"/>
  <c r="L2161" i="16"/>
  <c r="M2161" i="16" s="1"/>
  <c r="N2161" i="16" s="1"/>
  <c r="M2160" i="16"/>
  <c r="L2160" i="16"/>
  <c r="K2160" i="16"/>
  <c r="M1984" i="16"/>
  <c r="N1984" i="16" s="1"/>
  <c r="O1984" i="16" s="1"/>
  <c r="L1983" i="16"/>
  <c r="M1983" i="16" s="1"/>
  <c r="N1983" i="16" s="1"/>
  <c r="M1982" i="16"/>
  <c r="L1982" i="16"/>
  <c r="K1982" i="16"/>
  <c r="K1632" i="16"/>
  <c r="L1632" i="16" s="1"/>
  <c r="M1632" i="16" s="1"/>
  <c r="J1631" i="16"/>
  <c r="K1631" i="16" s="1"/>
  <c r="L1631" i="16" s="1"/>
  <c r="K1630" i="16"/>
  <c r="J1630" i="16"/>
  <c r="I1630" i="16"/>
  <c r="K1543" i="16"/>
  <c r="L1543" i="16" s="1"/>
  <c r="M1543" i="16" s="1"/>
  <c r="J1542" i="16"/>
  <c r="K1542" i="16" s="1"/>
  <c r="L1542" i="16" s="1"/>
  <c r="K1541" i="16"/>
  <c r="J1541" i="16"/>
  <c r="I1541" i="16"/>
  <c r="K1454" i="16"/>
  <c r="L1454" i="16" s="1"/>
  <c r="M1454" i="16" s="1"/>
  <c r="J1453" i="16"/>
  <c r="K1453" i="16" s="1"/>
  <c r="L1453" i="16" s="1"/>
  <c r="K1452" i="16"/>
  <c r="J1452" i="16"/>
  <c r="I1452" i="16"/>
  <c r="I1367" i="16"/>
  <c r="H1366" i="16"/>
  <c r="I1365" i="16"/>
  <c r="H1365" i="16"/>
  <c r="G1365" i="16"/>
  <c r="K1895" i="16"/>
  <c r="C70" i="20"/>
  <c r="O2425" i="16" s="1"/>
  <c r="P2425" i="16" s="1"/>
  <c r="Q2425" i="16" s="1"/>
  <c r="C69" i="20"/>
  <c r="N2424" i="16" s="1"/>
  <c r="O2424" i="16" s="1"/>
  <c r="P2424" i="16" s="1"/>
  <c r="L1895" i="16"/>
  <c r="C63" i="20"/>
  <c r="J758" i="16" s="1"/>
  <c r="K758" i="16" s="1"/>
  <c r="L758" i="16" s="1"/>
  <c r="C56" i="20"/>
  <c r="K584" i="16" s="1"/>
  <c r="L584" i="16" s="1"/>
  <c r="M584" i="16" s="1"/>
  <c r="B46" i="20"/>
  <c r="C46" i="20" s="1"/>
  <c r="B47" i="20"/>
  <c r="B48" i="20"/>
  <c r="C48" i="20" s="1"/>
  <c r="G235" i="16" s="1"/>
  <c r="H235" i="16" s="1"/>
  <c r="I235" i="16" s="1"/>
  <c r="B45" i="20"/>
  <c r="D147" i="16" s="1"/>
  <c r="C49" i="20"/>
  <c r="H236" i="16" s="1"/>
  <c r="I236" i="16" s="1"/>
  <c r="J236" i="16" s="1"/>
  <c r="E62" i="16"/>
  <c r="F62" i="16" s="1"/>
  <c r="G62" i="16" s="1"/>
  <c r="D61" i="16"/>
  <c r="E60" i="16"/>
  <c r="D60" i="16"/>
  <c r="C60" i="16"/>
  <c r="P2680" i="16"/>
  <c r="N2593" i="16"/>
  <c r="N2506" i="16"/>
  <c r="N2419" i="16"/>
  <c r="N2332" i="16"/>
  <c r="L2245" i="16"/>
  <c r="L2156" i="16"/>
  <c r="L2067" i="16"/>
  <c r="L1978" i="16"/>
  <c r="L1891" i="16"/>
  <c r="L1802" i="16"/>
  <c r="K1713" i="16"/>
  <c r="J1626" i="16"/>
  <c r="J1537" i="16"/>
  <c r="J1448" i="16"/>
  <c r="H1361" i="16"/>
  <c r="E31" i="20"/>
  <c r="D43" i="16"/>
  <c r="D56" i="16"/>
  <c r="D57" i="16" s="1"/>
  <c r="C27" i="20"/>
  <c r="D39" i="16"/>
  <c r="B26" i="16"/>
  <c r="C27" i="16"/>
  <c r="B15" i="20"/>
  <c r="C18" i="20"/>
  <c r="B18" i="20" s="1"/>
  <c r="O9" i="16"/>
  <c r="Q9" i="16"/>
  <c r="R9" i="16"/>
  <c r="S9" i="16"/>
  <c r="C42" i="22" l="1"/>
  <c r="C43" i="22" s="1"/>
  <c r="M848" i="21"/>
  <c r="T3314" i="21"/>
  <c r="T3321" i="21" s="1"/>
  <c r="R3136" i="21"/>
  <c r="R3143" i="21" s="1"/>
  <c r="Q3047" i="21"/>
  <c r="Q3054" i="21" s="1"/>
  <c r="D107" i="22"/>
  <c r="W3581" i="21"/>
  <c r="W3588" i="21" s="1"/>
  <c r="S3225" i="21"/>
  <c r="S3232" i="21" s="1"/>
  <c r="P2958" i="21"/>
  <c r="U3403" i="21"/>
  <c r="U3410" i="21" s="1"/>
  <c r="V3411" i="21" s="1"/>
  <c r="C114" i="22"/>
  <c r="C121" i="22" s="1"/>
  <c r="C128" i="22" s="1"/>
  <c r="V3492" i="21"/>
  <c r="V3499" i="21" s="1"/>
  <c r="D111" i="22"/>
  <c r="C118" i="22"/>
  <c r="C125" i="22" s="1"/>
  <c r="S3137" i="21"/>
  <c r="T3137" i="21" s="1"/>
  <c r="U3137" i="21" s="1"/>
  <c r="V3404" i="21"/>
  <c r="W3404" i="21" s="1"/>
  <c r="X3404" i="21" s="1"/>
  <c r="D110" i="22"/>
  <c r="U3315" i="21"/>
  <c r="V3315" i="21" s="1"/>
  <c r="W3315" i="21" s="1"/>
  <c r="Q2959" i="21"/>
  <c r="R2959" i="21" s="1"/>
  <c r="S2959" i="21" s="1"/>
  <c r="X3582" i="21"/>
  <c r="Y3582" i="21" s="1"/>
  <c r="Z3582" i="21" s="1"/>
  <c r="R3048" i="21"/>
  <c r="S3048" i="21" s="1"/>
  <c r="T3048" i="21" s="1"/>
  <c r="T3226" i="21"/>
  <c r="U3226" i="21" s="1"/>
  <c r="V3226" i="21" s="1"/>
  <c r="W3493" i="21"/>
  <c r="X3493" i="21" s="1"/>
  <c r="Y3493" i="21" s="1"/>
  <c r="C117" i="22"/>
  <c r="C124" i="22" s="1"/>
  <c r="C116" i="22"/>
  <c r="X3492" i="21"/>
  <c r="T3136" i="21"/>
  <c r="W3403" i="21"/>
  <c r="S3047" i="21"/>
  <c r="Y3581" i="21"/>
  <c r="V3314" i="21"/>
  <c r="R2958" i="21"/>
  <c r="U3225" i="21"/>
  <c r="D109" i="22"/>
  <c r="C115" i="22"/>
  <c r="V3403" i="21"/>
  <c r="S3136" i="21"/>
  <c r="D108" i="22"/>
  <c r="R3047" i="21"/>
  <c r="W3492" i="21"/>
  <c r="U3314" i="21"/>
  <c r="X3581" i="21"/>
  <c r="T3225" i="21"/>
  <c r="Q2958" i="21"/>
  <c r="O2934" i="21"/>
  <c r="AA15" i="21"/>
  <c r="V3564" i="21"/>
  <c r="T3386" i="21"/>
  <c r="P3030" i="21"/>
  <c r="Q3119" i="21"/>
  <c r="R3208" i="21"/>
  <c r="S3297" i="21"/>
  <c r="Z10" i="21"/>
  <c r="W10" i="21"/>
  <c r="X10" i="21"/>
  <c r="D21" i="23"/>
  <c r="E22" i="23" s="1"/>
  <c r="F23" i="23" s="1"/>
  <c r="D23" i="23"/>
  <c r="E24" i="23" s="1"/>
  <c r="F24" i="23" s="1"/>
  <c r="E42" i="22"/>
  <c r="O1722" i="21" s="1"/>
  <c r="O1723" i="21" s="1"/>
  <c r="P2254" i="21"/>
  <c r="P2255" i="21" s="1"/>
  <c r="P1987" i="21"/>
  <c r="P1988" i="21" s="1"/>
  <c r="N1546" i="21"/>
  <c r="N1547" i="21" s="1"/>
  <c r="L1370" i="21"/>
  <c r="L1371" i="21" s="1"/>
  <c r="N1635" i="21"/>
  <c r="N1636" i="21" s="1"/>
  <c r="R2602" i="21"/>
  <c r="R2603" i="21" s="1"/>
  <c r="S2612" i="21" s="1"/>
  <c r="N1457" i="21"/>
  <c r="N1458" i="21" s="1"/>
  <c r="O1467" i="21" s="1"/>
  <c r="O1466" i="21" s="1"/>
  <c r="P2165" i="21"/>
  <c r="P2166" i="21" s="1"/>
  <c r="Q2175" i="21" s="1"/>
  <c r="R2176" i="21" s="1"/>
  <c r="D42" i="22"/>
  <c r="V3557" i="21"/>
  <c r="Q3112" i="21"/>
  <c r="S3290" i="21"/>
  <c r="Y10" i="21"/>
  <c r="AA22" i="21"/>
  <c r="AA18" i="21"/>
  <c r="D25" i="22"/>
  <c r="D117" i="22"/>
  <c r="D118" i="22"/>
  <c r="C201" i="22"/>
  <c r="C212" i="22"/>
  <c r="S3288" i="21" s="1"/>
  <c r="C203" i="22"/>
  <c r="O2932" i="21"/>
  <c r="C194" i="22"/>
  <c r="P3021" i="21" s="1"/>
  <c r="C195" i="22"/>
  <c r="C196" i="22"/>
  <c r="C197" i="22"/>
  <c r="C181" i="22"/>
  <c r="O2941" i="21"/>
  <c r="P2965" i="21"/>
  <c r="Q2966" i="21" s="1"/>
  <c r="O1645" i="21"/>
  <c r="O1644" i="21" s="1"/>
  <c r="C24" i="22"/>
  <c r="F35" i="21"/>
  <c r="M2760" i="21" s="1"/>
  <c r="D27" i="22"/>
  <c r="D28" i="22" s="1"/>
  <c r="G39" i="21" s="1"/>
  <c r="F39" i="21" s="1"/>
  <c r="Q3116" i="21" s="1"/>
  <c r="Q3120" i="21" s="1"/>
  <c r="S2082" i="21"/>
  <c r="T2082" i="21" s="1"/>
  <c r="U2082" i="21" s="1"/>
  <c r="C187" i="22"/>
  <c r="R2081" i="21"/>
  <c r="S2081" i="21" s="1"/>
  <c r="T2081" i="21" s="1"/>
  <c r="O2876" i="21"/>
  <c r="P2877" i="21" s="1"/>
  <c r="N2852" i="21"/>
  <c r="R1028" i="21"/>
  <c r="S1028" i="21" s="1"/>
  <c r="T1028" i="21" s="1"/>
  <c r="S1817" i="21"/>
  <c r="T1817" i="21" s="1"/>
  <c r="U1817" i="21" s="1"/>
  <c r="N2842" i="21"/>
  <c r="R2266" i="21"/>
  <c r="T1289" i="21"/>
  <c r="U1289" i="21" s="1"/>
  <c r="V1289" i="21" s="1"/>
  <c r="P767" i="21"/>
  <c r="Q767" i="21" s="1"/>
  <c r="R767" i="21" s="1"/>
  <c r="M2753" i="21"/>
  <c r="R1816" i="21"/>
  <c r="S1816" i="21" s="1"/>
  <c r="T1816" i="21" s="1"/>
  <c r="I75" i="21"/>
  <c r="J75" i="21" s="1"/>
  <c r="D75" i="22"/>
  <c r="N505" i="21"/>
  <c r="O505" i="21" s="1"/>
  <c r="P505" i="21" s="1"/>
  <c r="L331" i="21"/>
  <c r="M331" i="21" s="1"/>
  <c r="N331" i="21" s="1"/>
  <c r="Q1727" i="21"/>
  <c r="R1727" i="21" s="1"/>
  <c r="S1727" i="21" s="1"/>
  <c r="R1728" i="21"/>
  <c r="S1728" i="21" s="1"/>
  <c r="T1728" i="21" s="1"/>
  <c r="R2080" i="21"/>
  <c r="O419" i="21"/>
  <c r="P419" i="21" s="1"/>
  <c r="Q419" i="21" s="1"/>
  <c r="S1906" i="21"/>
  <c r="T1906" i="21" s="1"/>
  <c r="U1906" i="21" s="1"/>
  <c r="K157" i="21"/>
  <c r="L157" i="21" s="1"/>
  <c r="M157" i="21" s="1"/>
  <c r="U2434" i="21"/>
  <c r="V2434" i="21" s="1"/>
  <c r="W2434" i="21" s="1"/>
  <c r="R1815" i="21"/>
  <c r="J156" i="21"/>
  <c r="I163" i="21" s="1"/>
  <c r="C19" i="22"/>
  <c r="D68" i="22"/>
  <c r="M244" i="21" s="1"/>
  <c r="N244" i="21" s="1"/>
  <c r="O244" i="21" s="1"/>
  <c r="T2520" i="21"/>
  <c r="U2520" i="21" s="1"/>
  <c r="V2520" i="21" s="1"/>
  <c r="D20" i="22"/>
  <c r="T2346" i="21"/>
  <c r="U2346" i="21" s="1"/>
  <c r="V2346" i="21" s="1"/>
  <c r="V2694" i="21"/>
  <c r="W2694" i="21" s="1"/>
  <c r="X2694" i="21" s="1"/>
  <c r="U2521" i="21"/>
  <c r="V2521" i="21" s="1"/>
  <c r="W2521" i="21" s="1"/>
  <c r="R1905" i="21"/>
  <c r="S1905" i="21" s="1"/>
  <c r="T1905" i="21" s="1"/>
  <c r="U2347" i="21"/>
  <c r="V2347" i="21" s="1"/>
  <c r="W2347" i="21" s="1"/>
  <c r="R1999" i="21"/>
  <c r="I79" i="21"/>
  <c r="F27" i="21"/>
  <c r="J77" i="21"/>
  <c r="P1469" i="21"/>
  <c r="R2177" i="21"/>
  <c r="P2076" i="21"/>
  <c r="P2077" i="21" s="1"/>
  <c r="P1811" i="21"/>
  <c r="P1812" i="21" s="1"/>
  <c r="P1900" i="21"/>
  <c r="P1901" i="21" s="1"/>
  <c r="R2341" i="21"/>
  <c r="R2342" i="21" s="1"/>
  <c r="S2351" i="21" s="1"/>
  <c r="S2350" i="21" s="1"/>
  <c r="R2515" i="21"/>
  <c r="R2516" i="21" s="1"/>
  <c r="J326" i="21"/>
  <c r="J327" i="21" s="1"/>
  <c r="D41" i="22"/>
  <c r="D72" i="22"/>
  <c r="I152" i="21"/>
  <c r="I153" i="21" s="1"/>
  <c r="L500" i="21"/>
  <c r="L501" i="21" s="1"/>
  <c r="D40" i="22"/>
  <c r="L413" i="21"/>
  <c r="L414" i="21" s="1"/>
  <c r="K674" i="21"/>
  <c r="K675" i="21" s="1"/>
  <c r="M935" i="21"/>
  <c r="M936" i="21" s="1"/>
  <c r="O1196" i="21"/>
  <c r="O1197" i="21" s="1"/>
  <c r="K239" i="21"/>
  <c r="K240" i="21" s="1"/>
  <c r="L249" i="21" s="1"/>
  <c r="E41" i="22"/>
  <c r="N587" i="21"/>
  <c r="L156" i="21"/>
  <c r="K156" i="21"/>
  <c r="L330" i="21"/>
  <c r="D66" i="22"/>
  <c r="M243" i="21" s="1"/>
  <c r="S1904" i="21"/>
  <c r="R1726" i="21"/>
  <c r="U2345" i="21"/>
  <c r="U2432" i="21"/>
  <c r="W2693" i="21"/>
  <c r="S1815" i="21"/>
  <c r="U2519" i="21"/>
  <c r="T2432" i="21"/>
  <c r="V2693" i="21"/>
  <c r="R1904" i="21"/>
  <c r="T2519" i="21"/>
  <c r="Q1726" i="21"/>
  <c r="S2432" i="21"/>
  <c r="S2439" i="21" s="1"/>
  <c r="T2440" i="21" s="1"/>
  <c r="P1726" i="21"/>
  <c r="P1733" i="21" s="1"/>
  <c r="Q1904" i="21"/>
  <c r="Q2080" i="21"/>
  <c r="U2693" i="21"/>
  <c r="U2700" i="21" s="1"/>
  <c r="S2519" i="21"/>
  <c r="S2526" i="21" s="1"/>
  <c r="Q1815" i="21"/>
  <c r="R2428" i="21"/>
  <c r="R2429" i="21" s="1"/>
  <c r="F42" i="22"/>
  <c r="T2689" i="21"/>
  <c r="C80" i="22"/>
  <c r="C94" i="22" s="1"/>
  <c r="D73" i="22"/>
  <c r="D39" i="22"/>
  <c r="C82" i="22"/>
  <c r="C96" i="22" s="1"/>
  <c r="I83" i="21"/>
  <c r="F30" i="21"/>
  <c r="T2676" i="21"/>
  <c r="R2415" i="21"/>
  <c r="P2152" i="21"/>
  <c r="R2502" i="21"/>
  <c r="P2241" i="21"/>
  <c r="R2328" i="21"/>
  <c r="P2063" i="21"/>
  <c r="N1622" i="21"/>
  <c r="O1709" i="21"/>
  <c r="P1798" i="21"/>
  <c r="N1444" i="21"/>
  <c r="P1974" i="21"/>
  <c r="N1533" i="21"/>
  <c r="O1183" i="21"/>
  <c r="Q1270" i="21"/>
  <c r="L1357" i="21"/>
  <c r="R2589" i="21"/>
  <c r="P1887" i="21"/>
  <c r="O1009" i="21"/>
  <c r="M748" i="21"/>
  <c r="M835" i="21"/>
  <c r="O1096" i="21"/>
  <c r="K661" i="21"/>
  <c r="L400" i="21"/>
  <c r="K226" i="21"/>
  <c r="L487" i="21"/>
  <c r="M922" i="21"/>
  <c r="N574" i="21"/>
  <c r="J313" i="21"/>
  <c r="I139" i="21"/>
  <c r="I84" i="21"/>
  <c r="M849" i="21"/>
  <c r="M1381" i="21"/>
  <c r="N1382" i="21" s="1"/>
  <c r="M1384" i="21"/>
  <c r="M1380" i="21"/>
  <c r="P1647" i="21"/>
  <c r="O1560" i="21"/>
  <c r="O1557" i="21"/>
  <c r="P1558" i="21" s="1"/>
  <c r="O1556" i="21"/>
  <c r="Q1997" i="21"/>
  <c r="S2613" i="21"/>
  <c r="T2614" i="21" s="1"/>
  <c r="Q2001" i="21"/>
  <c r="O1649" i="21"/>
  <c r="Q2268" i="21"/>
  <c r="Q2264" i="21"/>
  <c r="C47" i="20"/>
  <c r="H234" i="16" s="1"/>
  <c r="G234" i="16"/>
  <c r="B52" i="20"/>
  <c r="I582" i="16" s="1"/>
  <c r="F234" i="16"/>
  <c r="M2336" i="16"/>
  <c r="O2336" i="16"/>
  <c r="L1896" i="16"/>
  <c r="M1896" i="16" s="1"/>
  <c r="N1896" i="16" s="1"/>
  <c r="M1895" i="16"/>
  <c r="K1718" i="16"/>
  <c r="L1718" i="16" s="1"/>
  <c r="M1718" i="16" s="1"/>
  <c r="M1897" i="16"/>
  <c r="N1897" i="16" s="1"/>
  <c r="O1897" i="16" s="1"/>
  <c r="P2685" i="16"/>
  <c r="Q2685" i="16" s="1"/>
  <c r="R2685" i="16" s="1"/>
  <c r="L1719" i="16"/>
  <c r="M1719" i="16" s="1"/>
  <c r="N1719" i="16" s="1"/>
  <c r="Q2686" i="16"/>
  <c r="R2686" i="16" s="1"/>
  <c r="S2686" i="16" s="1"/>
  <c r="N1280" i="16"/>
  <c r="O1280" i="16" s="1"/>
  <c r="P1280" i="16" s="1"/>
  <c r="M2510" i="16"/>
  <c r="N2510" i="16"/>
  <c r="N2336" i="16"/>
  <c r="N2337" i="16"/>
  <c r="O2337" i="16" s="1"/>
  <c r="P2337" i="16" s="1"/>
  <c r="I410" i="16"/>
  <c r="J410" i="16" s="1"/>
  <c r="K410" i="16" s="1"/>
  <c r="O2510" i="16"/>
  <c r="O2338" i="16"/>
  <c r="P2338" i="16" s="1"/>
  <c r="Q2338" i="16" s="1"/>
  <c r="K1806" i="16"/>
  <c r="N2511" i="16"/>
  <c r="O2511" i="16" s="1"/>
  <c r="P2511" i="16" s="1"/>
  <c r="K2071" i="16"/>
  <c r="L1806" i="16"/>
  <c r="O2512" i="16"/>
  <c r="P2512" i="16" s="1"/>
  <c r="Q2512" i="16" s="1"/>
  <c r="L2071" i="16"/>
  <c r="M1806" i="16"/>
  <c r="M2423" i="16"/>
  <c r="M2071" i="16"/>
  <c r="L1807" i="16"/>
  <c r="M1807" i="16" s="1"/>
  <c r="N1807" i="16" s="1"/>
  <c r="L1106" i="16"/>
  <c r="M1106" i="16" s="1"/>
  <c r="N1106" i="16" s="1"/>
  <c r="N2423" i="16"/>
  <c r="L2072" i="16"/>
  <c r="M2072" i="16" s="1"/>
  <c r="N2072" i="16" s="1"/>
  <c r="M1808" i="16"/>
  <c r="N1808" i="16" s="1"/>
  <c r="O1808" i="16" s="1"/>
  <c r="O2684" i="16"/>
  <c r="O2423" i="16"/>
  <c r="M2073" i="16"/>
  <c r="N2073" i="16" s="1"/>
  <c r="O2073" i="16" s="1"/>
  <c r="J1717" i="16"/>
  <c r="L1019" i="16"/>
  <c r="M1019" i="16" s="1"/>
  <c r="N1019" i="16" s="1"/>
  <c r="P2684" i="16"/>
  <c r="K1717" i="16"/>
  <c r="I926" i="16"/>
  <c r="I927" i="16" s="1"/>
  <c r="Q2684" i="16"/>
  <c r="B53" i="20"/>
  <c r="C53" i="20" s="1"/>
  <c r="B54" i="20"/>
  <c r="C54" i="20" s="1"/>
  <c r="E147" i="16"/>
  <c r="F147" i="16"/>
  <c r="B55" i="20"/>
  <c r="E148" i="16"/>
  <c r="F148" i="16" s="1"/>
  <c r="G148" i="16" s="1"/>
  <c r="E28" i="20"/>
  <c r="G230" i="16"/>
  <c r="G231" i="16" s="1"/>
  <c r="J578" i="16"/>
  <c r="J579" i="16" s="1"/>
  <c r="I839" i="16"/>
  <c r="I840" i="16" s="1"/>
  <c r="H491" i="16"/>
  <c r="H492" i="16" s="1"/>
  <c r="D30" i="20"/>
  <c r="K1187" i="16"/>
  <c r="K1188" i="16" s="1"/>
  <c r="F317" i="16"/>
  <c r="F318" i="16" s="1"/>
  <c r="D29" i="20"/>
  <c r="C31" i="20"/>
  <c r="C30" i="20"/>
  <c r="C28" i="20"/>
  <c r="E143" i="16"/>
  <c r="E144" i="16" s="1"/>
  <c r="C30" i="16"/>
  <c r="C19" i="20"/>
  <c r="B19" i="20" s="1"/>
  <c r="D43" i="22" l="1"/>
  <c r="E43" i="22"/>
  <c r="F43" i="22" s="1"/>
  <c r="D115" i="22"/>
  <c r="C122" i="22"/>
  <c r="C129" i="22" s="1"/>
  <c r="Q2179" i="21"/>
  <c r="D96" i="22"/>
  <c r="O2781" i="21"/>
  <c r="P2781" i="21" s="1"/>
  <c r="Q2781" i="21" s="1"/>
  <c r="C215" i="22"/>
  <c r="Q3113" i="21"/>
  <c r="C131" i="22"/>
  <c r="D131" i="22" s="1"/>
  <c r="D124" i="22"/>
  <c r="W3500" i="21"/>
  <c r="S2616" i="21"/>
  <c r="D121" i="22"/>
  <c r="D94" i="22"/>
  <c r="O2780" i="21"/>
  <c r="D114" i="22"/>
  <c r="R3055" i="21"/>
  <c r="X3589" i="21"/>
  <c r="C209" i="22"/>
  <c r="P3024" i="21"/>
  <c r="T3233" i="21"/>
  <c r="S3144" i="21"/>
  <c r="C207" i="22"/>
  <c r="P3022" i="21"/>
  <c r="U3322" i="21"/>
  <c r="O2931" i="21"/>
  <c r="C132" i="22"/>
  <c r="D125" i="22"/>
  <c r="C213" i="22"/>
  <c r="Q3111" i="21"/>
  <c r="Q3109" i="21" s="1"/>
  <c r="D116" i="22"/>
  <c r="C123" i="22"/>
  <c r="C130" i="22" s="1"/>
  <c r="E26" i="23"/>
  <c r="F26" i="23" s="1"/>
  <c r="G26" i="23" s="1"/>
  <c r="G24" i="23"/>
  <c r="O1471" i="21"/>
  <c r="M2776" i="21"/>
  <c r="M2777" i="21" s="1"/>
  <c r="C44" i="22"/>
  <c r="C208" i="22"/>
  <c r="P3023" i="21"/>
  <c r="P3020" i="21" s="1"/>
  <c r="Q3117" i="21"/>
  <c r="Q3122" i="21" s="1"/>
  <c r="Q3123" i="21"/>
  <c r="R3163" i="21" s="1"/>
  <c r="S3164" i="21" s="1"/>
  <c r="C193" i="22"/>
  <c r="C206" i="22"/>
  <c r="R3199" i="21" s="1"/>
  <c r="C211" i="22"/>
  <c r="C224" i="22"/>
  <c r="C199" i="22"/>
  <c r="D122" i="22"/>
  <c r="D132" i="22"/>
  <c r="C139" i="22"/>
  <c r="D128" i="22"/>
  <c r="C135" i="22"/>
  <c r="E44" i="22"/>
  <c r="F44" i="22" s="1"/>
  <c r="D44" i="22"/>
  <c r="P1645" i="21"/>
  <c r="P1646" i="21"/>
  <c r="Q1647" i="21" s="1"/>
  <c r="T2527" i="21"/>
  <c r="J76" i="21"/>
  <c r="K77" i="21" s="1"/>
  <c r="J164" i="21"/>
  <c r="G36" i="21"/>
  <c r="F36" i="21" s="1"/>
  <c r="N2849" i="21" s="1"/>
  <c r="C25" i="22"/>
  <c r="M251" i="21"/>
  <c r="R2175" i="21"/>
  <c r="S2179" i="21" s="1"/>
  <c r="V2701" i="21"/>
  <c r="Q2174" i="21"/>
  <c r="Q1734" i="21"/>
  <c r="D82" i="22"/>
  <c r="Q1201" i="21"/>
  <c r="R1201" i="21" s="1"/>
  <c r="S1201" i="21" s="1"/>
  <c r="M679" i="21"/>
  <c r="N679" i="21" s="1"/>
  <c r="O679" i="21" s="1"/>
  <c r="O940" i="21"/>
  <c r="P940" i="21" s="1"/>
  <c r="Q940" i="21" s="1"/>
  <c r="O853" i="21"/>
  <c r="P853" i="21" s="1"/>
  <c r="Q853" i="21" s="1"/>
  <c r="D21" i="22"/>
  <c r="G31" i="21"/>
  <c r="F31" i="21" s="1"/>
  <c r="C20" i="22"/>
  <c r="I162" i="21"/>
  <c r="J163" i="21" s="1"/>
  <c r="T2353" i="21"/>
  <c r="N418" i="21"/>
  <c r="O418" i="21" s="1"/>
  <c r="P418" i="21" s="1"/>
  <c r="P592" i="21"/>
  <c r="Q592" i="21" s="1"/>
  <c r="R592" i="21" s="1"/>
  <c r="P1468" i="21"/>
  <c r="Q1469" i="21" s="1"/>
  <c r="P1467" i="21"/>
  <c r="S2177" i="21"/>
  <c r="Q1910" i="21"/>
  <c r="R1911" i="21" s="1"/>
  <c r="Q1914" i="21"/>
  <c r="P1732" i="21"/>
  <c r="Q1732" i="21" s="1"/>
  <c r="R1733" i="21" s="1"/>
  <c r="Q2090" i="21"/>
  <c r="Q2087" i="21"/>
  <c r="R2088" i="21" s="1"/>
  <c r="Q2086" i="21"/>
  <c r="Q1911" i="21"/>
  <c r="R1912" i="21" s="1"/>
  <c r="H50" i="21"/>
  <c r="H55" i="21" s="1"/>
  <c r="K223" i="21"/>
  <c r="K224" i="21" s="1"/>
  <c r="K229" i="21" s="1"/>
  <c r="I136" i="21"/>
  <c r="I137" i="21" s="1"/>
  <c r="P1736" i="21"/>
  <c r="S2355" i="21"/>
  <c r="S2525" i="21"/>
  <c r="S2524" i="21" s="1"/>
  <c r="S2438" i="21"/>
  <c r="S2437" i="21" s="1"/>
  <c r="T2351" i="21"/>
  <c r="U2352" i="21" s="1"/>
  <c r="S2529" i="21"/>
  <c r="T2352" i="21"/>
  <c r="I166" i="21"/>
  <c r="O591" i="21"/>
  <c r="O598" i="21" s="1"/>
  <c r="M417" i="21"/>
  <c r="M424" i="21" s="1"/>
  <c r="C79" i="22"/>
  <c r="C93" i="22" s="1"/>
  <c r="K330" i="21"/>
  <c r="M504" i="21"/>
  <c r="L253" i="21"/>
  <c r="N588" i="21"/>
  <c r="F41" i="22"/>
  <c r="O1109" i="21"/>
  <c r="Q1283" i="21"/>
  <c r="O1022" i="21"/>
  <c r="M761" i="21"/>
  <c r="O504" i="21"/>
  <c r="M330" i="21"/>
  <c r="P591" i="21"/>
  <c r="N417" i="21"/>
  <c r="D80" i="22"/>
  <c r="O939" i="21"/>
  <c r="Q1200" i="21"/>
  <c r="O852" i="21"/>
  <c r="M678" i="21"/>
  <c r="Q1822" i="21"/>
  <c r="R1823" i="21" s="1"/>
  <c r="Q1825" i="21"/>
  <c r="Q1821" i="21"/>
  <c r="U2703" i="21"/>
  <c r="T2690" i="21"/>
  <c r="U2699" i="21" s="1"/>
  <c r="S2442" i="21"/>
  <c r="D74" i="22"/>
  <c r="C81" i="22"/>
  <c r="C95" i="22" s="1"/>
  <c r="N1381" i="21"/>
  <c r="O1382" i="21" s="1"/>
  <c r="M1379" i="21"/>
  <c r="N1380" i="21"/>
  <c r="M250" i="21"/>
  <c r="M249" i="21"/>
  <c r="I82" i="21"/>
  <c r="I91" i="21"/>
  <c r="I90" i="21" s="1"/>
  <c r="I121" i="21"/>
  <c r="I119" i="21"/>
  <c r="J92" i="21"/>
  <c r="J85" i="21"/>
  <c r="K76" i="21"/>
  <c r="R2265" i="21"/>
  <c r="S2266" i="21" s="1"/>
  <c r="R2264" i="21"/>
  <c r="Q2263" i="21"/>
  <c r="Q1996" i="21"/>
  <c r="R1998" i="21"/>
  <c r="S1999" i="21" s="1"/>
  <c r="R1997" i="21"/>
  <c r="O1555" i="21"/>
  <c r="P1557" i="21"/>
  <c r="Q1558" i="21" s="1"/>
  <c r="P1556" i="21"/>
  <c r="S2611" i="21"/>
  <c r="T2613" i="21"/>
  <c r="U2614" i="21" s="1"/>
  <c r="T2612" i="21"/>
  <c r="B59" i="20"/>
  <c r="G495" i="16"/>
  <c r="G408" i="16"/>
  <c r="E321" i="16"/>
  <c r="H843" i="16"/>
  <c r="F669" i="16"/>
  <c r="H930" i="16"/>
  <c r="C55" i="20"/>
  <c r="H496" i="16"/>
  <c r="I496" i="16" s="1"/>
  <c r="J496" i="16" s="1"/>
  <c r="B62" i="20"/>
  <c r="F322" i="16"/>
  <c r="G322" i="16" s="1"/>
  <c r="H322" i="16" s="1"/>
  <c r="I495" i="16"/>
  <c r="B61" i="20"/>
  <c r="C61" i="20" s="1"/>
  <c r="G321" i="16"/>
  <c r="H495" i="16"/>
  <c r="F321" i="16"/>
  <c r="B60" i="20"/>
  <c r="C60" i="20" s="1"/>
  <c r="E29" i="20"/>
  <c r="H404" i="16"/>
  <c r="H405" i="16" s="1"/>
  <c r="E30" i="20"/>
  <c r="I752" i="16"/>
  <c r="I753" i="16" s="1"/>
  <c r="M1274" i="16"/>
  <c r="M1275" i="16" s="1"/>
  <c r="K1100" i="16"/>
  <c r="K1101" i="16" s="1"/>
  <c r="K1013" i="16"/>
  <c r="K1014" i="16" s="1"/>
  <c r="C20" i="20"/>
  <c r="B20" i="20" s="1"/>
  <c r="C31" i="16"/>
  <c r="C138" i="22" l="1"/>
  <c r="C225" i="22"/>
  <c r="S3289" i="21"/>
  <c r="C221" i="22"/>
  <c r="R3202" i="21"/>
  <c r="C227" i="22"/>
  <c r="S3291" i="21"/>
  <c r="D123" i="22"/>
  <c r="N2780" i="21"/>
  <c r="N2787" i="21" s="1"/>
  <c r="O2788" i="21" s="1"/>
  <c r="D93" i="22"/>
  <c r="D95" i="22"/>
  <c r="P2780" i="21"/>
  <c r="C219" i="22"/>
  <c r="R3200" i="21"/>
  <c r="V3555" i="21"/>
  <c r="U3466" i="21"/>
  <c r="Q1649" i="21"/>
  <c r="Q1646" i="21"/>
  <c r="Q1644" i="21" s="1"/>
  <c r="C45" i="22"/>
  <c r="N2865" i="21"/>
  <c r="O2879" i="21" s="1"/>
  <c r="P1644" i="21"/>
  <c r="C220" i="22"/>
  <c r="R3201" i="21"/>
  <c r="R3130" i="21"/>
  <c r="R3162" i="21" s="1"/>
  <c r="S3163" i="21" s="1"/>
  <c r="T3164" i="21" s="1"/>
  <c r="S3130" i="21"/>
  <c r="T3130" i="21"/>
  <c r="R3131" i="21"/>
  <c r="C205" i="22"/>
  <c r="C218" i="22"/>
  <c r="T3377" i="21" s="1"/>
  <c r="D135" i="22"/>
  <c r="C142" i="22"/>
  <c r="D138" i="22"/>
  <c r="C145" i="22"/>
  <c r="D139" i="22"/>
  <c r="C146" i="22"/>
  <c r="D130" i="22"/>
  <c r="C137" i="22"/>
  <c r="J162" i="21"/>
  <c r="K166" i="21" s="1"/>
  <c r="D129" i="22"/>
  <c r="C136" i="22"/>
  <c r="K79" i="21"/>
  <c r="L79" i="21" s="1"/>
  <c r="L130" i="21" s="1"/>
  <c r="L129" i="21" s="1"/>
  <c r="E45" i="22"/>
  <c r="D45" i="22"/>
  <c r="K164" i="21"/>
  <c r="S2176" i="21"/>
  <c r="T2179" i="21" s="1"/>
  <c r="R2174" i="21"/>
  <c r="G37" i="21"/>
  <c r="F37" i="21" s="1"/>
  <c r="O2938" i="21" s="1"/>
  <c r="C26" i="22"/>
  <c r="N251" i="21"/>
  <c r="Q1471" i="21"/>
  <c r="Q1468" i="21"/>
  <c r="U2353" i="21"/>
  <c r="V2353" i="21" s="1"/>
  <c r="V2350" i="21" s="1"/>
  <c r="P599" i="21"/>
  <c r="P1466" i="21"/>
  <c r="N425" i="21"/>
  <c r="G32" i="21"/>
  <c r="F32" i="21" s="1"/>
  <c r="D22" i="22"/>
  <c r="C21" i="22"/>
  <c r="S1288" i="21"/>
  <c r="T1288" i="21" s="1"/>
  <c r="U1288" i="21" s="1"/>
  <c r="O766" i="21"/>
  <c r="P766" i="21" s="1"/>
  <c r="Q766" i="21" s="1"/>
  <c r="Q1027" i="21"/>
  <c r="R1027" i="21" s="1"/>
  <c r="S1027" i="21" s="1"/>
  <c r="Q1114" i="21"/>
  <c r="R1114" i="21" s="1"/>
  <c r="S1114" i="21" s="1"/>
  <c r="K230" i="21"/>
  <c r="L270" i="21" s="1"/>
  <c r="M271" i="21" s="1"/>
  <c r="M427" i="21"/>
  <c r="Q1733" i="21"/>
  <c r="R1734" i="21" s="1"/>
  <c r="R1731" i="21" s="1"/>
  <c r="P1731" i="21"/>
  <c r="Q2085" i="21"/>
  <c r="T2525" i="21"/>
  <c r="U2526" i="21" s="1"/>
  <c r="R2086" i="21"/>
  <c r="R2087" i="21"/>
  <c r="S2088" i="21" s="1"/>
  <c r="R1910" i="21"/>
  <c r="R1909" i="21" s="1"/>
  <c r="Q1909" i="21"/>
  <c r="S1912" i="21"/>
  <c r="K227" i="21"/>
  <c r="H53" i="21"/>
  <c r="H61" i="21" s="1"/>
  <c r="H8" i="21" s="1"/>
  <c r="T2350" i="21"/>
  <c r="U2355" i="21"/>
  <c r="V2355" i="21" s="1"/>
  <c r="H58" i="21"/>
  <c r="H56" i="21"/>
  <c r="I64" i="21" s="1"/>
  <c r="I110" i="21" s="1"/>
  <c r="I13" i="21" s="1"/>
  <c r="T2526" i="21"/>
  <c r="U2527" i="21" s="1"/>
  <c r="T2439" i="21"/>
  <c r="U2440" i="21" s="1"/>
  <c r="T2438" i="21"/>
  <c r="U2439" i="21" s="1"/>
  <c r="O601" i="21"/>
  <c r="O597" i="21"/>
  <c r="O596" i="21" s="1"/>
  <c r="M511" i="21"/>
  <c r="N512" i="21" s="1"/>
  <c r="M510" i="21"/>
  <c r="M514" i="21"/>
  <c r="K340" i="21"/>
  <c r="K336" i="21"/>
  <c r="K337" i="21"/>
  <c r="L338" i="21" s="1"/>
  <c r="D79" i="22"/>
  <c r="L678" i="21"/>
  <c r="N939" i="21"/>
  <c r="P1200" i="21"/>
  <c r="N852" i="21"/>
  <c r="M423" i="21"/>
  <c r="M762" i="21"/>
  <c r="O1023" i="21"/>
  <c r="Q1284" i="21"/>
  <c r="O1110" i="21"/>
  <c r="D81" i="22"/>
  <c r="P939" i="21"/>
  <c r="N678" i="21"/>
  <c r="P852" i="21"/>
  <c r="R1200" i="21"/>
  <c r="O417" i="21"/>
  <c r="Q591" i="21"/>
  <c r="S1287" i="21"/>
  <c r="Q1113" i="21"/>
  <c r="O765" i="21"/>
  <c r="Q1026" i="21"/>
  <c r="Q1820" i="21"/>
  <c r="R1822" i="21"/>
  <c r="S1823" i="21" s="1"/>
  <c r="R1821" i="21"/>
  <c r="U2698" i="21"/>
  <c r="V2700" i="21"/>
  <c r="W2701" i="21" s="1"/>
  <c r="V2699" i="21"/>
  <c r="Q1560" i="21"/>
  <c r="P1555" i="21"/>
  <c r="Q1557" i="21"/>
  <c r="N250" i="21"/>
  <c r="N253" i="21"/>
  <c r="K93" i="21"/>
  <c r="K86" i="21"/>
  <c r="O1381" i="21"/>
  <c r="N1379" i="21"/>
  <c r="O1384" i="21"/>
  <c r="L77" i="21"/>
  <c r="I126" i="21"/>
  <c r="I127" i="21" s="1"/>
  <c r="J84" i="21"/>
  <c r="J83" i="21"/>
  <c r="J91" i="21"/>
  <c r="U2613" i="21"/>
  <c r="U2616" i="21"/>
  <c r="T2611" i="21"/>
  <c r="I142" i="21"/>
  <c r="S2001" i="21"/>
  <c r="R1996" i="21"/>
  <c r="S1998" i="21"/>
  <c r="S2265" i="21"/>
  <c r="R2263" i="21"/>
  <c r="S2268" i="21"/>
  <c r="J1191" i="16"/>
  <c r="H756" i="16"/>
  <c r="J1017" i="16"/>
  <c r="J1104" i="16"/>
  <c r="L1278" i="16"/>
  <c r="I843" i="16"/>
  <c r="I930" i="16"/>
  <c r="K1191" i="16"/>
  <c r="G669" i="16"/>
  <c r="J843" i="16"/>
  <c r="L1191" i="16"/>
  <c r="J930" i="16"/>
  <c r="H669" i="16"/>
  <c r="H409" i="16"/>
  <c r="I409" i="16" s="1"/>
  <c r="J409" i="16" s="1"/>
  <c r="J583" i="16"/>
  <c r="K583" i="16" s="1"/>
  <c r="L583" i="16" s="1"/>
  <c r="J582" i="16"/>
  <c r="H408" i="16"/>
  <c r="I408" i="16"/>
  <c r="K582" i="16"/>
  <c r="C62" i="20"/>
  <c r="I844" i="16"/>
  <c r="J844" i="16" s="1"/>
  <c r="K844" i="16" s="1"/>
  <c r="K1192" i="16"/>
  <c r="L1192" i="16" s="1"/>
  <c r="M1192" i="16" s="1"/>
  <c r="G670" i="16"/>
  <c r="H670" i="16" s="1"/>
  <c r="I670" i="16" s="1"/>
  <c r="I931" i="16"/>
  <c r="J931" i="16" s="1"/>
  <c r="K931" i="16" s="1"/>
  <c r="C32" i="16"/>
  <c r="C21" i="20"/>
  <c r="B21" i="20" s="1"/>
  <c r="N2790" i="21" l="1"/>
  <c r="R1649" i="21"/>
  <c r="V3558" i="21"/>
  <c r="U3469" i="21"/>
  <c r="N2786" i="21"/>
  <c r="R1647" i="21"/>
  <c r="R1644" i="21" s="1"/>
  <c r="V3554" i="21"/>
  <c r="R3198" i="21"/>
  <c r="C223" i="22"/>
  <c r="C233" i="22"/>
  <c r="T3380" i="21"/>
  <c r="S3287" i="21"/>
  <c r="G33" i="21"/>
  <c r="F33" i="21" s="1"/>
  <c r="D23" i="22"/>
  <c r="C231" i="22"/>
  <c r="T3378" i="21"/>
  <c r="V3556" i="21"/>
  <c r="U3467" i="21"/>
  <c r="U3465" i="21" s="1"/>
  <c r="H3" i="21"/>
  <c r="H4" i="21" s="1"/>
  <c r="N2866" i="21"/>
  <c r="O2875" i="21" s="1"/>
  <c r="P2876" i="21" s="1"/>
  <c r="Q2877" i="21" s="1"/>
  <c r="O2954" i="21"/>
  <c r="O2955" i="21" s="1"/>
  <c r="P2964" i="21" s="1"/>
  <c r="C46" i="22"/>
  <c r="C232" i="22"/>
  <c r="T3379" i="21"/>
  <c r="S3162" i="21"/>
  <c r="T3163" i="21" s="1"/>
  <c r="U3164" i="21" s="1"/>
  <c r="C217" i="22"/>
  <c r="C230" i="22"/>
  <c r="C229" i="22" s="1"/>
  <c r="D136" i="22"/>
  <c r="C143" i="22"/>
  <c r="D146" i="22"/>
  <c r="C153" i="22"/>
  <c r="D137" i="22"/>
  <c r="C144" i="22"/>
  <c r="K163" i="21"/>
  <c r="L164" i="21" s="1"/>
  <c r="D145" i="22"/>
  <c r="C152" i="22"/>
  <c r="D142" i="22"/>
  <c r="C149" i="22"/>
  <c r="F45" i="22"/>
  <c r="C28" i="22"/>
  <c r="G40" i="21"/>
  <c r="F40" i="21" s="1"/>
  <c r="R3205" i="21" s="1"/>
  <c r="D46" i="22"/>
  <c r="E46" i="22"/>
  <c r="F46" i="22" s="1"/>
  <c r="T2177" i="21"/>
  <c r="T2174" i="21" s="1"/>
  <c r="U2350" i="21"/>
  <c r="S2174" i="21"/>
  <c r="M237" i="21"/>
  <c r="L238" i="21"/>
  <c r="N237" i="21"/>
  <c r="C27" i="22"/>
  <c r="G38" i="21"/>
  <c r="F38" i="21" s="1"/>
  <c r="R1471" i="21"/>
  <c r="R1736" i="21"/>
  <c r="S1736" i="21" s="1"/>
  <c r="S1911" i="21"/>
  <c r="S1909" i="21" s="1"/>
  <c r="S1914" i="21"/>
  <c r="Q1466" i="21"/>
  <c r="R1469" i="21"/>
  <c r="R1466" i="21" s="1"/>
  <c r="M2764" i="21"/>
  <c r="S1734" i="21"/>
  <c r="S1731" i="21" s="1"/>
  <c r="L484" i="21"/>
  <c r="L485" i="21" s="1"/>
  <c r="L490" i="21" s="1"/>
  <c r="N571" i="21"/>
  <c r="L397" i="21"/>
  <c r="J310" i="21"/>
  <c r="J311" i="21" s="1"/>
  <c r="J316" i="21" s="1"/>
  <c r="C22" i="22"/>
  <c r="L237" i="21"/>
  <c r="L269" i="21" s="1"/>
  <c r="M270" i="21" s="1"/>
  <c r="N271" i="21" s="1"/>
  <c r="Q1731" i="21"/>
  <c r="R2085" i="21"/>
  <c r="U2442" i="21"/>
  <c r="V2442" i="21" s="1"/>
  <c r="S2090" i="21"/>
  <c r="S2087" i="21"/>
  <c r="T2088" i="21" s="1"/>
  <c r="T2085" i="21" s="1"/>
  <c r="H59" i="21"/>
  <c r="P597" i="21"/>
  <c r="Q598" i="21" s="1"/>
  <c r="J63" i="21"/>
  <c r="J112" i="21" s="1"/>
  <c r="K63" i="21"/>
  <c r="P598" i="21"/>
  <c r="Q599" i="21" s="1"/>
  <c r="I96" i="21"/>
  <c r="J97" i="21" s="1"/>
  <c r="J103" i="21" s="1"/>
  <c r="K104" i="21" s="1"/>
  <c r="I63" i="21"/>
  <c r="I112" i="21" s="1"/>
  <c r="I14" i="21" s="1"/>
  <c r="T2437" i="21"/>
  <c r="T2524" i="21"/>
  <c r="U2529" i="21"/>
  <c r="V2529" i="21" s="1"/>
  <c r="I145" i="21"/>
  <c r="I3" i="21" s="1"/>
  <c r="N423" i="21"/>
  <c r="M422" i="21"/>
  <c r="N424" i="21"/>
  <c r="O425" i="21" s="1"/>
  <c r="P1210" i="21"/>
  <c r="P1207" i="21"/>
  <c r="Q1208" i="21" s="1"/>
  <c r="P1206" i="21"/>
  <c r="N859" i="21"/>
  <c r="O860" i="21" s="1"/>
  <c r="N862" i="21"/>
  <c r="N858" i="21"/>
  <c r="N946" i="21"/>
  <c r="O947" i="21" s="1"/>
  <c r="N945" i="21"/>
  <c r="N949" i="21"/>
  <c r="L685" i="21"/>
  <c r="M686" i="21" s="1"/>
  <c r="L688" i="21"/>
  <c r="L684" i="21"/>
  <c r="P1026" i="21"/>
  <c r="R1287" i="21"/>
  <c r="P1113" i="21"/>
  <c r="N765" i="21"/>
  <c r="N771" i="21" s="1"/>
  <c r="L337" i="21"/>
  <c r="M338" i="21" s="1"/>
  <c r="L336" i="21"/>
  <c r="K335" i="21"/>
  <c r="N510" i="21"/>
  <c r="N511" i="21"/>
  <c r="O512" i="21" s="1"/>
  <c r="M509" i="21"/>
  <c r="R1113" i="21"/>
  <c r="T1287" i="21"/>
  <c r="R1026" i="21"/>
  <c r="P765" i="21"/>
  <c r="S1822" i="21"/>
  <c r="S1825" i="21"/>
  <c r="R1820" i="21"/>
  <c r="W2703" i="21"/>
  <c r="V2698" i="21"/>
  <c r="W2700" i="21"/>
  <c r="O253" i="21"/>
  <c r="O251" i="21"/>
  <c r="P1384" i="21"/>
  <c r="O1379" i="21"/>
  <c r="P1382" i="21"/>
  <c r="P1379" i="21" s="1"/>
  <c r="V2614" i="21"/>
  <c r="V2611" i="21" s="1"/>
  <c r="V2616" i="21"/>
  <c r="U2611" i="21"/>
  <c r="I143" i="21"/>
  <c r="J151" i="21" s="1"/>
  <c r="I140" i="21"/>
  <c r="I148" i="21" s="1"/>
  <c r="I8" i="21" s="1"/>
  <c r="S1996" i="21"/>
  <c r="T2001" i="21"/>
  <c r="T1999" i="21"/>
  <c r="T1996" i="21" s="1"/>
  <c r="R1560" i="21"/>
  <c r="Q1555" i="21"/>
  <c r="R1558" i="21"/>
  <c r="R1555" i="21" s="1"/>
  <c r="K92" i="21"/>
  <c r="K85" i="21"/>
  <c r="J90" i="21"/>
  <c r="U2437" i="21"/>
  <c r="V2440" i="21"/>
  <c r="V2437" i="21" s="1"/>
  <c r="U2524" i="21"/>
  <c r="V2527" i="21"/>
  <c r="V2524" i="21" s="1"/>
  <c r="T2266" i="21"/>
  <c r="T2263" i="21" s="1"/>
  <c r="T2268" i="21"/>
  <c r="S2263" i="21"/>
  <c r="K84" i="21"/>
  <c r="K88" i="21"/>
  <c r="J82" i="21"/>
  <c r="K91" i="21"/>
  <c r="J171" i="21"/>
  <c r="J170" i="21"/>
  <c r="L387" i="21"/>
  <c r="J756" i="16"/>
  <c r="N1278" i="16"/>
  <c r="L1017" i="16"/>
  <c r="L1104" i="16"/>
  <c r="I757" i="16"/>
  <c r="J757" i="16" s="1"/>
  <c r="K757" i="16" s="1"/>
  <c r="K1018" i="16"/>
  <c r="L1018" i="16" s="1"/>
  <c r="M1018" i="16" s="1"/>
  <c r="K1105" i="16"/>
  <c r="L1105" i="16" s="1"/>
  <c r="M1105" i="16" s="1"/>
  <c r="M1279" i="16"/>
  <c r="N1279" i="16" s="1"/>
  <c r="O1279" i="16" s="1"/>
  <c r="K1104" i="16"/>
  <c r="I756" i="16"/>
  <c r="K1017" i="16"/>
  <c r="M1278" i="16"/>
  <c r="C33" i="16"/>
  <c r="C22" i="20"/>
  <c r="C34" i="16" s="1"/>
  <c r="O2787" i="21" l="1"/>
  <c r="P2788" i="21" s="1"/>
  <c r="O2786" i="21"/>
  <c r="N2785" i="21"/>
  <c r="T3376" i="21"/>
  <c r="G3" i="22"/>
  <c r="C23" i="22"/>
  <c r="G34" i="21"/>
  <c r="F34" i="21" s="1"/>
  <c r="H6" i="21"/>
  <c r="G5" i="22" s="1"/>
  <c r="L166" i="21"/>
  <c r="K217" i="21" s="1"/>
  <c r="K216" i="21" s="1"/>
  <c r="K214" i="21" s="1"/>
  <c r="L258" i="21" s="1"/>
  <c r="O2874" i="21"/>
  <c r="P2875" i="21"/>
  <c r="P2874" i="21" s="1"/>
  <c r="P3043" i="21"/>
  <c r="C47" i="22"/>
  <c r="T3162" i="21"/>
  <c r="T3168" i="21" s="1"/>
  <c r="O2939" i="21"/>
  <c r="O2944" i="21" s="1"/>
  <c r="P3027" i="21"/>
  <c r="R3212" i="21"/>
  <c r="R3209" i="21"/>
  <c r="R3206" i="21"/>
  <c r="R3211" i="21" s="1"/>
  <c r="D149" i="22"/>
  <c r="C156" i="22"/>
  <c r="D156" i="22" s="1"/>
  <c r="D152" i="22"/>
  <c r="C159" i="22"/>
  <c r="D159" i="22" s="1"/>
  <c r="D144" i="22"/>
  <c r="C151" i="22"/>
  <c r="D153" i="22"/>
  <c r="C160" i="22"/>
  <c r="D160" i="22" s="1"/>
  <c r="D143" i="22"/>
  <c r="C150" i="22"/>
  <c r="O2942" i="21"/>
  <c r="O2945" i="21"/>
  <c r="P2952" i="21" s="1"/>
  <c r="P2984" i="21" s="1"/>
  <c r="E47" i="22"/>
  <c r="F47" i="22" s="1"/>
  <c r="D47" i="22"/>
  <c r="P2968" i="21"/>
  <c r="C29" i="22"/>
  <c r="D30" i="22"/>
  <c r="G41" i="21" s="1"/>
  <c r="F41" i="21" s="1"/>
  <c r="S3294" i="21" s="1"/>
  <c r="T2090" i="21"/>
  <c r="P2963" i="21"/>
  <c r="Q2965" i="21"/>
  <c r="R2966" i="21" s="1"/>
  <c r="Q2964" i="21"/>
  <c r="T1914" i="21"/>
  <c r="T1912" i="21"/>
  <c r="T1909" i="21" s="1"/>
  <c r="M269" i="21"/>
  <c r="N269" i="21" s="1"/>
  <c r="N275" i="21" s="1"/>
  <c r="M2761" i="21"/>
  <c r="M2766" i="21" s="1"/>
  <c r="M2767" i="21"/>
  <c r="N2807" i="21" s="1"/>
  <c r="S2085" i="21"/>
  <c r="L488" i="21"/>
  <c r="L491" i="21"/>
  <c r="M499" i="21" s="1"/>
  <c r="N2856" i="21"/>
  <c r="N2850" i="21"/>
  <c r="N2855" i="21" s="1"/>
  <c r="N2853" i="21"/>
  <c r="M832" i="21"/>
  <c r="Q1267" i="21"/>
  <c r="M919" i="21"/>
  <c r="M745" i="21"/>
  <c r="O1093" i="21"/>
  <c r="K658" i="21"/>
  <c r="K659" i="21" s="1"/>
  <c r="K664" i="21" s="1"/>
  <c r="O1006" i="21"/>
  <c r="O1180" i="21"/>
  <c r="L404" i="21"/>
  <c r="L401" i="21"/>
  <c r="L398" i="21"/>
  <c r="L403" i="21" s="1"/>
  <c r="N572" i="21"/>
  <c r="N577" i="21" s="1"/>
  <c r="N575" i="21"/>
  <c r="N578" i="21"/>
  <c r="I117" i="21"/>
  <c r="K113" i="21"/>
  <c r="Q601" i="21"/>
  <c r="R601" i="21" s="1"/>
  <c r="Q1261" i="21" s="1"/>
  <c r="Q1260" i="21" s="1"/>
  <c r="P596" i="21"/>
  <c r="I102" i="21"/>
  <c r="I95" i="21"/>
  <c r="I101" i="21" s="1"/>
  <c r="J113" i="21"/>
  <c r="J108" i="21" s="1"/>
  <c r="I4" i="21"/>
  <c r="H3" i="22"/>
  <c r="O772" i="21"/>
  <c r="P1120" i="21"/>
  <c r="Q1121" i="21" s="1"/>
  <c r="P1123" i="21"/>
  <c r="R1294" i="21"/>
  <c r="S1295" i="21" s="1"/>
  <c r="R1297" i="21"/>
  <c r="P1033" i="21"/>
  <c r="Q1034" i="21" s="1"/>
  <c r="P1036" i="21"/>
  <c r="P1205" i="21"/>
  <c r="Q1206" i="21"/>
  <c r="Q1207" i="21"/>
  <c r="R1208" i="21" s="1"/>
  <c r="N857" i="21"/>
  <c r="O859" i="21"/>
  <c r="P860" i="21" s="1"/>
  <c r="O858" i="21"/>
  <c r="L683" i="21"/>
  <c r="M685" i="21"/>
  <c r="N686" i="21" s="1"/>
  <c r="M684" i="21"/>
  <c r="R1293" i="21"/>
  <c r="O511" i="21"/>
  <c r="N509" i="21"/>
  <c r="O514" i="21"/>
  <c r="P1032" i="21"/>
  <c r="O424" i="21"/>
  <c r="N422" i="21"/>
  <c r="O427" i="21"/>
  <c r="N772" i="21"/>
  <c r="O773" i="21" s="1"/>
  <c r="N775" i="21"/>
  <c r="M340" i="21"/>
  <c r="L335" i="21"/>
  <c r="M337" i="21"/>
  <c r="N944" i="21"/>
  <c r="O946" i="21"/>
  <c r="P947" i="21" s="1"/>
  <c r="O945" i="21"/>
  <c r="P1119" i="21"/>
  <c r="Q596" i="21"/>
  <c r="R599" i="21"/>
  <c r="R596" i="21" s="1"/>
  <c r="T1825" i="21"/>
  <c r="S1820" i="21"/>
  <c r="T1823" i="21"/>
  <c r="T1820" i="21" s="1"/>
  <c r="X2703" i="21"/>
  <c r="W2698" i="21"/>
  <c r="X2701" i="21"/>
  <c r="X2698" i="21" s="1"/>
  <c r="K150" i="21"/>
  <c r="J150" i="21"/>
  <c r="J182" i="21" s="1"/>
  <c r="L150" i="21"/>
  <c r="J183" i="21"/>
  <c r="I146" i="21"/>
  <c r="J317" i="21"/>
  <c r="K325" i="21" s="1"/>
  <c r="J314" i="21"/>
  <c r="L88" i="21"/>
  <c r="L92" i="21"/>
  <c r="K82" i="21"/>
  <c r="L85" i="21"/>
  <c r="N565" i="21"/>
  <c r="N564" i="21" s="1"/>
  <c r="L478" i="21"/>
  <c r="I108" i="21"/>
  <c r="I12" i="21" s="1"/>
  <c r="K179" i="21"/>
  <c r="K172" i="21"/>
  <c r="J206" i="21"/>
  <c r="J197" i="21" s="1"/>
  <c r="J13" i="21" s="1"/>
  <c r="J169" i="21"/>
  <c r="J178" i="21"/>
  <c r="J177" i="21" s="1"/>
  <c r="J208" i="21"/>
  <c r="L93" i="21"/>
  <c r="L86" i="21"/>
  <c r="K112" i="21"/>
  <c r="K90" i="21"/>
  <c r="N561" i="21"/>
  <c r="K233" i="21"/>
  <c r="B22" i="20"/>
  <c r="P2149" i="21" l="1"/>
  <c r="P1795" i="21"/>
  <c r="N1441" i="21"/>
  <c r="O1706" i="21"/>
  <c r="L1354" i="21"/>
  <c r="L1355" i="21" s="1"/>
  <c r="L1360" i="21" s="1"/>
  <c r="P1971" i="21"/>
  <c r="R2325" i="21"/>
  <c r="P2060" i="21"/>
  <c r="T2673" i="21"/>
  <c r="N1619" i="21"/>
  <c r="P2238" i="21"/>
  <c r="R2412" i="21"/>
  <c r="P1884" i="21"/>
  <c r="N1530" i="21"/>
  <c r="R2586" i="21"/>
  <c r="R2499" i="21"/>
  <c r="P2787" i="21"/>
  <c r="P2790" i="21"/>
  <c r="O2785" i="21"/>
  <c r="K232" i="21"/>
  <c r="K235" i="21"/>
  <c r="Q2879" i="21"/>
  <c r="Q2876" i="21"/>
  <c r="R2877" i="21" s="1"/>
  <c r="R2874" i="21" s="1"/>
  <c r="L257" i="21"/>
  <c r="C48" i="22"/>
  <c r="Q3132" i="21"/>
  <c r="Q3057" i="21"/>
  <c r="P3044" i="21"/>
  <c r="Q3053" i="21" s="1"/>
  <c r="I6" i="21"/>
  <c r="H5" i="22" s="1"/>
  <c r="S3219" i="21"/>
  <c r="S3251" i="21" s="1"/>
  <c r="T3219" i="21"/>
  <c r="U3219" i="21"/>
  <c r="S3220" i="21"/>
  <c r="S3252" i="21"/>
  <c r="T3253" i="21" s="1"/>
  <c r="P3034" i="21"/>
  <c r="P3031" i="21"/>
  <c r="P3028" i="21"/>
  <c r="P3033" i="21" s="1"/>
  <c r="S3301" i="21"/>
  <c r="S3298" i="21"/>
  <c r="S3295" i="21"/>
  <c r="S3300" i="21" s="1"/>
  <c r="D151" i="22"/>
  <c r="C158" i="22"/>
  <c r="D158" i="22" s="1"/>
  <c r="D150" i="22"/>
  <c r="C157" i="22"/>
  <c r="D157" i="22" s="1"/>
  <c r="P2953" i="21"/>
  <c r="R2952" i="21"/>
  <c r="Q2952" i="21"/>
  <c r="Q2984" i="21" s="1"/>
  <c r="P2985" i="21"/>
  <c r="Q2986" i="21" s="1"/>
  <c r="N270" i="21"/>
  <c r="O271" i="21" s="1"/>
  <c r="C30" i="22"/>
  <c r="D31" i="22"/>
  <c r="G42" i="21" s="1"/>
  <c r="F42" i="21" s="1"/>
  <c r="T3383" i="21" s="1"/>
  <c r="R2965" i="21"/>
  <c r="R2968" i="21"/>
  <c r="Q2963" i="21"/>
  <c r="Q2985" i="21"/>
  <c r="N2775" i="21"/>
  <c r="P2774" i="21"/>
  <c r="N2774" i="21"/>
  <c r="N2806" i="21" s="1"/>
  <c r="O2774" i="21"/>
  <c r="O498" i="21"/>
  <c r="M531" i="21"/>
  <c r="N498" i="21"/>
  <c r="M498" i="21"/>
  <c r="M530" i="21" s="1"/>
  <c r="N531" i="21" s="1"/>
  <c r="O2896" i="21"/>
  <c r="O2863" i="21"/>
  <c r="O2895" i="21" s="1"/>
  <c r="O2864" i="21"/>
  <c r="P2863" i="21"/>
  <c r="Q2863" i="21"/>
  <c r="O1100" i="21"/>
  <c r="O1097" i="21"/>
  <c r="O1094" i="21"/>
  <c r="O1099" i="21" s="1"/>
  <c r="M920" i="21"/>
  <c r="M925" i="21" s="1"/>
  <c r="M926" i="21"/>
  <c r="M923" i="21"/>
  <c r="M749" i="21"/>
  <c r="M752" i="21"/>
  <c r="M746" i="21"/>
  <c r="M751" i="21" s="1"/>
  <c r="O586" i="21"/>
  <c r="Q585" i="21"/>
  <c r="O585" i="21"/>
  <c r="O617" i="21" s="1"/>
  <c r="P585" i="21"/>
  <c r="O618" i="21"/>
  <c r="P619" i="21" s="1"/>
  <c r="Q1274" i="21"/>
  <c r="Q1271" i="21"/>
  <c r="Q1268" i="21"/>
  <c r="Q1273" i="21" s="1"/>
  <c r="M412" i="21"/>
  <c r="O411" i="21"/>
  <c r="N411" i="21"/>
  <c r="M444" i="21"/>
  <c r="N445" i="21" s="1"/>
  <c r="M411" i="21"/>
  <c r="M443" i="21" s="1"/>
  <c r="O1181" i="21"/>
  <c r="O1186" i="21" s="1"/>
  <c r="O1187" i="21"/>
  <c r="O1184" i="21"/>
  <c r="O1010" i="21"/>
  <c r="O1007" i="21"/>
  <c r="O1012" i="21" s="1"/>
  <c r="O1013" i="21"/>
  <c r="M833" i="21"/>
  <c r="M838" i="21" s="1"/>
  <c r="M839" i="21"/>
  <c r="M836" i="21"/>
  <c r="I100" i="21"/>
  <c r="O2808" i="21"/>
  <c r="J96" i="21"/>
  <c r="K97" i="21" s="1"/>
  <c r="K103" i="21" s="1"/>
  <c r="L104" i="21" s="1"/>
  <c r="J95" i="21"/>
  <c r="J101" i="21" s="1"/>
  <c r="P1031" i="21"/>
  <c r="Q1033" i="21"/>
  <c r="R1034" i="21" s="1"/>
  <c r="Q1032" i="21"/>
  <c r="P514" i="21"/>
  <c r="O1087" i="21" s="1"/>
  <c r="O1086" i="21" s="1"/>
  <c r="O509" i="21"/>
  <c r="P512" i="21"/>
  <c r="P509" i="21" s="1"/>
  <c r="P1118" i="21"/>
  <c r="Q1119" i="21"/>
  <c r="Q1120" i="21"/>
  <c r="R1121" i="21" s="1"/>
  <c r="N340" i="21"/>
  <c r="M335" i="21"/>
  <c r="N338" i="21"/>
  <c r="N335" i="21" s="1"/>
  <c r="R1292" i="21"/>
  <c r="S1293" i="21"/>
  <c r="S1294" i="21"/>
  <c r="T1295" i="21" s="1"/>
  <c r="P427" i="21"/>
  <c r="O1000" i="21" s="1"/>
  <c r="O999" i="21" s="1"/>
  <c r="O422" i="21"/>
  <c r="P425" i="21"/>
  <c r="P422" i="21" s="1"/>
  <c r="N688" i="21"/>
  <c r="M683" i="21"/>
  <c r="N685" i="21"/>
  <c r="O944" i="21"/>
  <c r="P946" i="21"/>
  <c r="P949" i="21"/>
  <c r="O857" i="21"/>
  <c r="P859" i="21"/>
  <c r="P862" i="21"/>
  <c r="P773" i="21"/>
  <c r="O771" i="21"/>
  <c r="Q1205" i="21"/>
  <c r="R1210" i="21"/>
  <c r="R1207" i="21"/>
  <c r="N770" i="21"/>
  <c r="N562" i="21"/>
  <c r="Q1257" i="21" s="1"/>
  <c r="Q1258" i="21" s="1"/>
  <c r="K183" i="21"/>
  <c r="J188" i="21"/>
  <c r="K182" i="21"/>
  <c r="K178" i="21"/>
  <c r="K171" i="21"/>
  <c r="K170" i="21"/>
  <c r="J199" i="21"/>
  <c r="J14" i="21" s="1"/>
  <c r="M88" i="21"/>
  <c r="M86" i="21"/>
  <c r="L173" i="21"/>
  <c r="L180" i="21"/>
  <c r="K665" i="21"/>
  <c r="L673" i="21" s="1"/>
  <c r="K662" i="21"/>
  <c r="K200" i="21"/>
  <c r="K357" i="21"/>
  <c r="M324" i="21"/>
  <c r="L324" i="21"/>
  <c r="K324" i="21"/>
  <c r="K356" i="21" s="1"/>
  <c r="J204" i="21"/>
  <c r="J300" i="21"/>
  <c r="J301" i="21" s="1"/>
  <c r="K184" i="21"/>
  <c r="K190" i="21" s="1"/>
  <c r="L191" i="21" s="1"/>
  <c r="J189" i="21"/>
  <c r="M266" i="21"/>
  <c r="L287" i="21" s="1"/>
  <c r="M259" i="21"/>
  <c r="L276" i="21"/>
  <c r="L113" i="21"/>
  <c r="L90" i="21"/>
  <c r="K295" i="21"/>
  <c r="L256" i="21"/>
  <c r="K293" i="21"/>
  <c r="K284" i="21" s="1"/>
  <c r="L265" i="21"/>
  <c r="L264" i="21" s="1"/>
  <c r="L275" i="21"/>
  <c r="K108" i="21"/>
  <c r="N532" i="21"/>
  <c r="Q2790" i="21" l="1"/>
  <c r="R2413" i="21"/>
  <c r="R2418" i="21" s="1"/>
  <c r="R2416" i="21"/>
  <c r="R2419" i="21"/>
  <c r="R2329" i="21"/>
  <c r="R2332" i="21"/>
  <c r="R2326" i="21"/>
  <c r="R2331" i="21" s="1"/>
  <c r="P1972" i="21"/>
  <c r="P1977" i="21" s="1"/>
  <c r="P1978" i="21"/>
  <c r="P1975" i="21"/>
  <c r="Q2874" i="21"/>
  <c r="Q2788" i="21"/>
  <c r="Q2785" i="21" s="1"/>
  <c r="P2785" i="21"/>
  <c r="N1620" i="21"/>
  <c r="N1625" i="21" s="1"/>
  <c r="N1623" i="21"/>
  <c r="N1626" i="21"/>
  <c r="R2506" i="21"/>
  <c r="R2500" i="21"/>
  <c r="R2505" i="21" s="1"/>
  <c r="R2503" i="21"/>
  <c r="O1710" i="21"/>
  <c r="O1707" i="21"/>
  <c r="O1712" i="21" s="1"/>
  <c r="O1713" i="21"/>
  <c r="P2061" i="21"/>
  <c r="P2066" i="21" s="1"/>
  <c r="P2067" i="21"/>
  <c r="P2064" i="21"/>
  <c r="R2587" i="21"/>
  <c r="R2592" i="21" s="1"/>
  <c r="R2590" i="21"/>
  <c r="R2593" i="21"/>
  <c r="N1442" i="21"/>
  <c r="N1447" i="21" s="1"/>
  <c r="N1448" i="21"/>
  <c r="N1445" i="21"/>
  <c r="T2677" i="21"/>
  <c r="T2674" i="21"/>
  <c r="T2679" i="21" s="1"/>
  <c r="T2680" i="21"/>
  <c r="N1531" i="21"/>
  <c r="N1536" i="21" s="1"/>
  <c r="N1534" i="21"/>
  <c r="N1537" i="21"/>
  <c r="P1802" i="21"/>
  <c r="P1796" i="21"/>
  <c r="P1801" i="21" s="1"/>
  <c r="P1799" i="21"/>
  <c r="P2239" i="21"/>
  <c r="P2244" i="21" s="1"/>
  <c r="P2245" i="21"/>
  <c r="P2242" i="21"/>
  <c r="P1888" i="21"/>
  <c r="P1885" i="21"/>
  <c r="P1890" i="21" s="1"/>
  <c r="P1891" i="21"/>
  <c r="P2150" i="21"/>
  <c r="P2155" i="21" s="1"/>
  <c r="P2156" i="21"/>
  <c r="P2153" i="21"/>
  <c r="R2879" i="21"/>
  <c r="D48" i="22"/>
  <c r="R3054" i="21"/>
  <c r="S3055" i="21" s="1"/>
  <c r="R3053" i="21"/>
  <c r="Q3052" i="21"/>
  <c r="Q3133" i="21"/>
  <c r="R3142" i="21" s="1"/>
  <c r="R3146" i="21"/>
  <c r="C49" i="22"/>
  <c r="R3221" i="21"/>
  <c r="E48" i="22"/>
  <c r="F48" i="22" s="1"/>
  <c r="I115" i="21"/>
  <c r="T3341" i="21"/>
  <c r="U3342" i="21" s="1"/>
  <c r="T3309" i="21"/>
  <c r="T3308" i="21"/>
  <c r="T3340" i="21" s="1"/>
  <c r="U3308" i="21"/>
  <c r="V3308" i="21"/>
  <c r="Q3041" i="21"/>
  <c r="Q3073" i="21" s="1"/>
  <c r="Q3042" i="21"/>
  <c r="R3041" i="21"/>
  <c r="Q3074" i="21"/>
  <c r="R3075" i="21" s="1"/>
  <c r="S3041" i="21"/>
  <c r="T3390" i="21"/>
  <c r="T3387" i="21"/>
  <c r="T3384" i="21"/>
  <c r="T3389" i="21" s="1"/>
  <c r="T3252" i="21"/>
  <c r="U3253" i="21" s="1"/>
  <c r="T3251" i="21"/>
  <c r="C31" i="22"/>
  <c r="D32" i="22"/>
  <c r="G43" i="21" s="1"/>
  <c r="F43" i="21" s="1"/>
  <c r="N530" i="21"/>
  <c r="O531" i="21" s="1"/>
  <c r="S2968" i="21"/>
  <c r="R2963" i="21"/>
  <c r="S2966" i="21"/>
  <c r="S2963" i="21" s="1"/>
  <c r="R2986" i="21"/>
  <c r="R2984" i="21"/>
  <c r="R2990" i="21" s="1"/>
  <c r="R2985" i="21"/>
  <c r="P2897" i="21"/>
  <c r="P2896" i="21"/>
  <c r="P2895" i="21"/>
  <c r="P1195" i="21"/>
  <c r="P1227" i="21"/>
  <c r="Q1228" i="21" s="1"/>
  <c r="R1194" i="21"/>
  <c r="Q1194" i="21"/>
  <c r="P1194" i="21"/>
  <c r="P1226" i="21" s="1"/>
  <c r="N934" i="21"/>
  <c r="O933" i="21"/>
  <c r="N966" i="21"/>
  <c r="O967" i="21" s="1"/>
  <c r="P933" i="21"/>
  <c r="N933" i="21"/>
  <c r="N965" i="21" s="1"/>
  <c r="P1021" i="21"/>
  <c r="P1020" i="21"/>
  <c r="P1052" i="21" s="1"/>
  <c r="Q1053" i="21" s="1"/>
  <c r="R1054" i="21" s="1"/>
  <c r="R1020" i="21"/>
  <c r="Q1020" i="21"/>
  <c r="P1053" i="21"/>
  <c r="Q1054" i="21" s="1"/>
  <c r="R1282" i="21"/>
  <c r="T1281" i="21"/>
  <c r="S1281" i="21"/>
  <c r="R1281" i="21"/>
  <c r="R1313" i="21" s="1"/>
  <c r="R1314" i="21"/>
  <c r="S1315" i="21" s="1"/>
  <c r="P617" i="21"/>
  <c r="P618" i="21"/>
  <c r="Q619" i="21" s="1"/>
  <c r="N444" i="21"/>
  <c r="O445" i="21" s="1"/>
  <c r="N443" i="21"/>
  <c r="N760" i="21"/>
  <c r="N759" i="21"/>
  <c r="N791" i="21" s="1"/>
  <c r="N792" i="21"/>
  <c r="O793" i="21" s="1"/>
  <c r="P759" i="21"/>
  <c r="O759" i="21"/>
  <c r="N847" i="21"/>
  <c r="N879" i="21"/>
  <c r="O880" i="21" s="1"/>
  <c r="P846" i="21"/>
  <c r="O846" i="21"/>
  <c r="N846" i="21"/>
  <c r="N878" i="21" s="1"/>
  <c r="P1108" i="21"/>
  <c r="Q1107" i="21"/>
  <c r="P1140" i="21"/>
  <c r="Q1141" i="21" s="1"/>
  <c r="R1107" i="21"/>
  <c r="P1107" i="21"/>
  <c r="P1139" i="21" s="1"/>
  <c r="O2807" i="21"/>
  <c r="O2806" i="21"/>
  <c r="K95" i="21"/>
  <c r="K101" i="21" s="1"/>
  <c r="K96" i="21"/>
  <c r="L97" i="21" s="1"/>
  <c r="L103" i="21" s="1"/>
  <c r="J102" i="21"/>
  <c r="J100" i="21" s="1"/>
  <c r="H15" i="21"/>
  <c r="G7" i="22"/>
  <c r="N583" i="21"/>
  <c r="M739" i="21"/>
  <c r="M738" i="21" s="1"/>
  <c r="L391" i="21"/>
  <c r="L390" i="21" s="1"/>
  <c r="L388" i="21" s="1"/>
  <c r="O688" i="21"/>
  <c r="O1700" i="21" s="1"/>
  <c r="O1699" i="21" s="1"/>
  <c r="N683" i="21"/>
  <c r="O686" i="21"/>
  <c r="O683" i="21" s="1"/>
  <c r="S1208" i="21"/>
  <c r="S1205" i="21" s="1"/>
  <c r="R1205" i="21"/>
  <c r="S1210" i="21"/>
  <c r="R2493" i="21" s="1"/>
  <c r="R2492" i="21" s="1"/>
  <c r="R1120" i="21"/>
  <c r="R1123" i="21"/>
  <c r="Q1118" i="21"/>
  <c r="P944" i="21"/>
  <c r="Q949" i="21"/>
  <c r="Q947" i="21"/>
  <c r="Q944" i="21" s="1"/>
  <c r="N580" i="21"/>
  <c r="N581" i="21"/>
  <c r="O770" i="21"/>
  <c r="P775" i="21"/>
  <c r="P772" i="21"/>
  <c r="R1036" i="21"/>
  <c r="Q1031" i="21"/>
  <c r="R1033" i="21"/>
  <c r="Q860" i="21"/>
  <c r="Q857" i="21" s="1"/>
  <c r="P857" i="21"/>
  <c r="Q862" i="21"/>
  <c r="P1878" i="21" s="1"/>
  <c r="P1877" i="21" s="1"/>
  <c r="S1292" i="21"/>
  <c r="T1297" i="21"/>
  <c r="T1294" i="21"/>
  <c r="O605" i="21"/>
  <c r="O613" i="21" s="1"/>
  <c r="O612" i="21" s="1"/>
  <c r="O606" i="21"/>
  <c r="P607" i="21" s="1"/>
  <c r="L357" i="21"/>
  <c r="L356" i="21"/>
  <c r="T2663" i="21"/>
  <c r="R1301" i="21"/>
  <c r="R1302" i="21"/>
  <c r="Q1279" i="21"/>
  <c r="Q1277" i="21"/>
  <c r="Q1276" i="21"/>
  <c r="L178" i="21"/>
  <c r="L171" i="21"/>
  <c r="K169" i="21"/>
  <c r="L175" i="21"/>
  <c r="N672" i="21"/>
  <c r="M672" i="21"/>
  <c r="L672" i="21"/>
  <c r="L704" i="21" s="1"/>
  <c r="L705" i="21"/>
  <c r="M735" i="21"/>
  <c r="K345" i="21"/>
  <c r="K363" i="21" s="1"/>
  <c r="K344" i="21"/>
  <c r="K362" i="21" s="1"/>
  <c r="J319" i="21"/>
  <c r="L108" i="21"/>
  <c r="J195" i="21"/>
  <c r="J12" i="21" s="1"/>
  <c r="L179" i="21"/>
  <c r="L200" i="21" s="1"/>
  <c r="L172" i="21"/>
  <c r="L183" i="21"/>
  <c r="K188" i="21"/>
  <c r="L182" i="21"/>
  <c r="L188" i="21" s="1"/>
  <c r="L274" i="21"/>
  <c r="L474" i="21"/>
  <c r="L475" i="21" s="1"/>
  <c r="K291" i="21"/>
  <c r="K177" i="21"/>
  <c r="K199" i="21"/>
  <c r="J187" i="21"/>
  <c r="L358" i="21"/>
  <c r="J320" i="21"/>
  <c r="K189" i="21"/>
  <c r="L184" i="21"/>
  <c r="H18" i="21"/>
  <c r="H20" i="21" s="1"/>
  <c r="H22" i="21"/>
  <c r="H16" i="21"/>
  <c r="J322" i="21"/>
  <c r="J8" i="21" s="1"/>
  <c r="M258" i="21"/>
  <c r="M257" i="21"/>
  <c r="K286" i="21"/>
  <c r="M265" i="21"/>
  <c r="N267" i="21"/>
  <c r="N260" i="21"/>
  <c r="M277" i="21"/>
  <c r="N278" i="21" s="1"/>
  <c r="L1361" i="21"/>
  <c r="M1369" i="21" s="1"/>
  <c r="L1358" i="21"/>
  <c r="O532" i="21"/>
  <c r="Q2164" i="21" l="1"/>
  <c r="S2163" i="21"/>
  <c r="Q2196" i="21"/>
  <c r="R2197" i="21" s="1"/>
  <c r="Q2163" i="21"/>
  <c r="Q2195" i="21" s="1"/>
  <c r="R2163" i="21"/>
  <c r="Q1898" i="21"/>
  <c r="Q1930" i="21" s="1"/>
  <c r="Q1899" i="21"/>
  <c r="S1898" i="21"/>
  <c r="R1898" i="21"/>
  <c r="Q1931" i="21"/>
  <c r="R1932" i="21" s="1"/>
  <c r="W2687" i="21"/>
  <c r="V2687" i="21"/>
  <c r="U2720" i="21"/>
  <c r="V2721" i="21" s="1"/>
  <c r="U2687" i="21"/>
  <c r="U2719" i="21" s="1"/>
  <c r="U2688" i="21"/>
  <c r="R1720" i="21"/>
  <c r="Q1720" i="21"/>
  <c r="P1720" i="21"/>
  <c r="P1752" i="21" s="1"/>
  <c r="P1753" i="21"/>
  <c r="Q1754" i="21" s="1"/>
  <c r="P1721" i="21"/>
  <c r="Q1986" i="21"/>
  <c r="Q1985" i="21"/>
  <c r="Q2017" i="21" s="1"/>
  <c r="S1985" i="21"/>
  <c r="Q2018" i="21"/>
  <c r="R2019" i="21" s="1"/>
  <c r="R1985" i="21"/>
  <c r="O1545" i="21"/>
  <c r="O1577" i="21"/>
  <c r="P1578" i="21" s="1"/>
  <c r="P1544" i="21"/>
  <c r="O1544" i="21"/>
  <c r="O1576" i="21" s="1"/>
  <c r="Q1544" i="21"/>
  <c r="Q2253" i="21"/>
  <c r="R2252" i="21"/>
  <c r="S2252" i="21"/>
  <c r="Q2252" i="21"/>
  <c r="Q2284" i="21" s="1"/>
  <c r="Q2285" i="21"/>
  <c r="R2286" i="21" s="1"/>
  <c r="O1456" i="21"/>
  <c r="O1455" i="21"/>
  <c r="O1487" i="21" s="1"/>
  <c r="O1488" i="21"/>
  <c r="P1489" i="21" s="1"/>
  <c r="Q1455" i="21"/>
  <c r="P1455" i="21"/>
  <c r="T2339" i="21"/>
  <c r="S2340" i="21"/>
  <c r="S2339" i="21"/>
  <c r="S2371" i="21" s="1"/>
  <c r="U2339" i="21"/>
  <c r="S2372" i="21"/>
  <c r="T2373" i="21" s="1"/>
  <c r="S2546" i="21"/>
  <c r="T2547" i="21" s="1"/>
  <c r="T2513" i="21"/>
  <c r="S2514" i="21"/>
  <c r="S2513" i="21"/>
  <c r="S2545" i="21" s="1"/>
  <c r="U2513" i="21"/>
  <c r="Q2075" i="21"/>
  <c r="Q2107" i="21"/>
  <c r="R2108" i="21" s="1"/>
  <c r="S2074" i="21"/>
  <c r="Q2074" i="21"/>
  <c r="Q2106" i="21" s="1"/>
  <c r="R2074" i="21"/>
  <c r="S2601" i="21"/>
  <c r="U2600" i="21"/>
  <c r="S2600" i="21"/>
  <c r="S2632" i="21" s="1"/>
  <c r="S2633" i="21"/>
  <c r="T2634" i="21" s="1"/>
  <c r="T2600" i="21"/>
  <c r="O1634" i="21"/>
  <c r="Q1633" i="21"/>
  <c r="O1666" i="21"/>
  <c r="P1667" i="21" s="1"/>
  <c r="P1633" i="21"/>
  <c r="O1633" i="21"/>
  <c r="O1665" i="21" s="1"/>
  <c r="T2426" i="21"/>
  <c r="S2426" i="21"/>
  <c r="S2458" i="21" s="1"/>
  <c r="S2427" i="21"/>
  <c r="S2459" i="21"/>
  <c r="T2460" i="21" s="1"/>
  <c r="U2426" i="21"/>
  <c r="S1809" i="21"/>
  <c r="Q1842" i="21"/>
  <c r="R1843" i="21" s="1"/>
  <c r="Q1809" i="21"/>
  <c r="Q1841" i="21" s="1"/>
  <c r="R1809" i="21"/>
  <c r="Q1810" i="21"/>
  <c r="S3235" i="21"/>
  <c r="R3222" i="21"/>
  <c r="S3231" i="21" s="1"/>
  <c r="S3310" i="21"/>
  <c r="C50" i="22"/>
  <c r="E49" i="22"/>
  <c r="F49" i="22" s="1"/>
  <c r="S3143" i="21"/>
  <c r="T3144" i="21" s="1"/>
  <c r="R3141" i="21"/>
  <c r="S3142" i="21"/>
  <c r="D49" i="22"/>
  <c r="S3054" i="21"/>
  <c r="S3057" i="21"/>
  <c r="R3052" i="21"/>
  <c r="J6" i="21"/>
  <c r="I5" i="22" s="1"/>
  <c r="J3" i="21"/>
  <c r="I3" i="22" s="1"/>
  <c r="H24" i="21"/>
  <c r="G9" i="22" s="1"/>
  <c r="R3073" i="21"/>
  <c r="R3074" i="21"/>
  <c r="S3075" i="21" s="1"/>
  <c r="U3472" i="21"/>
  <c r="V3561" i="21"/>
  <c r="U3398" i="21"/>
  <c r="V3397" i="21"/>
  <c r="U3430" i="21"/>
  <c r="V3431" i="21" s="1"/>
  <c r="U3397" i="21"/>
  <c r="U3429" i="21" s="1"/>
  <c r="W3397" i="21"/>
  <c r="U3251" i="21"/>
  <c r="U3257" i="21" s="1"/>
  <c r="U3252" i="21"/>
  <c r="V3253" i="21" s="1"/>
  <c r="U3341" i="21"/>
  <c r="V3342" i="21" s="1"/>
  <c r="U3340" i="21"/>
  <c r="O530" i="21"/>
  <c r="O536" i="21" s="1"/>
  <c r="C32" i="22"/>
  <c r="D33" i="22"/>
  <c r="S2986" i="21"/>
  <c r="Q1052" i="21"/>
  <c r="R1052" i="21" s="1"/>
  <c r="R1058" i="21" s="1"/>
  <c r="Q2896" i="21"/>
  <c r="Q2895" i="21"/>
  <c r="Q2901" i="21" s="1"/>
  <c r="Q2897" i="21"/>
  <c r="Q1227" i="21"/>
  <c r="R1228" i="21" s="1"/>
  <c r="Q1226" i="21"/>
  <c r="Q1139" i="21"/>
  <c r="Q1140" i="21"/>
  <c r="R1141" i="21" s="1"/>
  <c r="O791" i="21"/>
  <c r="O792" i="21"/>
  <c r="P793" i="21" s="1"/>
  <c r="O878" i="21"/>
  <c r="O879" i="21"/>
  <c r="P880" i="21" s="1"/>
  <c r="O966" i="21"/>
  <c r="P967" i="21" s="1"/>
  <c r="O965" i="21"/>
  <c r="Q618" i="21"/>
  <c r="R619" i="21" s="1"/>
  <c r="Q617" i="21"/>
  <c r="Q623" i="21" s="1"/>
  <c r="S1314" i="21"/>
  <c r="T1315" i="21" s="1"/>
  <c r="S1313" i="21"/>
  <c r="O444" i="21"/>
  <c r="P445" i="21" s="1"/>
  <c r="O443" i="21"/>
  <c r="O449" i="21" s="1"/>
  <c r="P2807" i="21"/>
  <c r="P2806" i="21"/>
  <c r="P2812" i="21" s="1"/>
  <c r="K102" i="21"/>
  <c r="K100" i="21" s="1"/>
  <c r="P2808" i="21"/>
  <c r="M736" i="21"/>
  <c r="M754" i="21" s="1"/>
  <c r="O623" i="21"/>
  <c r="O641" i="21"/>
  <c r="O632" i="21" s="1"/>
  <c r="O604" i="21"/>
  <c r="O624" i="21"/>
  <c r="P614" i="21"/>
  <c r="P635" i="21" s="1"/>
  <c r="S1036" i="21"/>
  <c r="R2319" i="21" s="1"/>
  <c r="R2318" i="21" s="1"/>
  <c r="R1031" i="21"/>
  <c r="S1034" i="21"/>
  <c r="S1031" i="21" s="1"/>
  <c r="S1121" i="21"/>
  <c r="S1118" i="21" s="1"/>
  <c r="R1118" i="21"/>
  <c r="S1123" i="21"/>
  <c r="R2406" i="21" s="1"/>
  <c r="R2405" i="21" s="1"/>
  <c r="O643" i="21"/>
  <c r="P613" i="21" s="1"/>
  <c r="Q773" i="21"/>
  <c r="Q770" i="21" s="1"/>
  <c r="P770" i="21"/>
  <c r="Q775" i="21"/>
  <c r="P1789" i="21" s="1"/>
  <c r="P1788" i="21" s="1"/>
  <c r="T1292" i="21"/>
  <c r="U1297" i="21"/>
  <c r="T2667" i="21" s="1"/>
  <c r="T2666" i="21" s="1"/>
  <c r="T2664" i="21" s="1"/>
  <c r="U1295" i="21"/>
  <c r="U1292" i="21" s="1"/>
  <c r="O996" i="21"/>
  <c r="O997" i="21" s="1"/>
  <c r="M432" i="21"/>
  <c r="M431" i="21"/>
  <c r="L406" i="21"/>
  <c r="L409" i="21"/>
  <c r="L407" i="21"/>
  <c r="P1965" i="21"/>
  <c r="P2054" i="21"/>
  <c r="P2053" i="21" s="1"/>
  <c r="K361" i="21"/>
  <c r="K187" i="21"/>
  <c r="M705" i="21"/>
  <c r="M704" i="21"/>
  <c r="M264" i="21"/>
  <c r="L286" i="21"/>
  <c r="L282" i="21" s="1"/>
  <c r="L346" i="21"/>
  <c r="L364" i="21" s="1"/>
  <c r="M365" i="21" s="1"/>
  <c r="L353" i="21"/>
  <c r="L374" i="21" s="1"/>
  <c r="L190" i="21"/>
  <c r="M191" i="21" s="1"/>
  <c r="N266" i="21"/>
  <c r="M287" i="21" s="1"/>
  <c r="N259" i="21"/>
  <c r="M276" i="21"/>
  <c r="M184" i="21"/>
  <c r="L189" i="21"/>
  <c r="M180" i="21"/>
  <c r="M173" i="21"/>
  <c r="N258" i="21"/>
  <c r="N262" i="21"/>
  <c r="M256" i="21"/>
  <c r="N265" i="21"/>
  <c r="M275" i="21"/>
  <c r="M104" i="21"/>
  <c r="H106" i="21" s="1"/>
  <c r="H9" i="21" s="1"/>
  <c r="L100" i="21"/>
  <c r="K195" i="21"/>
  <c r="M706" i="21"/>
  <c r="O1368" i="21"/>
  <c r="M1401" i="21"/>
  <c r="M1368" i="21"/>
  <c r="M1400" i="21" s="1"/>
  <c r="N1368" i="21"/>
  <c r="M357" i="21"/>
  <c r="M356" i="21"/>
  <c r="M362" i="21" s="1"/>
  <c r="K282" i="21"/>
  <c r="O1083" i="21"/>
  <c r="O1084" i="21" s="1"/>
  <c r="M519" i="21"/>
  <c r="M518" i="21"/>
  <c r="L493" i="21"/>
  <c r="L496" i="21"/>
  <c r="L494" i="21"/>
  <c r="Q615" i="21"/>
  <c r="Q608" i="21"/>
  <c r="P625" i="21"/>
  <c r="Q626" i="21" s="1"/>
  <c r="S1310" i="21"/>
  <c r="S1331" i="21" s="1"/>
  <c r="S1303" i="21"/>
  <c r="R1320" i="21"/>
  <c r="R1337" i="21"/>
  <c r="R1328" i="21" s="1"/>
  <c r="R1339" i="21"/>
  <c r="R1300" i="21"/>
  <c r="R1309" i="21"/>
  <c r="R1308" i="21" s="1"/>
  <c r="R1319" i="21"/>
  <c r="M358" i="21"/>
  <c r="H7" i="22"/>
  <c r="P532" i="21"/>
  <c r="L169" i="21"/>
  <c r="M172" i="21"/>
  <c r="M179" i="21"/>
  <c r="M175" i="21"/>
  <c r="I122" i="21"/>
  <c r="I123" i="21" s="1"/>
  <c r="K380" i="21"/>
  <c r="K371" i="21" s="1"/>
  <c r="K13" i="21" s="1"/>
  <c r="K352" i="21"/>
  <c r="K351" i="21" s="1"/>
  <c r="K382" i="21"/>
  <c r="K343" i="21"/>
  <c r="L177" i="21"/>
  <c r="L199" i="21"/>
  <c r="T2633" i="21" l="1"/>
  <c r="U2634" i="21" s="1"/>
  <c r="T2632" i="21"/>
  <c r="R2285" i="21"/>
  <c r="S2286" i="21" s="1"/>
  <c r="R2284" i="21"/>
  <c r="T2459" i="21"/>
  <c r="U2460" i="21" s="1"/>
  <c r="T2458" i="21"/>
  <c r="T2371" i="21"/>
  <c r="T2372" i="21"/>
  <c r="U2373" i="21" s="1"/>
  <c r="R2106" i="21"/>
  <c r="R2107" i="21"/>
  <c r="S2108" i="21" s="1"/>
  <c r="Q1752" i="21"/>
  <c r="Q1753" i="21"/>
  <c r="R1754" i="21" s="1"/>
  <c r="R1930" i="21"/>
  <c r="R1931" i="21"/>
  <c r="S1932" i="21" s="1"/>
  <c r="P1666" i="21"/>
  <c r="Q1667" i="21" s="1"/>
  <c r="P1665" i="21"/>
  <c r="P1577" i="21"/>
  <c r="Q1578" i="21" s="1"/>
  <c r="P1576" i="21"/>
  <c r="R2196" i="21"/>
  <c r="S2197" i="21" s="1"/>
  <c r="R2195" i="21"/>
  <c r="R2018" i="21"/>
  <c r="S2019" i="21" s="1"/>
  <c r="R2017" i="21"/>
  <c r="V2719" i="21"/>
  <c r="V2720" i="21"/>
  <c r="W2721" i="21" s="1"/>
  <c r="R1841" i="21"/>
  <c r="R1842" i="21"/>
  <c r="S1843" i="21" s="1"/>
  <c r="T2546" i="21"/>
  <c r="U2547" i="21" s="1"/>
  <c r="T2545" i="21"/>
  <c r="P1488" i="21"/>
  <c r="Q1489" i="21" s="1"/>
  <c r="P1487" i="21"/>
  <c r="T3057" i="21"/>
  <c r="T3055" i="21"/>
  <c r="T3052" i="21" s="1"/>
  <c r="S3052" i="21"/>
  <c r="T3143" i="21"/>
  <c r="T3146" i="21"/>
  <c r="S3141" i="21"/>
  <c r="C51" i="22"/>
  <c r="T3399" i="21"/>
  <c r="E50" i="22"/>
  <c r="F50" i="22" s="1"/>
  <c r="D50" i="22"/>
  <c r="T3324" i="21"/>
  <c r="S3311" i="21"/>
  <c r="T3320" i="21" s="1"/>
  <c r="S3230" i="21"/>
  <c r="T3231" i="21"/>
  <c r="T3232" i="21"/>
  <c r="U3233" i="21" s="1"/>
  <c r="J4" i="21"/>
  <c r="V3430" i="21"/>
  <c r="W3431" i="21" s="1"/>
  <c r="V3429" i="21"/>
  <c r="V3568" i="21"/>
  <c r="V3565" i="21"/>
  <c r="V3562" i="21"/>
  <c r="V3567" i="21" s="1"/>
  <c r="U3479" i="21"/>
  <c r="U3473" i="21"/>
  <c r="U3478" i="21" s="1"/>
  <c r="U3476" i="21"/>
  <c r="V3340" i="21"/>
  <c r="V3346" i="21" s="1"/>
  <c r="V3341" i="21"/>
  <c r="W3342" i="21" s="1"/>
  <c r="S3074" i="21"/>
  <c r="T3075" i="21" s="1"/>
  <c r="S3073" i="21"/>
  <c r="S3079" i="21" s="1"/>
  <c r="C33" i="22"/>
  <c r="G44" i="21"/>
  <c r="F44" i="21" s="1"/>
  <c r="R1053" i="21"/>
  <c r="S1054" i="21" s="1"/>
  <c r="M755" i="21"/>
  <c r="N780" i="21"/>
  <c r="O788" i="21" s="1"/>
  <c r="O809" i="21" s="1"/>
  <c r="P1785" i="21"/>
  <c r="P1786" i="21" s="1"/>
  <c r="Q1829" i="21" s="1"/>
  <c r="R2897" i="21"/>
  <c r="P792" i="21"/>
  <c r="Q793" i="21" s="1"/>
  <c r="P791" i="21"/>
  <c r="P797" i="21" s="1"/>
  <c r="T1314" i="21"/>
  <c r="U1315" i="21" s="1"/>
  <c r="T1313" i="21"/>
  <c r="T1319" i="21" s="1"/>
  <c r="R1139" i="21"/>
  <c r="R1145" i="21" s="1"/>
  <c r="R1140" i="21"/>
  <c r="S1141" i="21" s="1"/>
  <c r="P878" i="21"/>
  <c r="P884" i="21" s="1"/>
  <c r="P879" i="21"/>
  <c r="Q880" i="21" s="1"/>
  <c r="R1227" i="21"/>
  <c r="S1228" i="21" s="1"/>
  <c r="R1226" i="21"/>
  <c r="R1232" i="21" s="1"/>
  <c r="P966" i="21"/>
  <c r="Q967" i="21" s="1"/>
  <c r="P965" i="21"/>
  <c r="P971" i="21" s="1"/>
  <c r="N779" i="21"/>
  <c r="N817" i="21" s="1"/>
  <c r="M757" i="21"/>
  <c r="O622" i="21"/>
  <c r="O639" i="21"/>
  <c r="O1170" i="21"/>
  <c r="O1171" i="21" s="1"/>
  <c r="P1215" i="21" s="1"/>
  <c r="Q2808" i="21"/>
  <c r="O634" i="21"/>
  <c r="O630" i="21" s="1"/>
  <c r="P606" i="21"/>
  <c r="Q614" i="21" s="1"/>
  <c r="Q635" i="21" s="1"/>
  <c r="P605" i="21"/>
  <c r="Q606" i="21" s="1"/>
  <c r="U2708" i="21"/>
  <c r="U2726" i="21" s="1"/>
  <c r="T2685" i="21"/>
  <c r="U2707" i="21"/>
  <c r="U2745" i="21" s="1"/>
  <c r="T2683" i="21"/>
  <c r="T2682" i="21"/>
  <c r="M469" i="21"/>
  <c r="M430" i="21"/>
  <c r="M467" i="21"/>
  <c r="M439" i="21"/>
  <c r="M438" i="21" s="1"/>
  <c r="M449" i="21"/>
  <c r="N440" i="21"/>
  <c r="N461" i="21" s="1"/>
  <c r="N433" i="21"/>
  <c r="M450" i="21"/>
  <c r="R2315" i="21"/>
  <c r="R2316" i="21" s="1"/>
  <c r="P1041" i="21"/>
  <c r="O1015" i="21"/>
  <c r="P1040" i="21"/>
  <c r="O1018" i="21"/>
  <c r="O1016" i="21"/>
  <c r="L187" i="21"/>
  <c r="R1318" i="21"/>
  <c r="I22" i="21"/>
  <c r="I16" i="21"/>
  <c r="I18" i="21"/>
  <c r="I20" i="21" s="1"/>
  <c r="M286" i="21"/>
  <c r="N264" i="21"/>
  <c r="K378" i="21"/>
  <c r="K648" i="21"/>
  <c r="K649" i="21" s="1"/>
  <c r="P2139" i="21"/>
  <c r="P2140" i="21" s="1"/>
  <c r="R2402" i="21"/>
  <c r="R2403" i="21" s="1"/>
  <c r="P1128" i="21"/>
  <c r="P1127" i="21"/>
  <c r="O1105" i="21"/>
  <c r="O1103" i="21"/>
  <c r="O1102" i="21"/>
  <c r="P612" i="21"/>
  <c r="P634" i="21"/>
  <c r="P630" i="21" s="1"/>
  <c r="M190" i="21"/>
  <c r="M200" i="21"/>
  <c r="J202" i="21" s="1"/>
  <c r="M177" i="21"/>
  <c r="H107" i="21"/>
  <c r="O267" i="21"/>
  <c r="O260" i="21"/>
  <c r="N277" i="21"/>
  <c r="O278" i="21" s="1"/>
  <c r="N1400" i="21"/>
  <c r="N1401" i="21"/>
  <c r="R1330" i="21"/>
  <c r="S1309" i="21"/>
  <c r="S1301" i="21"/>
  <c r="S1302" i="21"/>
  <c r="N173" i="21"/>
  <c r="N175" i="21"/>
  <c r="R2576" i="21"/>
  <c r="R2577" i="21" s="1"/>
  <c r="R1335" i="21"/>
  <c r="N1402" i="21"/>
  <c r="M274" i="21"/>
  <c r="I15" i="21"/>
  <c r="L195" i="21"/>
  <c r="N358" i="21"/>
  <c r="N798" i="21"/>
  <c r="N705" i="21"/>
  <c r="N704" i="21"/>
  <c r="N710" i="21" s="1"/>
  <c r="O262" i="21"/>
  <c r="O266" i="21"/>
  <c r="N256" i="21"/>
  <c r="O259" i="21"/>
  <c r="N276" i="21"/>
  <c r="L352" i="21"/>
  <c r="L345" i="21"/>
  <c r="L344" i="21"/>
  <c r="K373" i="21"/>
  <c r="K14" i="21" s="1"/>
  <c r="M556" i="21"/>
  <c r="M517" i="21"/>
  <c r="M554" i="21"/>
  <c r="M545" i="21" s="1"/>
  <c r="M526" i="21"/>
  <c r="M525" i="21" s="1"/>
  <c r="M536" i="21"/>
  <c r="N706" i="21"/>
  <c r="T1304" i="21"/>
  <c r="T1311" i="21"/>
  <c r="S1321" i="21"/>
  <c r="T1322" i="21" s="1"/>
  <c r="N527" i="21"/>
  <c r="N548" i="21" s="1"/>
  <c r="N520" i="21"/>
  <c r="M537" i="21"/>
  <c r="M354" i="21"/>
  <c r="M347" i="21"/>
  <c r="R1753" i="21" l="1"/>
  <c r="S1754" i="21" s="1"/>
  <c r="R1752" i="21"/>
  <c r="R1758" i="21" s="1"/>
  <c r="S2018" i="21"/>
  <c r="T2019" i="21" s="1"/>
  <c r="S2017" i="21"/>
  <c r="S2023" i="21" s="1"/>
  <c r="W2719" i="21"/>
  <c r="W2725" i="21" s="1"/>
  <c r="W2720" i="21"/>
  <c r="X2721" i="21" s="1"/>
  <c r="S2196" i="21"/>
  <c r="T2197" i="21" s="1"/>
  <c r="S2195" i="21"/>
  <c r="S2201" i="21" s="1"/>
  <c r="U2372" i="21"/>
  <c r="V2373" i="21" s="1"/>
  <c r="U2371" i="21"/>
  <c r="U2377" i="21" s="1"/>
  <c r="Q1488" i="21"/>
  <c r="R1489" i="21" s="1"/>
  <c r="Q1487" i="21"/>
  <c r="Q1493" i="21" s="1"/>
  <c r="Q1577" i="21"/>
  <c r="R1578" i="21" s="1"/>
  <c r="Q1576" i="21"/>
  <c r="Q1582" i="21" s="1"/>
  <c r="U2459" i="21"/>
  <c r="V2460" i="21" s="1"/>
  <c r="U2458" i="21"/>
  <c r="U2464" i="21" s="1"/>
  <c r="U2546" i="21"/>
  <c r="V2547" i="21" s="1"/>
  <c r="U2545" i="21"/>
  <c r="U2551" i="21" s="1"/>
  <c r="Q1665" i="21"/>
  <c r="Q1671" i="21" s="1"/>
  <c r="Q1666" i="21"/>
  <c r="R1667" i="21" s="1"/>
  <c r="S2284" i="21"/>
  <c r="S2290" i="21" s="1"/>
  <c r="S2285" i="21"/>
  <c r="T2286" i="21" s="1"/>
  <c r="S2106" i="21"/>
  <c r="S2112" i="21" s="1"/>
  <c r="S2107" i="21"/>
  <c r="T2108" i="21" s="1"/>
  <c r="U2633" i="21"/>
  <c r="V2634" i="21" s="1"/>
  <c r="U2632" i="21"/>
  <c r="U2638" i="21" s="1"/>
  <c r="S1841" i="21"/>
  <c r="S1847" i="21" s="1"/>
  <c r="S1842" i="21"/>
  <c r="T1843" i="21" s="1"/>
  <c r="S1931" i="21"/>
  <c r="T1932" i="21" s="1"/>
  <c r="S1930" i="21"/>
  <c r="S1936" i="21" s="1"/>
  <c r="U3320" i="21"/>
  <c r="U3321" i="21"/>
  <c r="V3322" i="21" s="1"/>
  <c r="T3319" i="21"/>
  <c r="U3413" i="21"/>
  <c r="T3400" i="21"/>
  <c r="U3409" i="21" s="1"/>
  <c r="V3577" i="21"/>
  <c r="U3488" i="21"/>
  <c r="C52" i="22"/>
  <c r="E51" i="22"/>
  <c r="D51" i="22"/>
  <c r="U3146" i="21"/>
  <c r="T3141" i="21"/>
  <c r="U3144" i="21"/>
  <c r="U3141" i="21" s="1"/>
  <c r="U3235" i="21"/>
  <c r="T3230" i="21"/>
  <c r="U3232" i="21"/>
  <c r="O781" i="21"/>
  <c r="P789" i="21" s="1"/>
  <c r="I24" i="21"/>
  <c r="H9" i="22" s="1"/>
  <c r="V2716" i="21"/>
  <c r="V2737" i="21" s="1"/>
  <c r="V3486" i="21"/>
  <c r="V3518" i="21" s="1"/>
  <c r="W3486" i="21"/>
  <c r="X3486" i="21"/>
  <c r="V3487" i="21"/>
  <c r="V3519" i="21"/>
  <c r="W3520" i="21" s="1"/>
  <c r="W3575" i="21"/>
  <c r="W3607" i="21" s="1"/>
  <c r="X3575" i="21"/>
  <c r="Y3575" i="21"/>
  <c r="W3576" i="21"/>
  <c r="W3608" i="21"/>
  <c r="X3609" i="21" s="1"/>
  <c r="W3429" i="21"/>
  <c r="W3435" i="21" s="1"/>
  <c r="W3430" i="21"/>
  <c r="X3431" i="21" s="1"/>
  <c r="V2709" i="21"/>
  <c r="N797" i="21"/>
  <c r="N796" i="21" s="1"/>
  <c r="N815" i="21"/>
  <c r="N806" i="21" s="1"/>
  <c r="N787" i="21"/>
  <c r="N786" i="21" s="1"/>
  <c r="N778" i="21"/>
  <c r="O1192" i="21"/>
  <c r="O1189" i="21"/>
  <c r="O1190" i="21"/>
  <c r="R2489" i="21"/>
  <c r="R2490" i="21" s="1"/>
  <c r="R2508" i="21" s="1"/>
  <c r="P1214" i="21"/>
  <c r="P1252" i="21" s="1"/>
  <c r="P1804" i="21"/>
  <c r="P1805" i="21"/>
  <c r="Q1830" i="21"/>
  <c r="Q1828" i="21" s="1"/>
  <c r="P604" i="21"/>
  <c r="Q607" i="21"/>
  <c r="R615" i="21" s="1"/>
  <c r="P624" i="21"/>
  <c r="Q613" i="21"/>
  <c r="Q634" i="21" s="1"/>
  <c r="P623" i="21"/>
  <c r="Q610" i="21"/>
  <c r="R610" i="21" s="1"/>
  <c r="P1807" i="21"/>
  <c r="M448" i="21"/>
  <c r="U2725" i="21"/>
  <c r="U2724" i="21" s="1"/>
  <c r="U2715" i="21"/>
  <c r="U2714" i="21" s="1"/>
  <c r="U2743" i="21"/>
  <c r="U2734" i="21" s="1"/>
  <c r="U2706" i="21"/>
  <c r="S2360" i="21"/>
  <c r="S2359" i="21"/>
  <c r="R2337" i="21"/>
  <c r="R2334" i="21"/>
  <c r="R2335" i="21"/>
  <c r="O434" i="21"/>
  <c r="O441" i="21"/>
  <c r="N451" i="21"/>
  <c r="O452" i="21" s="1"/>
  <c r="P1078" i="21"/>
  <c r="P1039" i="21"/>
  <c r="P1076" i="21"/>
  <c r="P1048" i="21"/>
  <c r="P1047" i="21" s="1"/>
  <c r="P1058" i="21"/>
  <c r="M458" i="21"/>
  <c r="M465" i="21"/>
  <c r="M822" i="21"/>
  <c r="M823" i="21" s="1"/>
  <c r="N432" i="21"/>
  <c r="M460" i="21"/>
  <c r="N431" i="21"/>
  <c r="N439" i="21"/>
  <c r="Q1049" i="21"/>
  <c r="Q1070" i="21" s="1"/>
  <c r="Q1042" i="21"/>
  <c r="P1059" i="21"/>
  <c r="N274" i="21"/>
  <c r="R607" i="21"/>
  <c r="R614" i="21"/>
  <c r="Q624" i="21"/>
  <c r="M345" i="21"/>
  <c r="M349" i="21"/>
  <c r="M352" i="21"/>
  <c r="L343" i="21"/>
  <c r="L362" i="21"/>
  <c r="R1326" i="21"/>
  <c r="T1306" i="21"/>
  <c r="S1300" i="21"/>
  <c r="T1309" i="21"/>
  <c r="T1302" i="21"/>
  <c r="S1319" i="21"/>
  <c r="Q1129" i="21"/>
  <c r="Q1136" i="21"/>
  <c r="Q1157" i="21" s="1"/>
  <c r="P1146" i="21"/>
  <c r="S1330" i="21"/>
  <c r="S1326" i="21" s="1"/>
  <c r="S1308" i="21"/>
  <c r="S2446" i="21"/>
  <c r="S2447" i="21"/>
  <c r="R2424" i="21"/>
  <c r="R2421" i="21"/>
  <c r="R2422" i="21"/>
  <c r="M346" i="21"/>
  <c r="M353" i="21"/>
  <c r="M374" i="21" s="1"/>
  <c r="L363" i="21"/>
  <c r="Q1867" i="21"/>
  <c r="Q1865" i="21"/>
  <c r="Q1856" i="21" s="1"/>
  <c r="Q1837" i="21"/>
  <c r="Q1836" i="21" s="1"/>
  <c r="Q1847" i="21"/>
  <c r="L351" i="21"/>
  <c r="L373" i="21"/>
  <c r="P262" i="21"/>
  <c r="P260" i="21"/>
  <c r="O277" i="21"/>
  <c r="O274" i="21" s="1"/>
  <c r="O706" i="21"/>
  <c r="S2621" i="21"/>
  <c r="S2620" i="21"/>
  <c r="R2595" i="21"/>
  <c r="R2598" i="21"/>
  <c r="R2596" i="21"/>
  <c r="N191" i="21"/>
  <c r="I193" i="21" s="1"/>
  <c r="I9" i="21" s="1"/>
  <c r="M187" i="21"/>
  <c r="Q2184" i="21"/>
  <c r="Q2183" i="21"/>
  <c r="P2158" i="21"/>
  <c r="P2161" i="21"/>
  <c r="P2159" i="21"/>
  <c r="M282" i="21"/>
  <c r="K369" i="21"/>
  <c r="M909" i="21"/>
  <c r="M910" i="21" s="1"/>
  <c r="M552" i="21"/>
  <c r="T1310" i="21"/>
  <c r="T1331" i="21" s="1"/>
  <c r="T1303" i="21"/>
  <c r="S1320" i="21"/>
  <c r="P1135" i="21"/>
  <c r="P1134" i="21" s="1"/>
  <c r="P1165" i="21"/>
  <c r="P1163" i="21"/>
  <c r="P1154" i="21" s="1"/>
  <c r="P1126" i="21"/>
  <c r="P1145" i="21"/>
  <c r="O1696" i="21"/>
  <c r="O1697" i="21" s="1"/>
  <c r="L692" i="21"/>
  <c r="L693" i="21"/>
  <c r="K667" i="21"/>
  <c r="K670" i="21"/>
  <c r="K8" i="21" s="1"/>
  <c r="K668" i="21"/>
  <c r="O528" i="21"/>
  <c r="O521" i="21"/>
  <c r="N538" i="21"/>
  <c r="O539" i="21" s="1"/>
  <c r="M535" i="21"/>
  <c r="N287" i="21"/>
  <c r="O264" i="21"/>
  <c r="O1402" i="21"/>
  <c r="N519" i="21"/>
  <c r="N518" i="21"/>
  <c r="M547" i="21"/>
  <c r="N526" i="21"/>
  <c r="O1401" i="21"/>
  <c r="O1400" i="21"/>
  <c r="O1406" i="21" s="1"/>
  <c r="H10" i="21"/>
  <c r="N808" i="21"/>
  <c r="O787" i="21"/>
  <c r="O780" i="21"/>
  <c r="O779" i="21"/>
  <c r="V2715" i="21"/>
  <c r="V2708" i="21"/>
  <c r="V2707" i="21"/>
  <c r="U2736" i="21"/>
  <c r="W2710" i="21"/>
  <c r="W2717" i="21"/>
  <c r="V2727" i="21"/>
  <c r="W2728" i="21" s="1"/>
  <c r="M195" i="21"/>
  <c r="Q1216" i="21"/>
  <c r="Q1223" i="21"/>
  <c r="Q1244" i="21" s="1"/>
  <c r="P1233" i="21"/>
  <c r="P782" i="21" l="1"/>
  <c r="O799" i="21"/>
  <c r="P800" i="21" s="1"/>
  <c r="N1431" i="21"/>
  <c r="N1432" i="21" s="1"/>
  <c r="O1475" i="21" s="1"/>
  <c r="E52" i="22"/>
  <c r="F52" i="22" s="1"/>
  <c r="D52" i="22"/>
  <c r="W3591" i="21"/>
  <c r="V3578" i="21"/>
  <c r="W3587" i="21" s="1"/>
  <c r="F51" i="22"/>
  <c r="V3409" i="21"/>
  <c r="V3410" i="21"/>
  <c r="W3411" i="21" s="1"/>
  <c r="U3408" i="21"/>
  <c r="V3233" i="21"/>
  <c r="V3230" i="21" s="1"/>
  <c r="U3230" i="21"/>
  <c r="V3235" i="21"/>
  <c r="N813" i="21"/>
  <c r="U3489" i="21"/>
  <c r="V3498" i="21" s="1"/>
  <c r="V3502" i="21"/>
  <c r="V3321" i="21"/>
  <c r="V3324" i="21"/>
  <c r="U3319" i="21"/>
  <c r="I7" i="22"/>
  <c r="K12" i="21"/>
  <c r="K6" i="21"/>
  <c r="J5" i="22" s="1"/>
  <c r="K3" i="21"/>
  <c r="J3" i="22" s="1"/>
  <c r="X3608" i="21"/>
  <c r="Y3609" i="21" s="1"/>
  <c r="X3607" i="21"/>
  <c r="W3518" i="21"/>
  <c r="W3519" i="21"/>
  <c r="X3520" i="21" s="1"/>
  <c r="P1222" i="21"/>
  <c r="P1221" i="21" s="1"/>
  <c r="Q1848" i="21"/>
  <c r="R2511" i="21"/>
  <c r="P1232" i="21"/>
  <c r="P1231" i="21" s="1"/>
  <c r="S2533" i="21"/>
  <c r="S2571" i="21" s="1"/>
  <c r="S2534" i="21"/>
  <c r="T2542" i="21" s="1"/>
  <c r="T2563" i="21" s="1"/>
  <c r="P1213" i="21"/>
  <c r="R2509" i="21"/>
  <c r="P1250" i="21"/>
  <c r="P1241" i="21" s="1"/>
  <c r="P622" i="21"/>
  <c r="Q612" i="21"/>
  <c r="Q625" i="21"/>
  <c r="R626" i="21" s="1"/>
  <c r="Q604" i="21"/>
  <c r="R608" i="21"/>
  <c r="S608" i="21" s="1"/>
  <c r="R1831" i="21"/>
  <c r="R1849" i="21" s="1"/>
  <c r="S1850" i="21" s="1"/>
  <c r="R1838" i="21"/>
  <c r="R1859" i="21" s="1"/>
  <c r="U2741" i="21"/>
  <c r="M456" i="21"/>
  <c r="P1067" i="21"/>
  <c r="P1961" i="21"/>
  <c r="P1962" i="21" s="1"/>
  <c r="P1074" i="21"/>
  <c r="R1043" i="21"/>
  <c r="R1050" i="21"/>
  <c r="Q1060" i="21"/>
  <c r="R1061" i="21" s="1"/>
  <c r="P1069" i="21"/>
  <c r="Q1041" i="21"/>
  <c r="Q1040" i="21"/>
  <c r="Q1048" i="21"/>
  <c r="N438" i="21"/>
  <c r="N460" i="21"/>
  <c r="N456" i="21" s="1"/>
  <c r="O436" i="21"/>
  <c r="O439" i="21"/>
  <c r="O432" i="21"/>
  <c r="N430" i="21"/>
  <c r="N449" i="21"/>
  <c r="O440" i="21"/>
  <c r="O461" i="21" s="1"/>
  <c r="O433" i="21"/>
  <c r="N450" i="21"/>
  <c r="P1874" i="21"/>
  <c r="P1875" i="21" s="1"/>
  <c r="M844" i="21"/>
  <c r="M841" i="21"/>
  <c r="M842" i="21"/>
  <c r="N866" i="21"/>
  <c r="N867" i="21"/>
  <c r="S2395" i="21"/>
  <c r="S2358" i="21"/>
  <c r="S2377" i="21"/>
  <c r="S2367" i="21"/>
  <c r="S2366" i="21" s="1"/>
  <c r="S2397" i="21"/>
  <c r="P1057" i="21"/>
  <c r="T2368" i="21"/>
  <c r="T2389" i="21" s="1"/>
  <c r="S2378" i="21"/>
  <c r="T2361" i="21"/>
  <c r="P1144" i="21"/>
  <c r="P1402" i="21"/>
  <c r="R1217" i="21"/>
  <c r="R1224" i="21"/>
  <c r="Q1234" i="21"/>
  <c r="R1235" i="21" s="1"/>
  <c r="Q1222" i="21"/>
  <c r="Q1215" i="21"/>
  <c r="Q1214" i="21"/>
  <c r="P1243" i="21"/>
  <c r="M351" i="21"/>
  <c r="M373" i="21"/>
  <c r="Q630" i="21"/>
  <c r="W2715" i="21"/>
  <c r="W2708" i="21"/>
  <c r="V2706" i="21"/>
  <c r="W2712" i="21"/>
  <c r="V2725" i="21"/>
  <c r="M701" i="21"/>
  <c r="M722" i="21" s="1"/>
  <c r="M694" i="21"/>
  <c r="L711" i="21"/>
  <c r="Q2221" i="21"/>
  <c r="Q2182" i="21"/>
  <c r="Q2219" i="21"/>
  <c r="Q2210" i="21" s="1"/>
  <c r="Q2191" i="21"/>
  <c r="Q2190" i="21" s="1"/>
  <c r="Q2201" i="21"/>
  <c r="V2714" i="21"/>
  <c r="V2736" i="21"/>
  <c r="V2732" i="21" s="1"/>
  <c r="N525" i="21"/>
  <c r="N547" i="21"/>
  <c r="N543" i="21" s="1"/>
  <c r="P1740" i="21"/>
  <c r="P1741" i="21"/>
  <c r="O1718" i="21"/>
  <c r="O1716" i="21"/>
  <c r="O1715" i="21"/>
  <c r="N354" i="21"/>
  <c r="N347" i="21"/>
  <c r="M364" i="21"/>
  <c r="N365" i="21" s="1"/>
  <c r="N804" i="21"/>
  <c r="P2050" i="21"/>
  <c r="P2051" i="21" s="1"/>
  <c r="N953" i="21"/>
  <c r="N954" i="21"/>
  <c r="M928" i="21"/>
  <c r="M929" i="21"/>
  <c r="M931" i="21"/>
  <c r="O1476" i="21"/>
  <c r="N1450" i="21"/>
  <c r="N1451" i="21"/>
  <c r="N1453" i="21"/>
  <c r="P788" i="21"/>
  <c r="P809" i="21" s="1"/>
  <c r="P781" i="21"/>
  <c r="O798" i="21"/>
  <c r="U2732" i="21"/>
  <c r="N346" i="21"/>
  <c r="N349" i="21"/>
  <c r="N353" i="21"/>
  <c r="M343" i="21"/>
  <c r="M363" i="21"/>
  <c r="I194" i="21"/>
  <c r="L369" i="21"/>
  <c r="O519" i="21"/>
  <c r="O523" i="21"/>
  <c r="N517" i="21"/>
  <c r="O526" i="21"/>
  <c r="N536" i="21"/>
  <c r="N282" i="21"/>
  <c r="R1137" i="21"/>
  <c r="R1130" i="21"/>
  <c r="Q1147" i="21"/>
  <c r="R1148" i="21" s="1"/>
  <c r="R612" i="21"/>
  <c r="R635" i="21"/>
  <c r="O637" i="21" s="1"/>
  <c r="M543" i="21"/>
  <c r="U1304" i="21"/>
  <c r="U1311" i="21"/>
  <c r="T1321" i="21"/>
  <c r="U1322" i="21" s="1"/>
  <c r="S2484" i="21"/>
  <c r="S2445" i="21"/>
  <c r="S2482" i="21"/>
  <c r="S2473" i="21" s="1"/>
  <c r="S2454" i="21"/>
  <c r="S2453" i="21" s="1"/>
  <c r="S2464" i="21"/>
  <c r="W2709" i="21"/>
  <c r="W2716" i="21"/>
  <c r="W2737" i="21" s="1"/>
  <c r="V2726" i="21"/>
  <c r="L728" i="21"/>
  <c r="L719" i="21" s="1"/>
  <c r="L13" i="21" s="1"/>
  <c r="L691" i="21"/>
  <c r="L730" i="21"/>
  <c r="L700" i="21"/>
  <c r="L699" i="21" s="1"/>
  <c r="L710" i="21"/>
  <c r="R2192" i="21"/>
  <c r="R2213" i="21" s="1"/>
  <c r="R2185" i="21"/>
  <c r="Q2202" i="21"/>
  <c r="O527" i="21"/>
  <c r="O548" i="21" s="1"/>
  <c r="O520" i="21"/>
  <c r="N537" i="21"/>
  <c r="P1161" i="21"/>
  <c r="J15" i="21"/>
  <c r="Q1846" i="21"/>
  <c r="P278" i="21"/>
  <c r="K280" i="21" s="1"/>
  <c r="T2455" i="21"/>
  <c r="T2476" i="21" s="1"/>
  <c r="T2448" i="21"/>
  <c r="S2465" i="21"/>
  <c r="J209" i="21"/>
  <c r="J210" i="21" s="1"/>
  <c r="P780" i="21"/>
  <c r="P784" i="21"/>
  <c r="P787" i="21"/>
  <c r="O778" i="21"/>
  <c r="O797" i="21"/>
  <c r="Q1128" i="21"/>
  <c r="Q1127" i="21"/>
  <c r="P1156" i="21"/>
  <c r="Q1135" i="21"/>
  <c r="J22" i="21"/>
  <c r="J16" i="21"/>
  <c r="J18" i="21"/>
  <c r="J20" i="21" s="1"/>
  <c r="K289" i="21"/>
  <c r="S1318" i="21"/>
  <c r="S610" i="21"/>
  <c r="R625" i="21"/>
  <c r="Q1863" i="21"/>
  <c r="U1310" i="21"/>
  <c r="T1300" i="21"/>
  <c r="U1303" i="21"/>
  <c r="U1306" i="21"/>
  <c r="T1320" i="21"/>
  <c r="S2628" i="21"/>
  <c r="S2627" i="21" s="1"/>
  <c r="S2658" i="21"/>
  <c r="S2656" i="21"/>
  <c r="S2647" i="21" s="1"/>
  <c r="S2619" i="21"/>
  <c r="S2638" i="21"/>
  <c r="T1330" i="21"/>
  <c r="T1308" i="21"/>
  <c r="O786" i="21"/>
  <c r="O808" i="21"/>
  <c r="O804" i="21" s="1"/>
  <c r="T2622" i="21"/>
  <c r="T2629" i="21"/>
  <c r="T2650" i="21" s="1"/>
  <c r="S2639" i="21"/>
  <c r="R1830" i="21"/>
  <c r="R1829" i="21"/>
  <c r="Q1858" i="21"/>
  <c r="R1837" i="21"/>
  <c r="L361" i="21"/>
  <c r="S2551" i="21" l="1"/>
  <c r="S2541" i="21"/>
  <c r="S2540" i="21" s="1"/>
  <c r="S2569" i="21"/>
  <c r="S2560" i="21" s="1"/>
  <c r="W3410" i="21"/>
  <c r="W3413" i="21"/>
  <c r="V3408" i="21"/>
  <c r="V3319" i="21"/>
  <c r="W3324" i="21"/>
  <c r="W3322" i="21"/>
  <c r="W3319" i="21" s="1"/>
  <c r="X3588" i="21"/>
  <c r="Y3589" i="21" s="1"/>
  <c r="W3586" i="21"/>
  <c r="X3587" i="21"/>
  <c r="W3499" i="21"/>
  <c r="X3500" i="21" s="1"/>
  <c r="V3497" i="21"/>
  <c r="W3498" i="21"/>
  <c r="T2535" i="21"/>
  <c r="U2536" i="21" s="1"/>
  <c r="J24" i="21"/>
  <c r="I9" i="22" s="1"/>
  <c r="K4" i="21"/>
  <c r="X3518" i="21"/>
  <c r="X3524" i="21" s="1"/>
  <c r="X3519" i="21"/>
  <c r="Y3520" i="21" s="1"/>
  <c r="Y3607" i="21"/>
  <c r="Y3613" i="21" s="1"/>
  <c r="Y3608" i="21"/>
  <c r="Z3609" i="21" s="1"/>
  <c r="P2228" i="21"/>
  <c r="P2229" i="21" s="1"/>
  <c r="Q2273" i="21" s="1"/>
  <c r="S2532" i="21"/>
  <c r="R622" i="21"/>
  <c r="S2552" i="21"/>
  <c r="S2550" i="21" s="1"/>
  <c r="P1248" i="21"/>
  <c r="Q622" i="21"/>
  <c r="S1832" i="21"/>
  <c r="S1839" i="21"/>
  <c r="T2379" i="21"/>
  <c r="U2380" i="21" s="1"/>
  <c r="U2369" i="21"/>
  <c r="U2362" i="21"/>
  <c r="Q1047" i="21"/>
  <c r="Q1069" i="21"/>
  <c r="Q1065" i="21" s="1"/>
  <c r="Q1918" i="21"/>
  <c r="Q1919" i="21"/>
  <c r="P1894" i="21"/>
  <c r="P1896" i="21"/>
  <c r="P1893" i="21"/>
  <c r="R1041" i="21"/>
  <c r="Q1058" i="21"/>
  <c r="R1045" i="21"/>
  <c r="Q1039" i="21"/>
  <c r="R1048" i="21"/>
  <c r="R1049" i="21"/>
  <c r="R1070" i="21" s="1"/>
  <c r="R1042" i="21"/>
  <c r="Q1059" i="21"/>
  <c r="T2360" i="21"/>
  <c r="T2359" i="21"/>
  <c r="S2388" i="21"/>
  <c r="T2367" i="21"/>
  <c r="P434" i="21"/>
  <c r="O451" i="21"/>
  <c r="P452" i="21" s="1"/>
  <c r="P441" i="21"/>
  <c r="S2376" i="21"/>
  <c r="N448" i="21"/>
  <c r="S2386" i="21"/>
  <c r="S2393" i="21"/>
  <c r="P440" i="21"/>
  <c r="O430" i="21"/>
  <c r="P433" i="21"/>
  <c r="P436" i="21"/>
  <c r="O450" i="21"/>
  <c r="O868" i="21"/>
  <c r="O875" i="21"/>
  <c r="O896" i="21" s="1"/>
  <c r="N885" i="21"/>
  <c r="O438" i="21"/>
  <c r="O460" i="21"/>
  <c r="O456" i="21" s="1"/>
  <c r="Q2005" i="21"/>
  <c r="Q2006" i="21"/>
  <c r="P1980" i="21"/>
  <c r="P1981" i="21"/>
  <c r="P1983" i="21"/>
  <c r="L709" i="21"/>
  <c r="N904" i="21"/>
  <c r="N874" i="21"/>
  <c r="N873" i="21" s="1"/>
  <c r="N902" i="21"/>
  <c r="N865" i="21"/>
  <c r="N884" i="21"/>
  <c r="P1065" i="21"/>
  <c r="T1318" i="21"/>
  <c r="M361" i="21"/>
  <c r="P1239" i="21"/>
  <c r="O796" i="21"/>
  <c r="N535" i="21"/>
  <c r="S2463" i="21"/>
  <c r="Q782" i="21"/>
  <c r="Q789" i="21"/>
  <c r="P799" i="21"/>
  <c r="Q800" i="21" s="1"/>
  <c r="Q2217" i="21"/>
  <c r="S2480" i="21"/>
  <c r="U2543" i="21"/>
  <c r="S2475" i="21"/>
  <c r="T2454" i="21"/>
  <c r="T2447" i="21"/>
  <c r="T2446" i="21"/>
  <c r="N991" i="21"/>
  <c r="N989" i="21"/>
  <c r="N980" i="21" s="1"/>
  <c r="N961" i="21"/>
  <c r="N960" i="21" s="1"/>
  <c r="N952" i="21"/>
  <c r="N971" i="21"/>
  <c r="U1331" i="21"/>
  <c r="U1308" i="21"/>
  <c r="Q1854" i="21"/>
  <c r="R630" i="21"/>
  <c r="R2183" i="21"/>
  <c r="Q2212" i="21"/>
  <c r="R2191" i="21"/>
  <c r="R2184" i="21"/>
  <c r="S2567" i="21"/>
  <c r="P786" i="21"/>
  <c r="P808" i="21"/>
  <c r="P1152" i="21"/>
  <c r="O349" i="21"/>
  <c r="O347" i="21"/>
  <c r="N364" i="21"/>
  <c r="N361" i="21" s="1"/>
  <c r="Q2095" i="21"/>
  <c r="Q2094" i="21"/>
  <c r="P2072" i="21"/>
  <c r="P2070" i="21"/>
  <c r="P2069" i="21"/>
  <c r="Q1749" i="21"/>
  <c r="Q1770" i="21" s="1"/>
  <c r="Q1742" i="21"/>
  <c r="P1759" i="21"/>
  <c r="N702" i="21"/>
  <c r="N695" i="21"/>
  <c r="M712" i="21"/>
  <c r="N713" i="21" s="1"/>
  <c r="M369" i="21"/>
  <c r="M700" i="21"/>
  <c r="L721" i="21"/>
  <c r="M692" i="21"/>
  <c r="M693" i="21"/>
  <c r="S626" i="21"/>
  <c r="N628" i="21" s="1"/>
  <c r="P523" i="21"/>
  <c r="P527" i="21"/>
  <c r="O517" i="21"/>
  <c r="P520" i="21"/>
  <c r="O537" i="21"/>
  <c r="P1778" i="21"/>
  <c r="P1739" i="21"/>
  <c r="P1776" i="21"/>
  <c r="P1767" i="21" s="1"/>
  <c r="P1748" i="21"/>
  <c r="P1747" i="21" s="1"/>
  <c r="P1758" i="21"/>
  <c r="R1836" i="21"/>
  <c r="R1858" i="21"/>
  <c r="R1854" i="21" s="1"/>
  <c r="O547" i="21"/>
  <c r="O525" i="21"/>
  <c r="V2724" i="21"/>
  <c r="T2621" i="21"/>
  <c r="T2620" i="21"/>
  <c r="S2649" i="21"/>
  <c r="S2645" i="21" s="1"/>
  <c r="T2628" i="21"/>
  <c r="R1128" i="21"/>
  <c r="R1132" i="21"/>
  <c r="Q1126" i="21"/>
  <c r="R1135" i="21"/>
  <c r="Q1145" i="21"/>
  <c r="R1136" i="21"/>
  <c r="R1157" i="21" s="1"/>
  <c r="R1129" i="21"/>
  <c r="Q1146" i="21"/>
  <c r="S1830" i="21"/>
  <c r="S1834" i="21"/>
  <c r="S1837" i="21"/>
  <c r="R1828" i="21"/>
  <c r="R1847" i="21"/>
  <c r="S2193" i="21"/>
  <c r="S2186" i="21"/>
  <c r="R2203" i="21"/>
  <c r="S2204" i="21" s="1"/>
  <c r="U2630" i="21"/>
  <c r="U2623" i="21"/>
  <c r="T2640" i="21"/>
  <c r="U2641" i="21" s="1"/>
  <c r="Q788" i="21"/>
  <c r="P778" i="21"/>
  <c r="Q784" i="21"/>
  <c r="Q781" i="21"/>
  <c r="P798" i="21"/>
  <c r="P528" i="21"/>
  <c r="P521" i="21"/>
  <c r="O538" i="21"/>
  <c r="P539" i="21" s="1"/>
  <c r="T1326" i="21"/>
  <c r="L1344" i="21"/>
  <c r="L1345" i="21" s="1"/>
  <c r="L726" i="21"/>
  <c r="S2637" i="21"/>
  <c r="S1838" i="21"/>
  <c r="S1859" i="21" s="1"/>
  <c r="S1831" i="21"/>
  <c r="R1848" i="21"/>
  <c r="N351" i="21"/>
  <c r="N374" i="21"/>
  <c r="K376" i="21" s="1"/>
  <c r="I10" i="21"/>
  <c r="P1484" i="21"/>
  <c r="P1505" i="21" s="1"/>
  <c r="P1477" i="21"/>
  <c r="O1494" i="21"/>
  <c r="R1222" i="21"/>
  <c r="R1215" i="21"/>
  <c r="Q1213" i="21"/>
  <c r="R1219" i="21"/>
  <c r="Q1232" i="21"/>
  <c r="O962" i="21"/>
  <c r="O983" i="21" s="1"/>
  <c r="O955" i="21"/>
  <c r="N972" i="21"/>
  <c r="T2533" i="21"/>
  <c r="S2562" i="21"/>
  <c r="T2541" i="21"/>
  <c r="T2534" i="21"/>
  <c r="V1304" i="21"/>
  <c r="V1306" i="21"/>
  <c r="U1321" i="21"/>
  <c r="U1318" i="21" s="1"/>
  <c r="Q1134" i="21"/>
  <c r="Q1156" i="21"/>
  <c r="Q1152" i="21" s="1"/>
  <c r="S2654" i="21"/>
  <c r="U2449" i="21"/>
  <c r="U2456" i="21"/>
  <c r="T2466" i="21"/>
  <c r="U2467" i="21" s="1"/>
  <c r="X2717" i="21"/>
  <c r="X2710" i="21"/>
  <c r="W2727" i="21"/>
  <c r="X2728" i="21" s="1"/>
  <c r="P2250" i="21"/>
  <c r="O1513" i="21"/>
  <c r="O1474" i="21"/>
  <c r="O1483" i="21"/>
  <c r="O1482" i="21" s="1"/>
  <c r="O1511" i="21"/>
  <c r="O1502" i="21" s="1"/>
  <c r="O1493" i="21"/>
  <c r="Q2200" i="21"/>
  <c r="X2709" i="21"/>
  <c r="X2712" i="21"/>
  <c r="W2706" i="21"/>
  <c r="X2716" i="21"/>
  <c r="W2726" i="21"/>
  <c r="R1216" i="21"/>
  <c r="R1223" i="21"/>
  <c r="R1244" i="21" s="1"/>
  <c r="Q1233" i="21"/>
  <c r="W2714" i="21"/>
  <c r="W2736" i="21"/>
  <c r="Q1221" i="21"/>
  <c r="Q1243" i="21"/>
  <c r="Q1239" i="21" s="1"/>
  <c r="T2553" i="21" l="1"/>
  <c r="U2554" i="21" s="1"/>
  <c r="X3502" i="21"/>
  <c r="X3499" i="21"/>
  <c r="W3497" i="21"/>
  <c r="Y3591" i="21"/>
  <c r="X3586" i="21"/>
  <c r="Y3588" i="21"/>
  <c r="P2248" i="21"/>
  <c r="X3413" i="21"/>
  <c r="X3411" i="21"/>
  <c r="X3408" i="21" s="1"/>
  <c r="W3408" i="21"/>
  <c r="P2247" i="21"/>
  <c r="Q2272" i="21"/>
  <c r="Q2310" i="21" s="1"/>
  <c r="Q1057" i="21"/>
  <c r="N883" i="21"/>
  <c r="S2384" i="21"/>
  <c r="P876" i="21"/>
  <c r="P869" i="21"/>
  <c r="O886" i="21"/>
  <c r="P887" i="21" s="1"/>
  <c r="S1042" i="21"/>
  <c r="R1059" i="21"/>
  <c r="S1045" i="21"/>
  <c r="R1039" i="21"/>
  <c r="S1049" i="21"/>
  <c r="O867" i="21"/>
  <c r="O866" i="21"/>
  <c r="N895" i="21"/>
  <c r="O874" i="21"/>
  <c r="O448" i="21"/>
  <c r="T2366" i="21"/>
  <c r="T2388" i="21"/>
  <c r="T2384" i="21" s="1"/>
  <c r="P451" i="21"/>
  <c r="P448" i="21" s="1"/>
  <c r="Q434" i="21"/>
  <c r="Q436" i="21"/>
  <c r="U2360" i="21"/>
  <c r="U2364" i="21"/>
  <c r="U2367" i="21"/>
  <c r="T2358" i="21"/>
  <c r="T2377" i="21"/>
  <c r="U2368" i="21"/>
  <c r="U2389" i="21" s="1"/>
  <c r="U2361" i="21"/>
  <c r="T2378" i="21"/>
  <c r="R1920" i="21"/>
  <c r="Q1937" i="21"/>
  <c r="R1927" i="21"/>
  <c r="R1948" i="21" s="1"/>
  <c r="P438" i="21"/>
  <c r="P461" i="21"/>
  <c r="Q1956" i="21"/>
  <c r="Q1936" i="21"/>
  <c r="Q1954" i="21"/>
  <c r="Q1917" i="21"/>
  <c r="Q1926" i="21"/>
  <c r="Q1925" i="21" s="1"/>
  <c r="N893" i="21"/>
  <c r="N900" i="21"/>
  <c r="N1520" i="21"/>
  <c r="N1521" i="21" s="1"/>
  <c r="N1609" i="21"/>
  <c r="N1610" i="21" s="1"/>
  <c r="R2014" i="21"/>
  <c r="R2035" i="21" s="1"/>
  <c r="Q2024" i="21"/>
  <c r="R2007" i="21"/>
  <c r="S1043" i="21"/>
  <c r="R1060" i="21"/>
  <c r="S1061" i="21" s="1"/>
  <c r="S1050" i="21"/>
  <c r="Q2013" i="21"/>
  <c r="Q2012" i="21" s="1"/>
  <c r="Q2004" i="21"/>
  <c r="Q2043" i="21"/>
  <c r="Q2041" i="21"/>
  <c r="Q2023" i="21"/>
  <c r="R1069" i="21"/>
  <c r="R1065" i="21" s="1"/>
  <c r="R1047" i="21"/>
  <c r="O1492" i="21"/>
  <c r="P796" i="21"/>
  <c r="O535" i="21"/>
  <c r="N982" i="21"/>
  <c r="O961" i="21"/>
  <c r="O953" i="21"/>
  <c r="O954" i="21"/>
  <c r="S2471" i="21"/>
  <c r="R2281" i="21"/>
  <c r="R2302" i="21" s="1"/>
  <c r="R2274" i="21"/>
  <c r="Q2291" i="21"/>
  <c r="U2455" i="21"/>
  <c r="U2476" i="21" s="1"/>
  <c r="U2448" i="21"/>
  <c r="T2465" i="21"/>
  <c r="Y2712" i="21"/>
  <c r="Y2710" i="21"/>
  <c r="X2727" i="21"/>
  <c r="X2724" i="21" s="1"/>
  <c r="T2562" i="21"/>
  <c r="T2558" i="21" s="1"/>
  <c r="T2540" i="21"/>
  <c r="P963" i="21"/>
  <c r="P956" i="21"/>
  <c r="O973" i="21"/>
  <c r="P974" i="21" s="1"/>
  <c r="N369" i="21"/>
  <c r="T2453" i="21"/>
  <c r="T2475" i="21"/>
  <c r="T2471" i="21" s="1"/>
  <c r="Q1231" i="21"/>
  <c r="Q523" i="21"/>
  <c r="Q521" i="21"/>
  <c r="P538" i="21"/>
  <c r="P535" i="21" s="1"/>
  <c r="S1224" i="21"/>
  <c r="S1217" i="21"/>
  <c r="R1234" i="21"/>
  <c r="S1235" i="21" s="1"/>
  <c r="P1476" i="21"/>
  <c r="O1504" i="21"/>
  <c r="P1483" i="21"/>
  <c r="P1475" i="21"/>
  <c r="Q1144" i="21"/>
  <c r="P548" i="21"/>
  <c r="M550" i="21" s="1"/>
  <c r="P525" i="21"/>
  <c r="V1322" i="21"/>
  <c r="Q1324" i="21" s="1"/>
  <c r="U1326" i="21"/>
  <c r="R1333" i="21"/>
  <c r="L717" i="21"/>
  <c r="T1834" i="21"/>
  <c r="T1838" i="21"/>
  <c r="S1828" i="21"/>
  <c r="T1831" i="21"/>
  <c r="S1848" i="21"/>
  <c r="U2621" i="21"/>
  <c r="U2625" i="21"/>
  <c r="T2619" i="21"/>
  <c r="U2628" i="21"/>
  <c r="T2638" i="21"/>
  <c r="O543" i="21"/>
  <c r="Q1740" i="21"/>
  <c r="P1769" i="21"/>
  <c r="Q1748" i="21"/>
  <c r="Q1741" i="21"/>
  <c r="M1388" i="21"/>
  <c r="M1389" i="21"/>
  <c r="L1363" i="21"/>
  <c r="L1366" i="21"/>
  <c r="L8" i="21" s="1"/>
  <c r="L1364" i="21"/>
  <c r="Q809" i="21"/>
  <c r="N811" i="21" s="1"/>
  <c r="Q786" i="21"/>
  <c r="U2629" i="21"/>
  <c r="U2650" i="21" s="1"/>
  <c r="U2622" i="21"/>
  <c r="T2639" i="21"/>
  <c r="S2558" i="21"/>
  <c r="O1509" i="21"/>
  <c r="U2538" i="21"/>
  <c r="T2532" i="21"/>
  <c r="U2541" i="21"/>
  <c r="U2534" i="21"/>
  <c r="T2551" i="21"/>
  <c r="S1137" i="21"/>
  <c r="S1130" i="21"/>
  <c r="R1147" i="21"/>
  <c r="S1148" i="21" s="1"/>
  <c r="W2724" i="21"/>
  <c r="S1216" i="21"/>
  <c r="S1219" i="21"/>
  <c r="S1223" i="21"/>
  <c r="R1213" i="21"/>
  <c r="R1233" i="21"/>
  <c r="R1134" i="21"/>
  <c r="R1156" i="21"/>
  <c r="X2714" i="21"/>
  <c r="X2737" i="21"/>
  <c r="U2739" i="21" s="1"/>
  <c r="R1221" i="21"/>
  <c r="R1243" i="21"/>
  <c r="R1239" i="21" s="1"/>
  <c r="R1750" i="21"/>
  <c r="R1743" i="21"/>
  <c r="Q1760" i="21"/>
  <c r="R1761" i="21" s="1"/>
  <c r="R2096" i="21"/>
  <c r="R2103" i="21"/>
  <c r="R2124" i="21" s="1"/>
  <c r="Q2113" i="21"/>
  <c r="T2445" i="21"/>
  <c r="U2454" i="21"/>
  <c r="U2447" i="21"/>
  <c r="U2451" i="21"/>
  <c r="T2464" i="21"/>
  <c r="T1839" i="21"/>
  <c r="T1832" i="21"/>
  <c r="S1849" i="21"/>
  <c r="T1850" i="21" s="1"/>
  <c r="R1846" i="21"/>
  <c r="O365" i="21"/>
  <c r="J367" i="21" s="1"/>
  <c r="J9" i="21" s="1"/>
  <c r="P1757" i="21"/>
  <c r="N701" i="21"/>
  <c r="N722" i="21" s="1"/>
  <c r="N694" i="21"/>
  <c r="M711" i="21"/>
  <c r="Q2208" i="21"/>
  <c r="W2732" i="21"/>
  <c r="Q1478" i="21"/>
  <c r="Q1485" i="21"/>
  <c r="P1495" i="21"/>
  <c r="Q1496" i="21" s="1"/>
  <c r="S1132" i="21"/>
  <c r="S1136" i="21"/>
  <c r="R1126" i="21"/>
  <c r="S1129" i="21"/>
  <c r="R1146" i="21"/>
  <c r="N697" i="21"/>
  <c r="M691" i="21"/>
  <c r="N700" i="21"/>
  <c r="N693" i="21"/>
  <c r="M710" i="21"/>
  <c r="P804" i="21"/>
  <c r="S2192" i="21"/>
  <c r="S2213" i="21" s="1"/>
  <c r="S2185" i="21"/>
  <c r="R2202" i="21"/>
  <c r="N970" i="21"/>
  <c r="P1774" i="21"/>
  <c r="R2212" i="21"/>
  <c r="R2208" i="21" s="1"/>
  <c r="R2190" i="21"/>
  <c r="R784" i="21"/>
  <c r="R782" i="21"/>
  <c r="Q799" i="21"/>
  <c r="Q796" i="21" s="1"/>
  <c r="S1858" i="21"/>
  <c r="S1836" i="21"/>
  <c r="T2627" i="21"/>
  <c r="T2649" i="21"/>
  <c r="T2645" i="21" s="1"/>
  <c r="U2542" i="21"/>
  <c r="U2563" i="21" s="1"/>
  <c r="U2535" i="21"/>
  <c r="T2552" i="21"/>
  <c r="M699" i="21"/>
  <c r="M721" i="21"/>
  <c r="Q2132" i="21"/>
  <c r="Q2093" i="21"/>
  <c r="Q2102" i="21"/>
  <c r="Q2101" i="21" s="1"/>
  <c r="Q2130" i="21"/>
  <c r="Q2121" i="21" s="1"/>
  <c r="Q2112" i="21"/>
  <c r="R2182" i="21"/>
  <c r="S2191" i="21"/>
  <c r="S2188" i="21"/>
  <c r="S2184" i="21"/>
  <c r="R2201" i="21"/>
  <c r="N987" i="21"/>
  <c r="Z3589" i="21" l="1"/>
  <c r="Z3586" i="21" s="1"/>
  <c r="Y3586" i="21"/>
  <c r="Z3591" i="21"/>
  <c r="Q2290" i="21"/>
  <c r="Q2289" i="21" s="1"/>
  <c r="Q2308" i="21"/>
  <c r="Q2299" i="21" s="1"/>
  <c r="Q2280" i="21"/>
  <c r="Q2279" i="21" s="1"/>
  <c r="Q2271" i="21"/>
  <c r="Y3502" i="21"/>
  <c r="Y3500" i="21"/>
  <c r="Y3497" i="21" s="1"/>
  <c r="X3497" i="21"/>
  <c r="L6" i="21"/>
  <c r="K5" i="22" s="1"/>
  <c r="L3" i="21"/>
  <c r="K3" i="22" s="1"/>
  <c r="Q2022" i="21"/>
  <c r="T2376" i="21"/>
  <c r="T2463" i="21"/>
  <c r="Q1935" i="21"/>
  <c r="Q1945" i="21"/>
  <c r="Q1952" i="21"/>
  <c r="P871" i="21"/>
  <c r="P867" i="21"/>
  <c r="P874" i="21"/>
  <c r="O865" i="21"/>
  <c r="O884" i="21"/>
  <c r="U2388" i="21"/>
  <c r="U2384" i="21" s="1"/>
  <c r="U2366" i="21"/>
  <c r="P868" i="21"/>
  <c r="P875" i="21"/>
  <c r="P896" i="21" s="1"/>
  <c r="O885" i="21"/>
  <c r="Q1947" i="21"/>
  <c r="R1926" i="21"/>
  <c r="R1918" i="21"/>
  <c r="R1919" i="21"/>
  <c r="S1070" i="21"/>
  <c r="S1047" i="21"/>
  <c r="R2025" i="21"/>
  <c r="S2026" i="21" s="1"/>
  <c r="S2015" i="21"/>
  <c r="S2008" i="21"/>
  <c r="P456" i="21"/>
  <c r="M463" i="21"/>
  <c r="U2378" i="21"/>
  <c r="V2361" i="21"/>
  <c r="V2364" i="21"/>
  <c r="V2368" i="21"/>
  <c r="U2358" i="21"/>
  <c r="R1057" i="21"/>
  <c r="N1631" i="21"/>
  <c r="N1628" i="21"/>
  <c r="N1629" i="21"/>
  <c r="O1654" i="21"/>
  <c r="O1653" i="21"/>
  <c r="T1045" i="21"/>
  <c r="T1043" i="21"/>
  <c r="S1060" i="21"/>
  <c r="S1057" i="21" s="1"/>
  <c r="N1542" i="21"/>
  <c r="O1564" i="21"/>
  <c r="N1540" i="21"/>
  <c r="O1565" i="21"/>
  <c r="N1539" i="21"/>
  <c r="S1921" i="21"/>
  <c r="S1928" i="21"/>
  <c r="R1938" i="21"/>
  <c r="S1939" i="21" s="1"/>
  <c r="Q2032" i="21"/>
  <c r="Q2039" i="21"/>
  <c r="R2006" i="21"/>
  <c r="R2005" i="21"/>
  <c r="Q2034" i="21"/>
  <c r="R2013" i="21"/>
  <c r="N891" i="21"/>
  <c r="V2369" i="21"/>
  <c r="V2362" i="21"/>
  <c r="U2379" i="21"/>
  <c r="V2380" i="21" s="1"/>
  <c r="O895" i="21"/>
  <c r="O891" i="21" s="1"/>
  <c r="O873" i="21"/>
  <c r="Q452" i="21"/>
  <c r="L454" i="21" s="1"/>
  <c r="R2200" i="21"/>
  <c r="Y2728" i="21"/>
  <c r="T2730" i="21" s="1"/>
  <c r="M709" i="21"/>
  <c r="R1231" i="21"/>
  <c r="Q539" i="21"/>
  <c r="L541" i="21" s="1"/>
  <c r="R1144" i="21"/>
  <c r="N978" i="21"/>
  <c r="U1834" i="21"/>
  <c r="U1832" i="21"/>
  <c r="T1849" i="21"/>
  <c r="T1846" i="21" s="1"/>
  <c r="Q2128" i="21"/>
  <c r="U2627" i="21"/>
  <c r="U2649" i="21"/>
  <c r="Q1476" i="21"/>
  <c r="Q1480" i="21"/>
  <c r="Q1483" i="21"/>
  <c r="P1474" i="21"/>
  <c r="P1493" i="21"/>
  <c r="U2445" i="21"/>
  <c r="V2448" i="21"/>
  <c r="V2455" i="21"/>
  <c r="V2451" i="21"/>
  <c r="U2465" i="21"/>
  <c r="R1152" i="21"/>
  <c r="T2186" i="21"/>
  <c r="T2193" i="21"/>
  <c r="S2203" i="21"/>
  <c r="T2204" i="21" s="1"/>
  <c r="O702" i="21"/>
  <c r="O695" i="21"/>
  <c r="N712" i="21"/>
  <c r="O713" i="21" s="1"/>
  <c r="U2453" i="21"/>
  <c r="U2475" i="21"/>
  <c r="V2625" i="21"/>
  <c r="V2629" i="21"/>
  <c r="U2619" i="21"/>
  <c r="V2622" i="21"/>
  <c r="U2639" i="21"/>
  <c r="P543" i="21"/>
  <c r="Q1484" i="21"/>
  <c r="Q1505" i="21" s="1"/>
  <c r="Q1477" i="21"/>
  <c r="P1494" i="21"/>
  <c r="S2282" i="21"/>
  <c r="S2275" i="21"/>
  <c r="R2292" i="21"/>
  <c r="S2293" i="21" s="1"/>
  <c r="V2543" i="21"/>
  <c r="V2536" i="21"/>
  <c r="U2553" i="21"/>
  <c r="V2554" i="21" s="1"/>
  <c r="T1132" i="21"/>
  <c r="T1130" i="21"/>
  <c r="S1147" i="21"/>
  <c r="S1144" i="21" s="1"/>
  <c r="V2630" i="21"/>
  <c r="V2623" i="21"/>
  <c r="U2640" i="21"/>
  <c r="V2641" i="21" s="1"/>
  <c r="R2095" i="21"/>
  <c r="Q2123" i="21"/>
  <c r="R2094" i="21"/>
  <c r="R2102" i="21"/>
  <c r="S1134" i="21"/>
  <c r="S1157" i="21"/>
  <c r="P1159" i="21" s="1"/>
  <c r="R1749" i="21"/>
  <c r="R1770" i="21" s="1"/>
  <c r="R1742" i="21"/>
  <c r="Q1759" i="21"/>
  <c r="S1846" i="21"/>
  <c r="T2550" i="21"/>
  <c r="R2273" i="21"/>
  <c r="R2272" i="21"/>
  <c r="Q2301" i="21"/>
  <c r="R2280" i="21"/>
  <c r="J10" i="21"/>
  <c r="V2538" i="21"/>
  <c r="V2542" i="21"/>
  <c r="U2532" i="21"/>
  <c r="V2535" i="21"/>
  <c r="U2552" i="21"/>
  <c r="S2097" i="21"/>
  <c r="S2104" i="21"/>
  <c r="R2114" i="21"/>
  <c r="S2115" i="21" s="1"/>
  <c r="S1221" i="21"/>
  <c r="S1244" i="21"/>
  <c r="U2562" i="21"/>
  <c r="U2540" i="21"/>
  <c r="R1745" i="21"/>
  <c r="Q1739" i="21"/>
  <c r="R1748" i="21"/>
  <c r="R1741" i="21"/>
  <c r="Q1758" i="21"/>
  <c r="T1859" i="21"/>
  <c r="Q1861" i="21" s="1"/>
  <c r="T1836" i="21"/>
  <c r="P955" i="21"/>
  <c r="P962" i="21"/>
  <c r="P983" i="21" s="1"/>
  <c r="O972" i="21"/>
  <c r="P1482" i="21"/>
  <c r="P1504" i="21"/>
  <c r="P1500" i="21" s="1"/>
  <c r="Q1769" i="21"/>
  <c r="Q1765" i="21" s="1"/>
  <c r="Q1747" i="21"/>
  <c r="M717" i="21"/>
  <c r="P958" i="21"/>
  <c r="O952" i="21"/>
  <c r="P954" i="21"/>
  <c r="P961" i="21"/>
  <c r="O971" i="21"/>
  <c r="O982" i="21"/>
  <c r="O978" i="21" s="1"/>
  <c r="O960" i="21"/>
  <c r="S2212" i="21"/>
  <c r="S2208" i="21" s="1"/>
  <c r="S2190" i="21"/>
  <c r="O701" i="21"/>
  <c r="N691" i="21"/>
  <c r="O694" i="21"/>
  <c r="O697" i="21"/>
  <c r="N711" i="21"/>
  <c r="X2732" i="21"/>
  <c r="T1219" i="21"/>
  <c r="T1217" i="21"/>
  <c r="S1234" i="21"/>
  <c r="S1231" i="21" s="1"/>
  <c r="N1390" i="21"/>
  <c r="N1397" i="21"/>
  <c r="N1418" i="21" s="1"/>
  <c r="M1407" i="21"/>
  <c r="P1765" i="21"/>
  <c r="N699" i="21"/>
  <c r="N721" i="21"/>
  <c r="O1500" i="21"/>
  <c r="M1426" i="21"/>
  <c r="M1387" i="21"/>
  <c r="M1424" i="21"/>
  <c r="M1396" i="21"/>
  <c r="M1395" i="21" s="1"/>
  <c r="M1406" i="21"/>
  <c r="Q804" i="21"/>
  <c r="T2188" i="21"/>
  <c r="T2192" i="21"/>
  <c r="S2182" i="21"/>
  <c r="T2185" i="21"/>
  <c r="S2202" i="21"/>
  <c r="S1854" i="21"/>
  <c r="Q2111" i="21"/>
  <c r="R800" i="21"/>
  <c r="M802" i="21" s="1"/>
  <c r="T2637" i="21"/>
  <c r="V2449" i="21"/>
  <c r="V2456" i="21"/>
  <c r="U2466" i="21"/>
  <c r="V2467" i="21" s="1"/>
  <c r="Q2306" i="21" l="1"/>
  <c r="L4" i="21"/>
  <c r="N2752" i="21"/>
  <c r="M2750" i="21"/>
  <c r="M2751" i="21" s="1"/>
  <c r="M1415" i="21"/>
  <c r="M13" i="21" s="1"/>
  <c r="Q2030" i="21"/>
  <c r="O883" i="21"/>
  <c r="U2550" i="21"/>
  <c r="O1691" i="21"/>
  <c r="O1652" i="21"/>
  <c r="O1689" i="21"/>
  <c r="O1661" i="21"/>
  <c r="O1660" i="21" s="1"/>
  <c r="O1671" i="21"/>
  <c r="P886" i="21"/>
  <c r="Q887" i="21" s="1"/>
  <c r="Q869" i="21"/>
  <c r="Q876" i="21"/>
  <c r="P1662" i="21"/>
  <c r="P1683" i="21" s="1"/>
  <c r="P1655" i="21"/>
  <c r="O1672" i="21"/>
  <c r="U1850" i="21"/>
  <c r="P1852" i="21" s="1"/>
  <c r="P1573" i="21"/>
  <c r="P1594" i="21" s="1"/>
  <c r="O1583" i="21"/>
  <c r="P1566" i="21"/>
  <c r="S1065" i="21"/>
  <c r="P1072" i="21"/>
  <c r="P895" i="21"/>
  <c r="P891" i="21" s="1"/>
  <c r="P873" i="21"/>
  <c r="S1927" i="21"/>
  <c r="S1948" i="21" s="1"/>
  <c r="S1920" i="21"/>
  <c r="R1937" i="21"/>
  <c r="Q871" i="21"/>
  <c r="Q868" i="21"/>
  <c r="Q875" i="21"/>
  <c r="P865" i="21"/>
  <c r="P885" i="21"/>
  <c r="R2034" i="21"/>
  <c r="R2030" i="21" s="1"/>
  <c r="R2012" i="21"/>
  <c r="O1582" i="21"/>
  <c r="O1572" i="21"/>
  <c r="O1571" i="21" s="1"/>
  <c r="O1600" i="21"/>
  <c r="O1602" i="21"/>
  <c r="O1563" i="21"/>
  <c r="V2366" i="21"/>
  <c r="V2389" i="21"/>
  <c r="S1923" i="21"/>
  <c r="S1926" i="21"/>
  <c r="S1919" i="21"/>
  <c r="R1917" i="21"/>
  <c r="R1936" i="21"/>
  <c r="R1925" i="21"/>
  <c r="R1947" i="21"/>
  <c r="R1943" i="21" s="1"/>
  <c r="R2004" i="21"/>
  <c r="S2006" i="21"/>
  <c r="S2013" i="21"/>
  <c r="S2010" i="21"/>
  <c r="R2023" i="21"/>
  <c r="W2364" i="21"/>
  <c r="W2362" i="21"/>
  <c r="V2379" i="21"/>
  <c r="Q1943" i="21"/>
  <c r="S2007" i="21"/>
  <c r="S2014" i="21"/>
  <c r="S2035" i="21" s="1"/>
  <c r="R2024" i="21"/>
  <c r="U2376" i="21"/>
  <c r="T1061" i="21"/>
  <c r="O1063" i="21" s="1"/>
  <c r="S2200" i="21"/>
  <c r="P1492" i="21"/>
  <c r="N709" i="21"/>
  <c r="Q1757" i="21"/>
  <c r="U2637" i="21"/>
  <c r="T1235" i="21"/>
  <c r="O1237" i="21" s="1"/>
  <c r="T2190" i="21"/>
  <c r="T2213" i="21"/>
  <c r="T2208" i="21" s="1"/>
  <c r="S2096" i="21"/>
  <c r="S2103" i="21"/>
  <c r="S2124" i="21" s="1"/>
  <c r="R2113" i="21"/>
  <c r="Q2297" i="21"/>
  <c r="M1405" i="21"/>
  <c r="R1769" i="21"/>
  <c r="R1765" i="21" s="1"/>
  <c r="R1747" i="21"/>
  <c r="S2273" i="21"/>
  <c r="S2277" i="21"/>
  <c r="R2271" i="21"/>
  <c r="S2280" i="21"/>
  <c r="R2290" i="21"/>
  <c r="S2281" i="21"/>
  <c r="S2302" i="21" s="1"/>
  <c r="S2274" i="21"/>
  <c r="R2291" i="21"/>
  <c r="W2625" i="21"/>
  <c r="W2623" i="21"/>
  <c r="V2640" i="21"/>
  <c r="V2637" i="21" s="1"/>
  <c r="Q1504" i="21"/>
  <c r="Q1482" i="21"/>
  <c r="Q962" i="21"/>
  <c r="Q955" i="21"/>
  <c r="Q958" i="21"/>
  <c r="P952" i="21"/>
  <c r="P972" i="21"/>
  <c r="R2279" i="21"/>
  <c r="R2301" i="21"/>
  <c r="R2297" i="21" s="1"/>
  <c r="M1422" i="21"/>
  <c r="S1743" i="21"/>
  <c r="S1750" i="21"/>
  <c r="R1760" i="21"/>
  <c r="S1761" i="21" s="1"/>
  <c r="Q956" i="21"/>
  <c r="Q963" i="21"/>
  <c r="P973" i="21"/>
  <c r="Q974" i="21" s="1"/>
  <c r="V2627" i="21"/>
  <c r="V2650" i="21"/>
  <c r="V2645" i="21" s="1"/>
  <c r="R1484" i="21"/>
  <c r="Q1474" i="21"/>
  <c r="R1480" i="21"/>
  <c r="R1477" i="21"/>
  <c r="Q1494" i="21"/>
  <c r="P695" i="21"/>
  <c r="P697" i="21"/>
  <c r="O712" i="21"/>
  <c r="O709" i="21" s="1"/>
  <c r="W2538" i="21"/>
  <c r="W2536" i="21"/>
  <c r="V2553" i="21"/>
  <c r="V2550" i="21" s="1"/>
  <c r="U2645" i="21"/>
  <c r="S1745" i="21"/>
  <c r="S1749" i="21"/>
  <c r="R1739" i="21"/>
  <c r="S1742" i="21"/>
  <c r="R1759" i="21"/>
  <c r="N1388" i="21"/>
  <c r="N1396" i="21"/>
  <c r="M1417" i="21"/>
  <c r="M14" i="21" s="1"/>
  <c r="N1389" i="21"/>
  <c r="S1152" i="21"/>
  <c r="U2471" i="21"/>
  <c r="U2463" i="21"/>
  <c r="O1398" i="21"/>
  <c r="O1391" i="21"/>
  <c r="N1408" i="21"/>
  <c r="O1409" i="21" s="1"/>
  <c r="U2558" i="21"/>
  <c r="V2540" i="21"/>
  <c r="V2563" i="21"/>
  <c r="V2558" i="21" s="1"/>
  <c r="T1148" i="21"/>
  <c r="O1150" i="21" s="1"/>
  <c r="S1239" i="21"/>
  <c r="P1246" i="21"/>
  <c r="V2453" i="21"/>
  <c r="V2476" i="21"/>
  <c r="Q2119" i="21"/>
  <c r="O970" i="21"/>
  <c r="R2101" i="21"/>
  <c r="R2123" i="21"/>
  <c r="R2119" i="21" s="1"/>
  <c r="R1478" i="21"/>
  <c r="R1485" i="21"/>
  <c r="Q1495" i="21"/>
  <c r="R1496" i="21" s="1"/>
  <c r="W2449" i="21"/>
  <c r="W2451" i="21"/>
  <c r="V2466" i="21"/>
  <c r="V2463" i="21" s="1"/>
  <c r="O722" i="21"/>
  <c r="L724" i="21" s="1"/>
  <c r="J7" i="22" s="1"/>
  <c r="O699" i="21"/>
  <c r="U2186" i="21"/>
  <c r="U2188" i="21"/>
  <c r="T2203" i="21"/>
  <c r="T2200" i="21" s="1"/>
  <c r="N717" i="21"/>
  <c r="P960" i="21"/>
  <c r="P982" i="21"/>
  <c r="T1854" i="21"/>
  <c r="S2102" i="21"/>
  <c r="R2093" i="21"/>
  <c r="S2099" i="21"/>
  <c r="S2095" i="21"/>
  <c r="R2112" i="21"/>
  <c r="N2794" i="21" l="1"/>
  <c r="N2795" i="21"/>
  <c r="M2769" i="21"/>
  <c r="M3" i="21" s="1"/>
  <c r="M2772" i="21"/>
  <c r="M8" i="21" s="1"/>
  <c r="M2770" i="21"/>
  <c r="M6" i="21" s="1"/>
  <c r="O1581" i="21"/>
  <c r="P883" i="21"/>
  <c r="S2012" i="21"/>
  <c r="S2034" i="21"/>
  <c r="S2030" i="21" s="1"/>
  <c r="S2024" i="21"/>
  <c r="T2014" i="21"/>
  <c r="S2004" i="21"/>
  <c r="T2007" i="21"/>
  <c r="T2010" i="21"/>
  <c r="P1565" i="21"/>
  <c r="P1572" i="21"/>
  <c r="P1564" i="21"/>
  <c r="O1593" i="21"/>
  <c r="T1928" i="21"/>
  <c r="S1938" i="21"/>
  <c r="T1939" i="21" s="1"/>
  <c r="T1921" i="21"/>
  <c r="Q1656" i="21"/>
  <c r="P1673" i="21"/>
  <c r="Q1674" i="21" s="1"/>
  <c r="Q1663" i="21"/>
  <c r="O1591" i="21"/>
  <c r="O1598" i="21"/>
  <c r="T2008" i="21"/>
  <c r="S2025" i="21"/>
  <c r="T2026" i="21" s="1"/>
  <c r="T2015" i="21"/>
  <c r="R1935" i="21"/>
  <c r="O1670" i="21"/>
  <c r="V2376" i="21"/>
  <c r="W2380" i="21"/>
  <c r="R2382" i="21" s="1"/>
  <c r="T1927" i="21"/>
  <c r="S1917" i="21"/>
  <c r="T1923" i="21"/>
  <c r="S1937" i="21"/>
  <c r="T1920" i="21"/>
  <c r="Q1567" i="21"/>
  <c r="Q1574" i="21"/>
  <c r="P1584" i="21"/>
  <c r="Q1585" i="21" s="1"/>
  <c r="S1925" i="21"/>
  <c r="S1947" i="21"/>
  <c r="S1943" i="21" s="1"/>
  <c r="O1680" i="21"/>
  <c r="O1687" i="21"/>
  <c r="Q873" i="21"/>
  <c r="Q896" i="21"/>
  <c r="R2022" i="21"/>
  <c r="V2384" i="21"/>
  <c r="S2391" i="21"/>
  <c r="R871" i="21"/>
  <c r="Q886" i="21"/>
  <c r="R869" i="21"/>
  <c r="P1661" i="21"/>
  <c r="P1654" i="21"/>
  <c r="O1682" i="21"/>
  <c r="P1653" i="21"/>
  <c r="W2554" i="21"/>
  <c r="R2556" i="21" s="1"/>
  <c r="R2111" i="21"/>
  <c r="P713" i="21"/>
  <c r="K715" i="21" s="1"/>
  <c r="W2641" i="21"/>
  <c r="R2643" i="21" s="1"/>
  <c r="S2652" i="21"/>
  <c r="Q1492" i="21"/>
  <c r="R2289" i="21"/>
  <c r="Q960" i="21"/>
  <c r="Q983" i="21"/>
  <c r="N985" i="21" s="1"/>
  <c r="T2282" i="21"/>
  <c r="T2275" i="21"/>
  <c r="S2292" i="21"/>
  <c r="T2293" i="21" s="1"/>
  <c r="T2097" i="21"/>
  <c r="T2104" i="21"/>
  <c r="S2114" i="21"/>
  <c r="T2115" i="21" s="1"/>
  <c r="O717" i="21"/>
  <c r="O1390" i="21"/>
  <c r="O1397" i="21"/>
  <c r="O1418" i="21" s="1"/>
  <c r="N1407" i="21"/>
  <c r="S2123" i="21"/>
  <c r="S2119" i="21" s="1"/>
  <c r="S2101" i="21"/>
  <c r="P978" i="21"/>
  <c r="W2467" i="21"/>
  <c r="R2469" i="21" s="1"/>
  <c r="Q2215" i="21"/>
  <c r="N1417" i="21"/>
  <c r="N1395" i="21"/>
  <c r="R1505" i="21"/>
  <c r="R1482" i="21"/>
  <c r="M1413" i="21"/>
  <c r="M12" i="21" s="1"/>
  <c r="Q1500" i="21"/>
  <c r="T2277" i="21"/>
  <c r="T2281" i="21"/>
  <c r="S2271" i="21"/>
  <c r="T2274" i="21"/>
  <c r="S2291" i="21"/>
  <c r="O1393" i="21"/>
  <c r="O1396" i="21"/>
  <c r="O1389" i="21"/>
  <c r="N1387" i="21"/>
  <c r="N1406" i="21"/>
  <c r="S1478" i="21"/>
  <c r="S1480" i="21"/>
  <c r="R1495" i="21"/>
  <c r="R1492" i="21" s="1"/>
  <c r="R1757" i="21"/>
  <c r="K22" i="21"/>
  <c r="K16" i="21"/>
  <c r="K18" i="21"/>
  <c r="K20" i="21" s="1"/>
  <c r="K15" i="21"/>
  <c r="T1743" i="21"/>
  <c r="T1745" i="21"/>
  <c r="S1760" i="21"/>
  <c r="S1757" i="21" s="1"/>
  <c r="U2204" i="21"/>
  <c r="P2206" i="21" s="1"/>
  <c r="R958" i="21"/>
  <c r="R956" i="21"/>
  <c r="Q973" i="21"/>
  <c r="Q970" i="21" s="1"/>
  <c r="S2565" i="21"/>
  <c r="S1747" i="21"/>
  <c r="S1770" i="21"/>
  <c r="P970" i="21"/>
  <c r="V2471" i="21"/>
  <c r="S2478" i="21"/>
  <c r="T2096" i="21"/>
  <c r="T2103" i="21"/>
  <c r="S2093" i="21"/>
  <c r="T2099" i="21"/>
  <c r="S2113" i="21"/>
  <c r="S2279" i="21"/>
  <c r="S2301" i="21"/>
  <c r="K9" i="21" l="1"/>
  <c r="K10" i="21" s="1"/>
  <c r="K24" i="21"/>
  <c r="J9" i="22" s="1"/>
  <c r="L5" i="22"/>
  <c r="L3" i="22"/>
  <c r="M4" i="21"/>
  <c r="O2796" i="21"/>
  <c r="O2803" i="21"/>
  <c r="O2824" i="21" s="1"/>
  <c r="N2813" i="21"/>
  <c r="N2832" i="21"/>
  <c r="N2793" i="21"/>
  <c r="N2830" i="21"/>
  <c r="N2802" i="21"/>
  <c r="N2801" i="21" s="1"/>
  <c r="N2812" i="21"/>
  <c r="S1935" i="21"/>
  <c r="S2111" i="21"/>
  <c r="P1682" i="21"/>
  <c r="P1678" i="21" s="1"/>
  <c r="P1660" i="21"/>
  <c r="Q1565" i="21"/>
  <c r="Q1569" i="21"/>
  <c r="P1563" i="21"/>
  <c r="P1582" i="21"/>
  <c r="Q1572" i="21"/>
  <c r="Q883" i="21"/>
  <c r="R887" i="21"/>
  <c r="M889" i="21" s="1"/>
  <c r="P1571" i="21"/>
  <c r="P1593" i="21"/>
  <c r="P1589" i="21" s="1"/>
  <c r="Q1655" i="21"/>
  <c r="Q1662" i="21"/>
  <c r="Q1683" i="21" s="1"/>
  <c r="P1672" i="21"/>
  <c r="Q1566" i="21"/>
  <c r="Q1573" i="21"/>
  <c r="Q1594" i="21" s="1"/>
  <c r="P1583" i="21"/>
  <c r="U1921" i="21"/>
  <c r="U1923" i="21"/>
  <c r="T1938" i="21"/>
  <c r="O1589" i="21"/>
  <c r="U2010" i="21"/>
  <c r="U2008" i="21"/>
  <c r="T2025" i="21"/>
  <c r="T2022" i="21" s="1"/>
  <c r="Q891" i="21"/>
  <c r="N898" i="21"/>
  <c r="T2012" i="21"/>
  <c r="T2035" i="21"/>
  <c r="T1925" i="21"/>
  <c r="T1948" i="21"/>
  <c r="S2022" i="21"/>
  <c r="Q1661" i="21"/>
  <c r="Q1658" i="21"/>
  <c r="Q1654" i="21"/>
  <c r="P1671" i="21"/>
  <c r="P1652" i="21"/>
  <c r="O1678" i="21"/>
  <c r="N1405" i="21"/>
  <c r="S1496" i="21"/>
  <c r="N1498" i="21" s="1"/>
  <c r="R974" i="21"/>
  <c r="M976" i="21" s="1"/>
  <c r="S2289" i="21"/>
  <c r="R1500" i="21"/>
  <c r="U2097" i="21"/>
  <c r="U2099" i="21"/>
  <c r="T2114" i="21"/>
  <c r="T2111" i="21" s="1"/>
  <c r="N1413" i="21"/>
  <c r="L7" i="22" s="1"/>
  <c r="U2277" i="21"/>
  <c r="U2275" i="21"/>
  <c r="T2292" i="21"/>
  <c r="T2289" i="21" s="1"/>
  <c r="T2101" i="21"/>
  <c r="T2124" i="21"/>
  <c r="T2302" i="21"/>
  <c r="T2297" i="21" s="1"/>
  <c r="T2279" i="21"/>
  <c r="T1761" i="21"/>
  <c r="O1763" i="21" s="1"/>
  <c r="O1507" i="21"/>
  <c r="S1765" i="21"/>
  <c r="P1772" i="21"/>
  <c r="P1398" i="21"/>
  <c r="P1391" i="21"/>
  <c r="O1408" i="21"/>
  <c r="P1409" i="21" s="1"/>
  <c r="Q978" i="21"/>
  <c r="P1393" i="21"/>
  <c r="P1397" i="21"/>
  <c r="P1390" i="21"/>
  <c r="O1387" i="21"/>
  <c r="O1407" i="21"/>
  <c r="S2297" i="21"/>
  <c r="O1417" i="21"/>
  <c r="O1395" i="21"/>
  <c r="N2839" i="21" l="1"/>
  <c r="N2840" i="21" s="1"/>
  <c r="O2795" i="21"/>
  <c r="O2802" i="21"/>
  <c r="O2794" i="21"/>
  <c r="N2823" i="21"/>
  <c r="N14" i="21" s="1"/>
  <c r="P2797" i="21"/>
  <c r="P2804" i="21"/>
  <c r="O2814" i="21"/>
  <c r="P2815" i="21" s="1"/>
  <c r="N2821" i="21"/>
  <c r="N13" i="21" s="1"/>
  <c r="N2828" i="21"/>
  <c r="N2811" i="21"/>
  <c r="T1943" i="21"/>
  <c r="O1405" i="21"/>
  <c r="U2026" i="21"/>
  <c r="P2028" i="21" s="1"/>
  <c r="Q1652" i="21"/>
  <c r="R1655" i="21"/>
  <c r="R1658" i="21"/>
  <c r="R1662" i="21"/>
  <c r="Q1672" i="21"/>
  <c r="Q1660" i="21"/>
  <c r="Q1682" i="21"/>
  <c r="Q1678" i="21" s="1"/>
  <c r="T1935" i="21"/>
  <c r="U1939" i="21"/>
  <c r="P1941" i="21" s="1"/>
  <c r="Q1571" i="21"/>
  <c r="Q1593" i="21"/>
  <c r="T2030" i="21"/>
  <c r="Q2037" i="21"/>
  <c r="P1581" i="21"/>
  <c r="R1574" i="21"/>
  <c r="R1567" i="21"/>
  <c r="Q1584" i="21"/>
  <c r="R1585" i="21" s="1"/>
  <c r="Q1950" i="21"/>
  <c r="R1573" i="21"/>
  <c r="R1566" i="21"/>
  <c r="Q1563" i="21"/>
  <c r="Q1583" i="21"/>
  <c r="R1569" i="21"/>
  <c r="P1670" i="21"/>
  <c r="R1656" i="21"/>
  <c r="R1663" i="21"/>
  <c r="Q1673" i="21"/>
  <c r="R1674" i="21" s="1"/>
  <c r="Q2304" i="21"/>
  <c r="M15" i="21"/>
  <c r="M18" i="21"/>
  <c r="M22" i="21"/>
  <c r="O1413" i="21"/>
  <c r="P1395" i="21"/>
  <c r="P1418" i="21"/>
  <c r="T2119" i="21"/>
  <c r="Q2126" i="21"/>
  <c r="Q1393" i="21"/>
  <c r="Q1391" i="21"/>
  <c r="P1408" i="21"/>
  <c r="P1405" i="21" s="1"/>
  <c r="U2293" i="21"/>
  <c r="P2295" i="21" s="1"/>
  <c r="U2115" i="21"/>
  <c r="P2117" i="21" s="1"/>
  <c r="O2883" i="21" l="1"/>
  <c r="O2919" i="21" s="1"/>
  <c r="P2930" i="21" s="1"/>
  <c r="O2884" i="21"/>
  <c r="P2892" i="21" s="1"/>
  <c r="P2913" i="21" s="1"/>
  <c r="N2859" i="21"/>
  <c r="N6" i="21" s="1"/>
  <c r="N2861" i="21"/>
  <c r="N8" i="21" s="1"/>
  <c r="N2858" i="21"/>
  <c r="N3" i="21" s="1"/>
  <c r="N2819" i="21"/>
  <c r="N12" i="21" s="1"/>
  <c r="P2795" i="21"/>
  <c r="P2802" i="21"/>
  <c r="O2793" i="21"/>
  <c r="P2799" i="21"/>
  <c r="O2812" i="21"/>
  <c r="O2801" i="21"/>
  <c r="O2823" i="21"/>
  <c r="P2796" i="21"/>
  <c r="P2803" i="21"/>
  <c r="P2824" i="21" s="1"/>
  <c r="O2813" i="21"/>
  <c r="Q1581" i="21"/>
  <c r="Q1670" i="21"/>
  <c r="Q1589" i="21"/>
  <c r="S1569" i="21"/>
  <c r="S1567" i="21"/>
  <c r="R1584" i="21"/>
  <c r="R1581" i="21" s="1"/>
  <c r="R1594" i="21"/>
  <c r="R1571" i="21"/>
  <c r="R1660" i="21"/>
  <c r="R1683" i="21"/>
  <c r="S1658" i="21"/>
  <c r="S1656" i="21"/>
  <c r="R1673" i="21"/>
  <c r="Q1409" i="21"/>
  <c r="L1411" i="21" s="1"/>
  <c r="P1413" i="21"/>
  <c r="M1420" i="21"/>
  <c r="L9" i="21" l="1"/>
  <c r="L10" i="21" s="1"/>
  <c r="L14" i="21"/>
  <c r="L12" i="21"/>
  <c r="K7" i="22" s="1"/>
  <c r="O2819" i="21"/>
  <c r="O2901" i="21"/>
  <c r="O2891" i="21"/>
  <c r="O2890" i="21" s="1"/>
  <c r="O2921" i="21"/>
  <c r="P2884" i="21" s="1"/>
  <c r="O2902" i="21"/>
  <c r="O2882" i="21"/>
  <c r="P2885" i="21"/>
  <c r="Q2886" i="21" s="1"/>
  <c r="O2928" i="21"/>
  <c r="O2929" i="21" s="1"/>
  <c r="O2910" i="21"/>
  <c r="O13" i="21" s="1"/>
  <c r="O2917" i="21"/>
  <c r="Q2797" i="21"/>
  <c r="Q2804" i="21"/>
  <c r="P2814" i="21"/>
  <c r="Q2815" i="21" s="1"/>
  <c r="P2801" i="21"/>
  <c r="P2823" i="21"/>
  <c r="Q2796" i="21"/>
  <c r="Q2799" i="21"/>
  <c r="Q2803" i="21"/>
  <c r="P2793" i="21"/>
  <c r="P2813" i="21"/>
  <c r="O2811" i="21"/>
  <c r="O1596" i="21"/>
  <c r="R1670" i="21"/>
  <c r="S1674" i="21"/>
  <c r="N1676" i="21" s="1"/>
  <c r="R1678" i="21"/>
  <c r="O1685" i="21"/>
  <c r="M7" i="22" s="1"/>
  <c r="R1589" i="21"/>
  <c r="S1585" i="21"/>
  <c r="N1587" i="21" s="1"/>
  <c r="L15" i="21" l="1"/>
  <c r="L22" i="21"/>
  <c r="L18" i="21"/>
  <c r="L20" i="21" s="1"/>
  <c r="M20" i="21" s="1"/>
  <c r="L16" i="21"/>
  <c r="L24" i="21" s="1"/>
  <c r="K9" i="22" s="1"/>
  <c r="O2900" i="21"/>
  <c r="P2883" i="21"/>
  <c r="Q2884" i="21" s="1"/>
  <c r="O2912" i="21"/>
  <c r="P2891" i="21"/>
  <c r="P2890" i="21" s="1"/>
  <c r="P2903" i="21"/>
  <c r="Q2904" i="21" s="1"/>
  <c r="Q2893" i="21"/>
  <c r="O2947" i="21"/>
  <c r="O3" i="21" s="1"/>
  <c r="N3" i="22" s="1"/>
  <c r="P2973" i="21"/>
  <c r="Q2974" i="21" s="1"/>
  <c r="P2972" i="21"/>
  <c r="O2950" i="21"/>
  <c r="O8" i="21" s="1"/>
  <c r="O2948" i="21"/>
  <c r="O6" i="21" s="1"/>
  <c r="N5" i="22" s="1"/>
  <c r="M5" i="22"/>
  <c r="P2811" i="21"/>
  <c r="Q2885" i="21"/>
  <c r="Q2892" i="21"/>
  <c r="Q2913" i="21" s="1"/>
  <c r="P2902" i="21"/>
  <c r="Q2801" i="21"/>
  <c r="Q2824" i="21"/>
  <c r="R2799" i="21"/>
  <c r="R2797" i="21"/>
  <c r="Q2814" i="21"/>
  <c r="Q2811" i="21" s="1"/>
  <c r="P2819" i="21"/>
  <c r="N15" i="21"/>
  <c r="M16" i="21" l="1"/>
  <c r="M24" i="21" s="1"/>
  <c r="L9" i="22" s="1"/>
  <c r="O2908" i="21"/>
  <c r="O12" i="21" s="1"/>
  <c r="O14" i="21"/>
  <c r="P2912" i="21"/>
  <c r="P2901" i="21"/>
  <c r="P2900" i="21" s="1"/>
  <c r="Q2891" i="21"/>
  <c r="Q2890" i="21" s="1"/>
  <c r="P2882" i="21"/>
  <c r="Q2888" i="21"/>
  <c r="R2888" i="21" s="1"/>
  <c r="P2971" i="21"/>
  <c r="P2991" i="21"/>
  <c r="Q2981" i="21"/>
  <c r="Q3002" i="21" s="1"/>
  <c r="P3010" i="21"/>
  <c r="Q2980" i="21" s="1"/>
  <c r="P2990" i="21"/>
  <c r="P2980" i="21"/>
  <c r="P2979" i="21" s="1"/>
  <c r="P3008" i="21"/>
  <c r="N4" i="21"/>
  <c r="O4" i="21" s="1"/>
  <c r="M3" i="22"/>
  <c r="N18" i="21"/>
  <c r="N20" i="21" s="1"/>
  <c r="N22" i="21"/>
  <c r="R2815" i="21"/>
  <c r="M2817" i="21" s="1"/>
  <c r="R2982" i="21"/>
  <c r="R2975" i="21"/>
  <c r="Q2992" i="21"/>
  <c r="R2993" i="21" s="1"/>
  <c r="R2886" i="21"/>
  <c r="R2893" i="21"/>
  <c r="Q2903" i="21"/>
  <c r="R2904" i="21" s="1"/>
  <c r="R2885" i="21"/>
  <c r="R2892" i="21"/>
  <c r="Q2882" i="21"/>
  <c r="Q2902" i="21"/>
  <c r="Q2819" i="21"/>
  <c r="N2826" i="21"/>
  <c r="N16" i="21"/>
  <c r="N24" i="21" l="1"/>
  <c r="M9" i="22" s="1"/>
  <c r="M9" i="21"/>
  <c r="M10" i="21" s="1"/>
  <c r="P2908" i="21"/>
  <c r="P14" i="21"/>
  <c r="P3006" i="21"/>
  <c r="P3017" i="21"/>
  <c r="P3018" i="21" s="1"/>
  <c r="Q3019" i="21"/>
  <c r="Q2912" i="21"/>
  <c r="P3001" i="21"/>
  <c r="Q2972" i="21"/>
  <c r="Q2973" i="21"/>
  <c r="R2981" i="21" s="1"/>
  <c r="R3002" i="21" s="1"/>
  <c r="P2989" i="21"/>
  <c r="P2999" i="21"/>
  <c r="P13" i="21" s="1"/>
  <c r="Q2900" i="21"/>
  <c r="Q3001" i="21"/>
  <c r="Q2979" i="21"/>
  <c r="S2888" i="21"/>
  <c r="S2886" i="21"/>
  <c r="R2903" i="21"/>
  <c r="R2900" i="21" s="1"/>
  <c r="R2890" i="21"/>
  <c r="R2913" i="21"/>
  <c r="Q2908" i="21" l="1"/>
  <c r="Q3061" i="21"/>
  <c r="Q3099" i="21" s="1"/>
  <c r="Q3062" i="21"/>
  <c r="P3039" i="21"/>
  <c r="P3036" i="21"/>
  <c r="P3" i="21" s="1"/>
  <c r="P3037" i="21"/>
  <c r="P6" i="21" s="1"/>
  <c r="O2915" i="21"/>
  <c r="R2974" i="21"/>
  <c r="S2982" i="21" s="1"/>
  <c r="Q2991" i="21"/>
  <c r="R2977" i="21"/>
  <c r="Q2990" i="21"/>
  <c r="R2973" i="21"/>
  <c r="S2974" i="21" s="1"/>
  <c r="R2980" i="21"/>
  <c r="R2979" i="21" s="1"/>
  <c r="P2997" i="21"/>
  <c r="O16" i="21" s="1"/>
  <c r="Q2971" i="21"/>
  <c r="Q2997" i="21"/>
  <c r="S2904" i="21"/>
  <c r="N2906" i="21" s="1"/>
  <c r="N9" i="21" s="1"/>
  <c r="R2908" i="21"/>
  <c r="P12" i="21" l="1"/>
  <c r="P15" i="21" s="1"/>
  <c r="O24" i="21"/>
  <c r="N9" i="22" s="1"/>
  <c r="P8" i="21"/>
  <c r="R3062" i="21"/>
  <c r="R3069" i="21"/>
  <c r="R3090" i="21" s="1"/>
  <c r="Q3090" i="21"/>
  <c r="Q14" i="21" s="1"/>
  <c r="O5" i="22"/>
  <c r="O3" i="22"/>
  <c r="P4" i="21"/>
  <c r="R3070" i="21"/>
  <c r="R3061" i="21"/>
  <c r="R3063" i="21"/>
  <c r="Q3080" i="21"/>
  <c r="Q3060" i="21"/>
  <c r="Q3097" i="21"/>
  <c r="Q3069" i="21"/>
  <c r="Q3068" i="21" s="1"/>
  <c r="Q3079" i="21"/>
  <c r="R2992" i="21"/>
  <c r="S2993" i="21" s="1"/>
  <c r="S2975" i="21"/>
  <c r="T2975" i="21" s="1"/>
  <c r="Q2989" i="21"/>
  <c r="R2971" i="21"/>
  <c r="S2981" i="21"/>
  <c r="S3002" i="21" s="1"/>
  <c r="S2977" i="21"/>
  <c r="T2977" i="21" s="1"/>
  <c r="R2991" i="21"/>
  <c r="R3001" i="21"/>
  <c r="O22" i="21"/>
  <c r="O18" i="21"/>
  <c r="O20" i="21" s="1"/>
  <c r="O15" i="21"/>
  <c r="N7" i="22"/>
  <c r="S2992" i="21"/>
  <c r="P18" i="21" l="1"/>
  <c r="P20" i="21" s="1"/>
  <c r="P16" i="21"/>
  <c r="P24" i="21" s="1"/>
  <c r="O9" i="22" s="1"/>
  <c r="O7" i="22"/>
  <c r="P22" i="21"/>
  <c r="R2997" i="21"/>
  <c r="Q3106" i="21"/>
  <c r="Q3107" i="21" s="1"/>
  <c r="R3108" i="21"/>
  <c r="Q3078" i="21"/>
  <c r="S3070" i="21"/>
  <c r="S3091" i="21" s="1"/>
  <c r="S3063" i="21"/>
  <c r="R3080" i="21"/>
  <c r="Q3088" i="21"/>
  <c r="Q13" i="21" s="1"/>
  <c r="Q3095" i="21"/>
  <c r="S3064" i="21"/>
  <c r="S3071" i="21"/>
  <c r="R3081" i="21"/>
  <c r="S3082" i="21" s="1"/>
  <c r="S3069" i="21"/>
  <c r="R3060" i="21"/>
  <c r="S3066" i="21"/>
  <c r="S3062" i="21"/>
  <c r="R3079" i="21"/>
  <c r="R3091" i="21"/>
  <c r="R3086" i="21" s="1"/>
  <c r="R3068" i="21"/>
  <c r="S2989" i="21"/>
  <c r="R2989" i="21"/>
  <c r="S2979" i="21"/>
  <c r="P3004" i="21"/>
  <c r="S2997" i="21"/>
  <c r="T2993" i="21"/>
  <c r="O2995" i="21" s="1"/>
  <c r="O9" i="21" s="1"/>
  <c r="R3151" i="21" l="1"/>
  <c r="R3150" i="21"/>
  <c r="Q3125" i="21"/>
  <c r="Q3" i="21" s="1"/>
  <c r="Q3126" i="21"/>
  <c r="Q6" i="21" s="1"/>
  <c r="Q3128" i="21"/>
  <c r="Q8" i="21" s="1"/>
  <c r="T3064" i="21"/>
  <c r="T3071" i="21"/>
  <c r="S3081" i="21"/>
  <c r="T3082" i="21" s="1"/>
  <c r="R3078" i="21"/>
  <c r="S3090" i="21"/>
  <c r="S3068" i="21"/>
  <c r="S3060" i="21"/>
  <c r="T3070" i="21"/>
  <c r="T3066" i="21"/>
  <c r="T3063" i="21"/>
  <c r="S3080" i="21"/>
  <c r="Q3086" i="21"/>
  <c r="Q12" i="21" s="1"/>
  <c r="N10" i="21"/>
  <c r="O10" i="21"/>
  <c r="P5" i="22" l="1"/>
  <c r="P3" i="22"/>
  <c r="Q4" i="21"/>
  <c r="S3152" i="21"/>
  <c r="S3159" i="21"/>
  <c r="S3180" i="21" s="1"/>
  <c r="R3169" i="21"/>
  <c r="R3188" i="21"/>
  <c r="R3149" i="21"/>
  <c r="R3186" i="21"/>
  <c r="R3158" i="21"/>
  <c r="R3157" i="21" s="1"/>
  <c r="R3168" i="21"/>
  <c r="S3078" i="21"/>
  <c r="Q15" i="21"/>
  <c r="Q16" i="21"/>
  <c r="Q22" i="21"/>
  <c r="Q18" i="21"/>
  <c r="Q20" i="21" s="1"/>
  <c r="P7" i="22"/>
  <c r="U3064" i="21"/>
  <c r="U3066" i="21"/>
  <c r="T3081" i="21"/>
  <c r="T3091" i="21"/>
  <c r="T3068" i="21"/>
  <c r="S3086" i="21"/>
  <c r="Q24" i="21" l="1"/>
  <c r="P9" i="22" s="1"/>
  <c r="R3195" i="21"/>
  <c r="R3196" i="21" s="1"/>
  <c r="S3197" i="21"/>
  <c r="R3167" i="21"/>
  <c r="R3184" i="21"/>
  <c r="R3177" i="21"/>
  <c r="R13" i="21" s="1"/>
  <c r="S3158" i="21"/>
  <c r="S3151" i="21"/>
  <c r="S3150" i="21"/>
  <c r="R3179" i="21"/>
  <c r="R14" i="21" s="1"/>
  <c r="T3153" i="21"/>
  <c r="T3160" i="21"/>
  <c r="S3170" i="21"/>
  <c r="T3171" i="21" s="1"/>
  <c r="T3078" i="21"/>
  <c r="U3082" i="21"/>
  <c r="P3084" i="21" s="1"/>
  <c r="P9" i="21" s="1"/>
  <c r="T3086" i="21"/>
  <c r="Q3093" i="21"/>
  <c r="S3239" i="21" l="1"/>
  <c r="S3240" i="21"/>
  <c r="R3217" i="21"/>
  <c r="R8" i="21" s="1"/>
  <c r="R3214" i="21"/>
  <c r="R3" i="21" s="1"/>
  <c r="R3215" i="21"/>
  <c r="R6" i="21" s="1"/>
  <c r="T3158" i="21"/>
  <c r="T3151" i="21"/>
  <c r="T3155" i="21"/>
  <c r="S3149" i="21"/>
  <c r="S3168" i="21"/>
  <c r="T3152" i="21"/>
  <c r="T3159" i="21"/>
  <c r="T3180" i="21" s="1"/>
  <c r="S3169" i="21"/>
  <c r="S3157" i="21"/>
  <c r="S3179" i="21"/>
  <c r="R3175" i="21"/>
  <c r="R12" i="21" s="1"/>
  <c r="P10" i="21"/>
  <c r="Q7" i="22" l="1"/>
  <c r="R16" i="21"/>
  <c r="R15" i="21"/>
  <c r="S3175" i="21"/>
  <c r="Q5" i="22"/>
  <c r="Q3" i="22"/>
  <c r="R18" i="21"/>
  <c r="R20" i="21" s="1"/>
  <c r="R22" i="21"/>
  <c r="R4" i="21"/>
  <c r="T3248" i="21"/>
  <c r="T3269" i="21" s="1"/>
  <c r="T3241" i="21"/>
  <c r="S3258" i="21"/>
  <c r="S3238" i="21"/>
  <c r="S3277" i="21"/>
  <c r="S3247" i="21"/>
  <c r="S3246" i="21" s="1"/>
  <c r="S3275" i="21"/>
  <c r="S3257" i="21"/>
  <c r="U3160" i="21"/>
  <c r="U3153" i="21"/>
  <c r="T3170" i="21"/>
  <c r="U3171" i="21" s="1"/>
  <c r="U3152" i="21"/>
  <c r="T3149" i="21"/>
  <c r="U3155" i="21"/>
  <c r="U3159" i="21"/>
  <c r="T3169" i="21"/>
  <c r="S3167" i="21"/>
  <c r="T3157" i="21"/>
  <c r="T3179" i="21"/>
  <c r="R24" i="21" l="1"/>
  <c r="Q9" i="22" s="1"/>
  <c r="T3175" i="21"/>
  <c r="S3256" i="21"/>
  <c r="S3284" i="21"/>
  <c r="S3285" i="21" s="1"/>
  <c r="T3286" i="21"/>
  <c r="S3266" i="21"/>
  <c r="S13" i="21" s="1"/>
  <c r="S3273" i="21"/>
  <c r="T3167" i="21"/>
  <c r="S3268" i="21"/>
  <c r="T3239" i="21"/>
  <c r="T3240" i="21"/>
  <c r="T3247" i="21"/>
  <c r="U3242" i="21"/>
  <c r="U3249" i="21"/>
  <c r="T3259" i="21"/>
  <c r="U3260" i="21" s="1"/>
  <c r="V3153" i="21"/>
  <c r="V3155" i="21"/>
  <c r="U3170" i="21"/>
  <c r="U3167" i="21" s="1"/>
  <c r="U3157" i="21"/>
  <c r="U3180" i="21"/>
  <c r="T3328" i="21" l="1"/>
  <c r="T3329" i="21"/>
  <c r="S3306" i="21"/>
  <c r="S8" i="21" s="1"/>
  <c r="S3303" i="21"/>
  <c r="S3" i="21" s="1"/>
  <c r="S3304" i="21"/>
  <c r="S6" i="21" s="1"/>
  <c r="V3171" i="21"/>
  <c r="Q3173" i="21" s="1"/>
  <c r="Q9" i="21" s="1"/>
  <c r="U3248" i="21"/>
  <c r="U3269" i="21" s="1"/>
  <c r="U3241" i="21"/>
  <c r="T3258" i="21"/>
  <c r="U3247" i="21"/>
  <c r="T3238" i="21"/>
  <c r="U3244" i="21"/>
  <c r="U3240" i="21"/>
  <c r="T3257" i="21"/>
  <c r="T3268" i="21"/>
  <c r="T3246" i="21"/>
  <c r="S3264" i="21"/>
  <c r="U3175" i="21"/>
  <c r="R3182" i="21"/>
  <c r="M1285" i="16"/>
  <c r="N1286" i="16" s="1"/>
  <c r="K1111" i="16"/>
  <c r="K1024" i="16"/>
  <c r="I763" i="16"/>
  <c r="J764" i="16" s="1"/>
  <c r="N2570" i="16"/>
  <c r="L2222" i="16"/>
  <c r="L2133" i="16"/>
  <c r="L1955" i="16"/>
  <c r="J1603" i="16"/>
  <c r="J1514" i="16"/>
  <c r="J1425" i="16"/>
  <c r="H1338" i="16"/>
  <c r="K1164" i="16"/>
  <c r="I903" i="16"/>
  <c r="I816" i="16"/>
  <c r="G642" i="16"/>
  <c r="J589" i="16"/>
  <c r="K590" i="16" s="1"/>
  <c r="H468" i="16"/>
  <c r="F294" i="16"/>
  <c r="P2694" i="16"/>
  <c r="N2604" i="16"/>
  <c r="N2520" i="16"/>
  <c r="N2433" i="16"/>
  <c r="N2346" i="16"/>
  <c r="L2259" i="16"/>
  <c r="L2170" i="16"/>
  <c r="L1989" i="16"/>
  <c r="L1905" i="16"/>
  <c r="L1816" i="16"/>
  <c r="K1724" i="16"/>
  <c r="J1637" i="16"/>
  <c r="J1551" i="16"/>
  <c r="J1462" i="16"/>
  <c r="I1366" i="16"/>
  <c r="J1366" i="16" s="1"/>
  <c r="K1198" i="16"/>
  <c r="I937" i="16"/>
  <c r="I850" i="16"/>
  <c r="G676" i="16"/>
  <c r="H502" i="16"/>
  <c r="H415" i="16"/>
  <c r="F328" i="16"/>
  <c r="G241" i="16"/>
  <c r="S2727" i="16"/>
  <c r="S2699" i="16"/>
  <c r="S2717" i="16" s="1"/>
  <c r="P2691" i="16"/>
  <c r="P2681" i="16"/>
  <c r="P2667" i="16"/>
  <c r="P2659" i="16"/>
  <c r="Q2657" i="16"/>
  <c r="Q2640" i="16"/>
  <c r="Q2612" i="16"/>
  <c r="Q2630" i="16" s="1"/>
  <c r="N2594" i="16"/>
  <c r="N2580" i="16"/>
  <c r="N2572" i="16"/>
  <c r="O2570" i="16"/>
  <c r="Q2553" i="16"/>
  <c r="Q2525" i="16"/>
  <c r="Q2543" i="16" s="1"/>
  <c r="N2507" i="16"/>
  <c r="N2493" i="16"/>
  <c r="N2485" i="16"/>
  <c r="O2483" i="16"/>
  <c r="Q2466" i="16"/>
  <c r="Q2438" i="16"/>
  <c r="Q2456" i="16" s="1"/>
  <c r="N2430" i="16"/>
  <c r="N2420" i="16"/>
  <c r="N2406" i="16"/>
  <c r="N2398" i="16"/>
  <c r="O2396" i="16"/>
  <c r="Q2379" i="16"/>
  <c r="Q2351" i="16"/>
  <c r="Q2369" i="16" s="1"/>
  <c r="N2333" i="16"/>
  <c r="N2319" i="16"/>
  <c r="N2311" i="16"/>
  <c r="O2309" i="16"/>
  <c r="O2292" i="16"/>
  <c r="O2264" i="16"/>
  <c r="O2282" i="16" s="1"/>
  <c r="L2246" i="16"/>
  <c r="L2232" i="16"/>
  <c r="L2224" i="16"/>
  <c r="M2222" i="16"/>
  <c r="O2203" i="16"/>
  <c r="O2175" i="16"/>
  <c r="O2193" i="16" s="1"/>
  <c r="L2157" i="16"/>
  <c r="L2143" i="16"/>
  <c r="L2135" i="16"/>
  <c r="M2133" i="16"/>
  <c r="L2068" i="16"/>
  <c r="L1979" i="16"/>
  <c r="L1892" i="16"/>
  <c r="L1803" i="16"/>
  <c r="K1714" i="16"/>
  <c r="J1627" i="16"/>
  <c r="J1538" i="16"/>
  <c r="H1362" i="16"/>
  <c r="J1449" i="16"/>
  <c r="O2114" i="16"/>
  <c r="O2086" i="16"/>
  <c r="O2104" i="16" s="1"/>
  <c r="L2054" i="16"/>
  <c r="L2046" i="16"/>
  <c r="M2044" i="16"/>
  <c r="B30" i="16"/>
  <c r="D41" i="16" s="1"/>
  <c r="B27" i="16"/>
  <c r="O2025" i="16"/>
  <c r="O1997" i="16"/>
  <c r="O2015" i="16" s="1"/>
  <c r="L1965" i="16"/>
  <c r="L1957" i="16"/>
  <c r="M1955" i="16"/>
  <c r="O1938" i="16"/>
  <c r="O1910" i="16"/>
  <c r="O1928" i="16" s="1"/>
  <c r="L1878" i="16"/>
  <c r="L1870" i="16"/>
  <c r="M1868" i="16"/>
  <c r="O1849" i="16"/>
  <c r="O1821" i="16"/>
  <c r="O1839" i="16" s="1"/>
  <c r="L1789" i="16"/>
  <c r="L1781" i="16"/>
  <c r="M1779" i="16"/>
  <c r="N1760" i="16"/>
  <c r="N1732" i="16"/>
  <c r="N1750" i="16" s="1"/>
  <c r="K1700" i="16"/>
  <c r="K1692" i="16"/>
  <c r="L1690" i="16"/>
  <c r="M1673" i="16"/>
  <c r="M1645" i="16"/>
  <c r="M1663" i="16" s="1"/>
  <c r="J1613" i="16"/>
  <c r="J1605" i="16"/>
  <c r="J1604" i="16"/>
  <c r="K1603" i="16"/>
  <c r="M1584" i="16"/>
  <c r="M1556" i="16"/>
  <c r="M1574" i="16" s="1"/>
  <c r="J1524" i="16"/>
  <c r="J1516" i="16"/>
  <c r="J1515" i="16"/>
  <c r="K1514" i="16"/>
  <c r="M1495" i="16"/>
  <c r="M1467" i="16"/>
  <c r="M1485" i="16" s="1"/>
  <c r="J1435" i="16"/>
  <c r="J1427" i="16"/>
  <c r="J1426" i="16"/>
  <c r="K1425" i="16"/>
  <c r="O3" i="16"/>
  <c r="Q2" i="20" s="1"/>
  <c r="Q3" i="16"/>
  <c r="S2" i="20" s="1"/>
  <c r="R3" i="16"/>
  <c r="T2" i="20" s="1"/>
  <c r="S3" i="16"/>
  <c r="U2" i="20" s="1"/>
  <c r="O6" i="16"/>
  <c r="Q4" i="20" s="1"/>
  <c r="Q6" i="16"/>
  <c r="S4" i="20" s="1"/>
  <c r="R6" i="16"/>
  <c r="T4" i="20" s="1"/>
  <c r="S6" i="16"/>
  <c r="U4" i="20" s="1"/>
  <c r="O8" i="16"/>
  <c r="O10" i="16" s="1"/>
  <c r="Q8" i="16"/>
  <c r="Q10" i="16" s="1"/>
  <c r="R8" i="16"/>
  <c r="R10" i="16" s="1"/>
  <c r="S8" i="16"/>
  <c r="S10" i="16" s="1"/>
  <c r="O13" i="16"/>
  <c r="Q13" i="16"/>
  <c r="R13" i="16"/>
  <c r="S13" i="16"/>
  <c r="K1408" i="16"/>
  <c r="K1380" i="16"/>
  <c r="K1398" i="16" s="1"/>
  <c r="H1372" i="16"/>
  <c r="I1373" i="16" s="1"/>
  <c r="H1375" i="16"/>
  <c r="H1348" i="16"/>
  <c r="H1340" i="16"/>
  <c r="H1339" i="16"/>
  <c r="I1338" i="16"/>
  <c r="P1321" i="16"/>
  <c r="P1293" i="16"/>
  <c r="P1311" i="16" s="1"/>
  <c r="M1261" i="16"/>
  <c r="M1253" i="16"/>
  <c r="N1251" i="16"/>
  <c r="N1234" i="16"/>
  <c r="N1206" i="16"/>
  <c r="N1224" i="16" s="1"/>
  <c r="K1174" i="16"/>
  <c r="K1166" i="16"/>
  <c r="K1165" i="16"/>
  <c r="L1164" i="16"/>
  <c r="N1147" i="16"/>
  <c r="N1119" i="16"/>
  <c r="N1137" i="16" s="1"/>
  <c r="K1087" i="16"/>
  <c r="K1079" i="16"/>
  <c r="L1077" i="16"/>
  <c r="L990" i="16"/>
  <c r="N1060" i="16"/>
  <c r="N1032" i="16"/>
  <c r="N1050" i="16" s="1"/>
  <c r="K1000" i="16"/>
  <c r="K992" i="16"/>
  <c r="L973" i="16"/>
  <c r="L945" i="16"/>
  <c r="L963" i="16" s="1"/>
  <c r="I913" i="16"/>
  <c r="I905" i="16"/>
  <c r="I904" i="16"/>
  <c r="L886" i="16"/>
  <c r="L858" i="16"/>
  <c r="L876" i="16" s="1"/>
  <c r="I826" i="16"/>
  <c r="I818" i="16"/>
  <c r="I817" i="16"/>
  <c r="L799" i="16"/>
  <c r="L771" i="16"/>
  <c r="L789" i="16" s="1"/>
  <c r="I739" i="16"/>
  <c r="I731" i="16"/>
  <c r="J712" i="16"/>
  <c r="J684" i="16"/>
  <c r="J702" i="16" s="1"/>
  <c r="G652" i="16"/>
  <c r="G644" i="16"/>
  <c r="G643" i="16"/>
  <c r="M625" i="16"/>
  <c r="M597" i="16"/>
  <c r="M615" i="16" s="1"/>
  <c r="J565" i="16"/>
  <c r="J557" i="16"/>
  <c r="K538" i="16"/>
  <c r="K510" i="16"/>
  <c r="K528" i="16" s="1"/>
  <c r="H478" i="16"/>
  <c r="H470" i="16"/>
  <c r="K451" i="16"/>
  <c r="K423" i="16"/>
  <c r="K441" i="16" s="1"/>
  <c r="H391" i="16"/>
  <c r="H383" i="16"/>
  <c r="Z55" i="19"/>
  <c r="AA55" i="19" s="1"/>
  <c r="AB55" i="19" s="1"/>
  <c r="Z41" i="19"/>
  <c r="AA43" i="19" s="1"/>
  <c r="V32" i="19"/>
  <c r="W32" i="19" s="1"/>
  <c r="V11" i="19"/>
  <c r="W11" i="19" s="1"/>
  <c r="F304" i="16"/>
  <c r="G217" i="16"/>
  <c r="I336" i="16"/>
  <c r="I354" i="16" s="1"/>
  <c r="I364" i="16"/>
  <c r="F296" i="16"/>
  <c r="F295" i="16"/>
  <c r="E157" i="16"/>
  <c r="G204" i="16"/>
  <c r="H122" i="16"/>
  <c r="J277" i="16"/>
  <c r="J249" i="16"/>
  <c r="J267" i="16" s="1"/>
  <c r="G209" i="16"/>
  <c r="E130" i="16"/>
  <c r="H190" i="16"/>
  <c r="H162" i="16"/>
  <c r="H180" i="16" s="1"/>
  <c r="E154" i="16"/>
  <c r="F155" i="16" s="1"/>
  <c r="Z41" i="18"/>
  <c r="AA43" i="18" s="1"/>
  <c r="V32" i="18"/>
  <c r="W41" i="18" s="1"/>
  <c r="X43" i="18" s="1"/>
  <c r="Z55" i="18" s="1"/>
  <c r="AA56" i="18" s="1"/>
  <c r="V11" i="18"/>
  <c r="W11" i="18" s="1"/>
  <c r="D70" i="16"/>
  <c r="D67" i="16"/>
  <c r="E68" i="16" s="1"/>
  <c r="G103" i="16"/>
  <c r="G75" i="16"/>
  <c r="G93" i="16" s="1"/>
  <c r="E61" i="16"/>
  <c r="F61" i="16" s="1"/>
  <c r="D75" i="16"/>
  <c r="E76" i="16" s="1"/>
  <c r="F77" i="16" s="1"/>
  <c r="D74" i="16"/>
  <c r="D66" i="16"/>
  <c r="Z40" i="17"/>
  <c r="AA42" i="17" s="1"/>
  <c r="AB62" i="17" s="1"/>
  <c r="V31" i="17"/>
  <c r="W31" i="17" s="1"/>
  <c r="V10" i="17"/>
  <c r="W12" i="17" s="1"/>
  <c r="Q10" i="21" l="1"/>
  <c r="T3264" i="21"/>
  <c r="R5" i="22"/>
  <c r="R3" i="22"/>
  <c r="S4" i="21"/>
  <c r="U3337" i="21"/>
  <c r="U3358" i="21" s="1"/>
  <c r="U3330" i="21"/>
  <c r="T3347" i="21"/>
  <c r="T3327" i="21"/>
  <c r="T3366" i="21"/>
  <c r="T3336" i="21"/>
  <c r="T3335" i="21" s="1"/>
  <c r="T3364" i="21"/>
  <c r="T3346" i="21"/>
  <c r="T3256" i="21"/>
  <c r="U3238" i="21"/>
  <c r="V3248" i="21"/>
  <c r="V3244" i="21"/>
  <c r="V3241" i="21"/>
  <c r="U3258" i="21"/>
  <c r="U3268" i="21"/>
  <c r="U3246" i="21"/>
  <c r="V3242" i="21"/>
  <c r="V3249" i="21"/>
  <c r="U3259" i="21"/>
  <c r="V3260" i="21" s="1"/>
  <c r="J1640" i="16"/>
  <c r="J1459" i="16"/>
  <c r="N2607" i="16"/>
  <c r="G329" i="16"/>
  <c r="H677" i="16"/>
  <c r="L1199" i="16"/>
  <c r="I853" i="16"/>
  <c r="N2343" i="16"/>
  <c r="O2344" i="16" s="1"/>
  <c r="H418" i="16"/>
  <c r="M1288" i="16"/>
  <c r="L1902" i="16"/>
  <c r="M1903" i="16" s="1"/>
  <c r="N2429" i="16"/>
  <c r="O2430" i="16" s="1"/>
  <c r="L2166" i="16"/>
  <c r="M2167" i="16" s="1"/>
  <c r="L2167" i="16"/>
  <c r="M2168" i="16" s="1"/>
  <c r="P2690" i="16"/>
  <c r="P2689" i="16" s="1"/>
  <c r="H242" i="16"/>
  <c r="I503" i="16"/>
  <c r="J938" i="16"/>
  <c r="L1725" i="16"/>
  <c r="L1025" i="16"/>
  <c r="G679" i="16"/>
  <c r="N2342" i="16"/>
  <c r="L1112" i="16"/>
  <c r="O2605" i="16"/>
  <c r="K1201" i="16"/>
  <c r="L2077" i="16"/>
  <c r="M2078" i="16" s="1"/>
  <c r="F331" i="16"/>
  <c r="I766" i="16"/>
  <c r="I416" i="16"/>
  <c r="J851" i="16"/>
  <c r="K1027" i="16"/>
  <c r="J592" i="16"/>
  <c r="I940" i="16"/>
  <c r="K1114" i="16"/>
  <c r="H505" i="16"/>
  <c r="N2603" i="16"/>
  <c r="N2602" i="16" s="1"/>
  <c r="J1548" i="16"/>
  <c r="K1549" i="16" s="1"/>
  <c r="L2081" i="16"/>
  <c r="L1813" i="16"/>
  <c r="M1814" i="16" s="1"/>
  <c r="L2078" i="16"/>
  <c r="M2079" i="16" s="1"/>
  <c r="L2256" i="16"/>
  <c r="M2257" i="16" s="1"/>
  <c r="L1992" i="16"/>
  <c r="L2255" i="16"/>
  <c r="M2256" i="16" s="1"/>
  <c r="K1727" i="16"/>
  <c r="O2431" i="16"/>
  <c r="M1990" i="16"/>
  <c r="K1460" i="16"/>
  <c r="Q2692" i="16"/>
  <c r="N2516" i="16"/>
  <c r="O2517" i="16" s="1"/>
  <c r="N2517" i="16"/>
  <c r="O2518" i="16" s="1"/>
  <c r="B31" i="16"/>
  <c r="G214" i="16" s="1"/>
  <c r="G215" i="16" s="1"/>
  <c r="D46" i="16"/>
  <c r="G650" i="16" s="1"/>
  <c r="G655" i="16" s="1"/>
  <c r="D44" i="16"/>
  <c r="D52" i="16" s="1"/>
  <c r="D8" i="16" s="1"/>
  <c r="K1723" i="16"/>
  <c r="K1722" i="16" s="1"/>
  <c r="L1988" i="16"/>
  <c r="M1989" i="16" s="1"/>
  <c r="K1110" i="16"/>
  <c r="K1109" i="16" s="1"/>
  <c r="J1547" i="16"/>
  <c r="J1636" i="16"/>
  <c r="J1635" i="16" s="1"/>
  <c r="L1812" i="16"/>
  <c r="J1458" i="16"/>
  <c r="L1901" i="16"/>
  <c r="K1638" i="16"/>
  <c r="K1023" i="16"/>
  <c r="K1022" i="16" s="1"/>
  <c r="K1197" i="16"/>
  <c r="H1371" i="16"/>
  <c r="I1371" i="16" s="1"/>
  <c r="J1372" i="16" s="1"/>
  <c r="I849" i="16"/>
  <c r="I848" i="16" s="1"/>
  <c r="M1284" i="16"/>
  <c r="N1284" i="16" s="1"/>
  <c r="O1285" i="16" s="1"/>
  <c r="I936" i="16"/>
  <c r="J937" i="16" s="1"/>
  <c r="H501" i="16"/>
  <c r="H500" i="16" s="1"/>
  <c r="J588" i="16"/>
  <c r="K589" i="16" s="1"/>
  <c r="G675" i="16"/>
  <c r="H676" i="16" s="1"/>
  <c r="I762" i="16"/>
  <c r="J763" i="16" s="1"/>
  <c r="H414" i="16"/>
  <c r="I415" i="16" s="1"/>
  <c r="X41" i="19"/>
  <c r="Y43" i="19" s="1"/>
  <c r="X32" i="19"/>
  <c r="AA56" i="19"/>
  <c r="W13" i="19"/>
  <c r="W41" i="19"/>
  <c r="X43" i="19" s="1"/>
  <c r="F327" i="16"/>
  <c r="F326" i="16" s="1"/>
  <c r="G244" i="16"/>
  <c r="W13" i="18"/>
  <c r="W32" i="18"/>
  <c r="W10" i="17"/>
  <c r="X40" i="17"/>
  <c r="Y42" i="17" s="1"/>
  <c r="Z62" i="17" s="1"/>
  <c r="W40" i="17"/>
  <c r="X42" i="17" s="1"/>
  <c r="Y62" i="17" s="1"/>
  <c r="Z77" i="17" s="1"/>
  <c r="AA78" i="17" s="1"/>
  <c r="E66" i="16"/>
  <c r="E67" i="16"/>
  <c r="F68" i="16" s="1"/>
  <c r="D73" i="16"/>
  <c r="D82" i="16"/>
  <c r="D81" i="16" s="1"/>
  <c r="F84" i="16"/>
  <c r="E83" i="16"/>
  <c r="D112" i="16"/>
  <c r="D110" i="16"/>
  <c r="E117" i="16" s="1"/>
  <c r="E118" i="16" s="1"/>
  <c r="H378" i="16" s="1"/>
  <c r="U3264" i="21" l="1"/>
  <c r="T3373" i="21"/>
  <c r="T3374" i="21" s="1"/>
  <c r="U3375" i="21"/>
  <c r="T3345" i="21"/>
  <c r="T3355" i="21"/>
  <c r="T13" i="21" s="1"/>
  <c r="T3362" i="21"/>
  <c r="T3357" i="21"/>
  <c r="T14" i="21" s="1"/>
  <c r="U3328" i="21"/>
  <c r="U3329" i="21"/>
  <c r="U3336" i="21"/>
  <c r="V3331" i="21"/>
  <c r="V3338" i="21"/>
  <c r="U3348" i="21"/>
  <c r="V3349" i="21" s="1"/>
  <c r="U3256" i="21"/>
  <c r="W3242" i="21"/>
  <c r="W3244" i="21"/>
  <c r="V3259" i="21"/>
  <c r="V3256" i="21" s="1"/>
  <c r="V3269" i="21"/>
  <c r="V3246" i="21"/>
  <c r="N2341" i="16"/>
  <c r="L1900" i="16"/>
  <c r="O2342" i="16"/>
  <c r="N2428" i="16"/>
  <c r="O2429" i="16"/>
  <c r="P2433" i="16" s="1"/>
  <c r="Q2691" i="16"/>
  <c r="R2692" i="16" s="1"/>
  <c r="M2166" i="16"/>
  <c r="N2167" i="16" s="1"/>
  <c r="Q2690" i="16"/>
  <c r="L2165" i="16"/>
  <c r="M2077" i="16"/>
  <c r="N2078" i="16" s="1"/>
  <c r="L2076" i="16"/>
  <c r="O2343" i="16"/>
  <c r="P2346" i="16" s="1"/>
  <c r="K764" i="16"/>
  <c r="N2079" i="16"/>
  <c r="O2604" i="16"/>
  <c r="P2605" i="16" s="1"/>
  <c r="O2603" i="16"/>
  <c r="P2604" i="16" s="1"/>
  <c r="L2254" i="16"/>
  <c r="L590" i="16"/>
  <c r="D47" i="16"/>
  <c r="D87" i="16" s="1"/>
  <c r="L1811" i="16"/>
  <c r="J1546" i="16"/>
  <c r="N2257" i="16"/>
  <c r="J1433" i="16"/>
  <c r="J1438" i="16" s="1"/>
  <c r="M2255" i="16"/>
  <c r="N2256" i="16" s="1"/>
  <c r="P2431" i="16"/>
  <c r="P2518" i="16"/>
  <c r="N1990" i="16"/>
  <c r="N2168" i="16"/>
  <c r="L1963" i="16"/>
  <c r="L1968" i="16" s="1"/>
  <c r="N2578" i="16"/>
  <c r="H476" i="16"/>
  <c r="H481" i="16" s="1"/>
  <c r="H1346" i="16"/>
  <c r="H1351" i="16" s="1"/>
  <c r="F302" i="16"/>
  <c r="F307" i="16" s="1"/>
  <c r="J416" i="16"/>
  <c r="I677" i="16"/>
  <c r="K938" i="16"/>
  <c r="O2516" i="16"/>
  <c r="P2520" i="16" s="1"/>
  <c r="N2515" i="16"/>
  <c r="I911" i="16"/>
  <c r="I916" i="16" s="1"/>
  <c r="J1611" i="16"/>
  <c r="J1616" i="16" s="1"/>
  <c r="K1172" i="16"/>
  <c r="K1177" i="16" s="1"/>
  <c r="I824" i="16"/>
  <c r="I829" i="16" s="1"/>
  <c r="E128" i="16"/>
  <c r="E133" i="16" s="1"/>
  <c r="D49" i="16"/>
  <c r="D3" i="16" s="1"/>
  <c r="L2230" i="16"/>
  <c r="L2141" i="16"/>
  <c r="J1522" i="16"/>
  <c r="J1527" i="16" s="1"/>
  <c r="P2343" i="16"/>
  <c r="H1370" i="16"/>
  <c r="M1812" i="16"/>
  <c r="N1813" i="16" s="1"/>
  <c r="K1548" i="16"/>
  <c r="L1549" i="16" s="1"/>
  <c r="N1285" i="16"/>
  <c r="O1286" i="16" s="1"/>
  <c r="O1283" i="16" s="1"/>
  <c r="L1724" i="16"/>
  <c r="M1725" i="16" s="1"/>
  <c r="L1723" i="16"/>
  <c r="L1111" i="16"/>
  <c r="M1112" i="16" s="1"/>
  <c r="M1283" i="16"/>
  <c r="M1813" i="16"/>
  <c r="N1814" i="16" s="1"/>
  <c r="L1024" i="16"/>
  <c r="M1025" i="16" s="1"/>
  <c r="L1023" i="16"/>
  <c r="M1024" i="16" s="1"/>
  <c r="I935" i="16"/>
  <c r="K1547" i="16"/>
  <c r="J850" i="16"/>
  <c r="K851" i="16" s="1"/>
  <c r="J1457" i="16"/>
  <c r="K1459" i="16"/>
  <c r="L1460" i="16" s="1"/>
  <c r="J849" i="16"/>
  <c r="K1458" i="16"/>
  <c r="L1459" i="16" s="1"/>
  <c r="M1902" i="16"/>
  <c r="N1903" i="16" s="1"/>
  <c r="M1901" i="16"/>
  <c r="J936" i="16"/>
  <c r="K937" i="16" s="1"/>
  <c r="K1637" i="16"/>
  <c r="L1638" i="16" s="1"/>
  <c r="K1636" i="16"/>
  <c r="L1987" i="16"/>
  <c r="M1988" i="16"/>
  <c r="N1992" i="16" s="1"/>
  <c r="L1110" i="16"/>
  <c r="M1111" i="16" s="1"/>
  <c r="I1372" i="16"/>
  <c r="J1373" i="16" s="1"/>
  <c r="J1370" i="16" s="1"/>
  <c r="K1196" i="16"/>
  <c r="L1198" i="16"/>
  <c r="M1199" i="16" s="1"/>
  <c r="L1197" i="16"/>
  <c r="J762" i="16"/>
  <c r="J761" i="16" s="1"/>
  <c r="I502" i="16"/>
  <c r="J503" i="16" s="1"/>
  <c r="I501" i="16"/>
  <c r="J502" i="16" s="1"/>
  <c r="H675" i="16"/>
  <c r="I679" i="16" s="1"/>
  <c r="I761" i="16"/>
  <c r="K588" i="16"/>
  <c r="L592" i="16" s="1"/>
  <c r="J587" i="16"/>
  <c r="G674" i="16"/>
  <c r="I414" i="16"/>
  <c r="J415" i="16" s="1"/>
  <c r="H413" i="16"/>
  <c r="Y41" i="19"/>
  <c r="Y62" i="19"/>
  <c r="G327" i="16"/>
  <c r="G328" i="16"/>
  <c r="H329" i="16" s="1"/>
  <c r="E82" i="16"/>
  <c r="E81" i="16" s="1"/>
  <c r="G240" i="16"/>
  <c r="E153" i="16"/>
  <c r="X41" i="18"/>
  <c r="Y43" i="18" s="1"/>
  <c r="AA55" i="18" s="1"/>
  <c r="X32" i="18"/>
  <c r="X31" i="17"/>
  <c r="AA77" i="17"/>
  <c r="F67" i="16"/>
  <c r="F70" i="16"/>
  <c r="E75" i="16"/>
  <c r="E74" i="16"/>
  <c r="F82" i="16" s="1"/>
  <c r="V3264" i="21" l="1"/>
  <c r="U3417" i="21"/>
  <c r="U3418" i="21"/>
  <c r="T3395" i="21"/>
  <c r="T8" i="21" s="1"/>
  <c r="T3392" i="21"/>
  <c r="T3" i="21" s="1"/>
  <c r="T3393" i="21"/>
  <c r="T6" i="21" s="1"/>
  <c r="V3337" i="21"/>
  <c r="V3358" i="21" s="1"/>
  <c r="V3330" i="21"/>
  <c r="U3347" i="21"/>
  <c r="U3357" i="21"/>
  <c r="U3335" i="21"/>
  <c r="V3336" i="21"/>
  <c r="U3327" i="21"/>
  <c r="V3333" i="21"/>
  <c r="V3329" i="21"/>
  <c r="U3346" i="21"/>
  <c r="T3353" i="21"/>
  <c r="S3271" i="21"/>
  <c r="W3260" i="21"/>
  <c r="R3262" i="21" s="1"/>
  <c r="R9" i="21" s="1"/>
  <c r="R2694" i="16"/>
  <c r="D4" i="16"/>
  <c r="F2" i="20"/>
  <c r="M2165" i="16"/>
  <c r="O2428" i="16"/>
  <c r="N2170" i="16"/>
  <c r="O2170" i="16" s="1"/>
  <c r="M2076" i="16"/>
  <c r="P2430" i="16"/>
  <c r="Q2431" i="16" s="1"/>
  <c r="Q2428" i="16" s="1"/>
  <c r="P2344" i="16"/>
  <c r="P2341" i="16" s="1"/>
  <c r="N2081" i="16"/>
  <c r="O2081" i="16" s="1"/>
  <c r="R2691" i="16"/>
  <c r="O2602" i="16"/>
  <c r="Q2689" i="16"/>
  <c r="O2168" i="16"/>
  <c r="O2165" i="16" s="1"/>
  <c r="O2341" i="16"/>
  <c r="P2607" i="16"/>
  <c r="Q2607" i="16" s="1"/>
  <c r="D54" i="16"/>
  <c r="D101" i="16" s="1"/>
  <c r="D13" i="16" s="1"/>
  <c r="F54" i="16"/>
  <c r="F103" i="16" s="1"/>
  <c r="D50" i="16"/>
  <c r="D6" i="16" s="1"/>
  <c r="F4" i="20" s="1"/>
  <c r="E54" i="16"/>
  <c r="E103" i="16" s="1"/>
  <c r="B32" i="16"/>
  <c r="J562" i="16" s="1"/>
  <c r="J563" i="16" s="1"/>
  <c r="J568" i="16" s="1"/>
  <c r="M2254" i="16"/>
  <c r="M1727" i="16"/>
  <c r="N2259" i="16"/>
  <c r="O2259" i="16" s="1"/>
  <c r="N2165" i="16"/>
  <c r="L1551" i="16"/>
  <c r="L1640" i="16"/>
  <c r="N1905" i="16"/>
  <c r="P2517" i="16"/>
  <c r="Q2520" i="16" s="1"/>
  <c r="O2515" i="16"/>
  <c r="N2583" i="16"/>
  <c r="N2577" i="16"/>
  <c r="Q2605" i="16"/>
  <c r="Q2602" i="16" s="1"/>
  <c r="P2602" i="16"/>
  <c r="Q2433" i="16"/>
  <c r="P2428" i="16"/>
  <c r="E127" i="16"/>
  <c r="F301" i="16" s="1"/>
  <c r="G649" i="16" s="1"/>
  <c r="L2146" i="16"/>
  <c r="L2235" i="16"/>
  <c r="Q2346" i="16"/>
  <c r="N2254" i="16"/>
  <c r="O2257" i="16"/>
  <c r="O2254" i="16" s="1"/>
  <c r="N2076" i="16"/>
  <c r="O2079" i="16"/>
  <c r="O2076" i="16" s="1"/>
  <c r="L1022" i="16"/>
  <c r="O1288" i="16"/>
  <c r="P1288" i="16" s="1"/>
  <c r="P2658" i="16" s="1"/>
  <c r="P2657" i="16" s="1"/>
  <c r="N1283" i="16"/>
  <c r="M1027" i="16"/>
  <c r="N1027" i="16" s="1"/>
  <c r="N2310" i="16" s="1"/>
  <c r="N2309" i="16" s="1"/>
  <c r="L1722" i="16"/>
  <c r="M1724" i="16"/>
  <c r="B34" i="16"/>
  <c r="B33" i="16"/>
  <c r="L1462" i="16"/>
  <c r="M1462" i="16" s="1"/>
  <c r="L1548" i="16"/>
  <c r="K1546" i="16"/>
  <c r="K853" i="16"/>
  <c r="P1286" i="16"/>
  <c r="P1283" i="16" s="1"/>
  <c r="J935" i="16"/>
  <c r="K940" i="16"/>
  <c r="L940" i="16" s="1"/>
  <c r="J848" i="16"/>
  <c r="M1811" i="16"/>
  <c r="L1109" i="16"/>
  <c r="N1816" i="16"/>
  <c r="O1816" i="16" s="1"/>
  <c r="M1114" i="16"/>
  <c r="N1114" i="16" s="1"/>
  <c r="N2397" i="16" s="1"/>
  <c r="N2396" i="16" s="1"/>
  <c r="K850" i="16"/>
  <c r="K1457" i="16"/>
  <c r="N1902" i="16"/>
  <c r="N1900" i="16" s="1"/>
  <c r="M1900" i="16"/>
  <c r="N1989" i="16"/>
  <c r="M1987" i="16"/>
  <c r="K763" i="16"/>
  <c r="L764" i="16" s="1"/>
  <c r="L761" i="16" s="1"/>
  <c r="L1637" i="16"/>
  <c r="K1635" i="16"/>
  <c r="J1375" i="16"/>
  <c r="K1375" i="16" s="1"/>
  <c r="I1370" i="16"/>
  <c r="N1811" i="16"/>
  <c r="O1814" i="16"/>
  <c r="O1811" i="16" s="1"/>
  <c r="L1457" i="16"/>
  <c r="M1460" i="16"/>
  <c r="M1457" i="16" s="1"/>
  <c r="I500" i="16"/>
  <c r="K1373" i="16"/>
  <c r="K1370" i="16" s="1"/>
  <c r="L1196" i="16"/>
  <c r="M1201" i="16"/>
  <c r="M1198" i="16"/>
  <c r="J505" i="16"/>
  <c r="K505" i="16" s="1"/>
  <c r="K1078" i="16" s="1"/>
  <c r="K1077" i="16" s="1"/>
  <c r="M1109" i="16"/>
  <c r="N1112" i="16"/>
  <c r="N1109" i="16" s="1"/>
  <c r="M1022" i="16"/>
  <c r="N1025" i="16"/>
  <c r="N1022" i="16" s="1"/>
  <c r="K935" i="16"/>
  <c r="L938" i="16"/>
  <c r="L935" i="16" s="1"/>
  <c r="H674" i="16"/>
  <c r="K766" i="16"/>
  <c r="I676" i="16"/>
  <c r="J677" i="16" s="1"/>
  <c r="J674" i="16" s="1"/>
  <c r="L589" i="16"/>
  <c r="M590" i="16" s="1"/>
  <c r="M587" i="16" s="1"/>
  <c r="K587" i="16"/>
  <c r="K503" i="16"/>
  <c r="K500" i="16" s="1"/>
  <c r="J500" i="16"/>
  <c r="I413" i="16"/>
  <c r="J418" i="16"/>
  <c r="K418" i="16" s="1"/>
  <c r="K991" i="16" s="1"/>
  <c r="K990" i="16" s="1"/>
  <c r="G326" i="16"/>
  <c r="K416" i="16"/>
  <c r="K413" i="16" s="1"/>
  <c r="J413" i="16"/>
  <c r="Z62" i="19"/>
  <c r="Z43" i="19"/>
  <c r="H328" i="16"/>
  <c r="H326" i="16" s="1"/>
  <c r="H331" i="16"/>
  <c r="F154" i="16"/>
  <c r="G155" i="16" s="1"/>
  <c r="F153" i="16"/>
  <c r="H241" i="16"/>
  <c r="I242" i="16" s="1"/>
  <c r="H240" i="16"/>
  <c r="E161" i="16"/>
  <c r="E162" i="16"/>
  <c r="Y41" i="18"/>
  <c r="Y62" i="18"/>
  <c r="Y40" i="17"/>
  <c r="Y84" i="17"/>
  <c r="G70" i="16"/>
  <c r="H121" i="16" s="1"/>
  <c r="H120" i="16" s="1"/>
  <c r="H118" i="16" s="1"/>
  <c r="G68" i="16"/>
  <c r="E136" i="16"/>
  <c r="E3" i="16" s="1"/>
  <c r="F76" i="16"/>
  <c r="F83" i="16"/>
  <c r="F79" i="16"/>
  <c r="E73" i="16"/>
  <c r="D93" i="16"/>
  <c r="E88" i="16"/>
  <c r="F75" i="16"/>
  <c r="G83" i="16" s="1"/>
  <c r="U3353" i="21" l="1"/>
  <c r="R10" i="21"/>
  <c r="S5" i="22"/>
  <c r="S3" i="22"/>
  <c r="T4" i="21"/>
  <c r="U3345" i="21"/>
  <c r="V3426" i="21"/>
  <c r="V3447" i="21" s="1"/>
  <c r="V3419" i="21"/>
  <c r="U3436" i="21"/>
  <c r="U3416" i="21"/>
  <c r="U3455" i="21"/>
  <c r="U3425" i="21"/>
  <c r="U3424" i="21" s="1"/>
  <c r="U3453" i="21"/>
  <c r="U3435" i="21"/>
  <c r="V3357" i="21"/>
  <c r="V3335" i="21"/>
  <c r="V3327" i="21"/>
  <c r="W3337" i="21"/>
  <c r="W3333" i="21"/>
  <c r="W3330" i="21"/>
  <c r="V3347" i="21"/>
  <c r="W3331" i="21"/>
  <c r="W3338" i="21"/>
  <c r="V3348" i="21"/>
  <c r="W3349" i="21" s="1"/>
  <c r="S2694" i="16"/>
  <c r="E4" i="16"/>
  <c r="G2" i="20"/>
  <c r="Q2344" i="16"/>
  <c r="Q2341" i="16" s="1"/>
  <c r="S2692" i="16"/>
  <c r="S2689" i="16" s="1"/>
  <c r="R2689" i="16"/>
  <c r="D103" i="16"/>
  <c r="D14" i="16" s="1"/>
  <c r="D86" i="16"/>
  <c r="D92" i="16" s="1"/>
  <c r="D91" i="16" s="1"/>
  <c r="E104" i="16"/>
  <c r="E99" i="16" s="1"/>
  <c r="D108" i="16"/>
  <c r="N1727" i="16"/>
  <c r="H388" i="16"/>
  <c r="H389" i="16" s="1"/>
  <c r="H394" i="16" s="1"/>
  <c r="G104" i="16"/>
  <c r="G99" i="16" s="1"/>
  <c r="M1551" i="16"/>
  <c r="Q2518" i="16"/>
  <c r="Q2515" i="16" s="1"/>
  <c r="P2515" i="16"/>
  <c r="F305" i="16"/>
  <c r="N2490" i="16"/>
  <c r="P2664" i="16"/>
  <c r="N2403" i="16"/>
  <c r="F308" i="16"/>
  <c r="H315" i="16" s="1"/>
  <c r="N2584" i="16"/>
  <c r="N2581" i="16"/>
  <c r="L853" i="16"/>
  <c r="L1869" i="16" s="1"/>
  <c r="L1868" i="16" s="1"/>
  <c r="L1956" i="16"/>
  <c r="L2045" i="16"/>
  <c r="L2044" i="16" s="1"/>
  <c r="L2051" i="16"/>
  <c r="N2316" i="16"/>
  <c r="L766" i="16"/>
  <c r="L1780" i="16" s="1"/>
  <c r="L1779" i="16" s="1"/>
  <c r="K761" i="16"/>
  <c r="N1725" i="16"/>
  <c r="N1722" i="16" s="1"/>
  <c r="L851" i="16"/>
  <c r="L848" i="16" s="1"/>
  <c r="K848" i="16"/>
  <c r="M1722" i="16"/>
  <c r="L1786" i="16"/>
  <c r="L1787" i="16" s="1"/>
  <c r="L1792" i="16" s="1"/>
  <c r="L1875" i="16"/>
  <c r="L1876" i="16" s="1"/>
  <c r="L1881" i="16" s="1"/>
  <c r="K1697" i="16"/>
  <c r="K1698" i="16" s="1"/>
  <c r="K1703" i="16" s="1"/>
  <c r="M1549" i="16"/>
  <c r="M1546" i="16" s="1"/>
  <c r="L1546" i="16"/>
  <c r="I736" i="16"/>
  <c r="I737" i="16" s="1"/>
  <c r="I742" i="16" s="1"/>
  <c r="K997" i="16"/>
  <c r="K998" i="16" s="1"/>
  <c r="K1003" i="16" s="1"/>
  <c r="K1084" i="16"/>
  <c r="M1258" i="16"/>
  <c r="M1259" i="16" s="1"/>
  <c r="M1264" i="16" s="1"/>
  <c r="O1905" i="16"/>
  <c r="G656" i="16"/>
  <c r="H1345" i="16"/>
  <c r="G653" i="16"/>
  <c r="M1638" i="16"/>
  <c r="M1635" i="16" s="1"/>
  <c r="L1635" i="16"/>
  <c r="M1640" i="16"/>
  <c r="N1987" i="16"/>
  <c r="O1990" i="16"/>
  <c r="O1987" i="16" s="1"/>
  <c r="O1903" i="16"/>
  <c r="O1900" i="16" s="1"/>
  <c r="I674" i="16"/>
  <c r="O1992" i="16"/>
  <c r="N1201" i="16"/>
  <c r="N2484" i="16" s="1"/>
  <c r="N2483" i="16" s="1"/>
  <c r="M1196" i="16"/>
  <c r="N1199" i="16"/>
  <c r="N1196" i="16" s="1"/>
  <c r="L587" i="16"/>
  <c r="M592" i="16"/>
  <c r="M1252" i="16" s="1"/>
  <c r="M1251" i="16" s="1"/>
  <c r="J679" i="16"/>
  <c r="K1691" i="16" s="1"/>
  <c r="K1690" i="16" s="1"/>
  <c r="AA62" i="19"/>
  <c r="AB62" i="19" s="1"/>
  <c r="I329" i="16"/>
  <c r="I326" i="16" s="1"/>
  <c r="I331" i="16"/>
  <c r="I241" i="16"/>
  <c r="I244" i="16"/>
  <c r="G154" i="16"/>
  <c r="G157" i="16"/>
  <c r="F170" i="16"/>
  <c r="F163" i="16"/>
  <c r="E199" i="16"/>
  <c r="E169" i="16"/>
  <c r="E168" i="16" s="1"/>
  <c r="E160" i="16"/>
  <c r="E197" i="16"/>
  <c r="F291" i="16" s="1"/>
  <c r="F292" i="16" s="1"/>
  <c r="I726" i="16" s="1"/>
  <c r="Z43" i="18"/>
  <c r="Z62" i="18"/>
  <c r="Z84" i="17"/>
  <c r="Z42" i="17"/>
  <c r="F81" i="16"/>
  <c r="F104" i="16"/>
  <c r="F99" i="16" s="1"/>
  <c r="E94" i="16"/>
  <c r="F95" i="16" s="1"/>
  <c r="G81" i="16"/>
  <c r="G77" i="16"/>
  <c r="G84" i="16"/>
  <c r="G79" i="16"/>
  <c r="G76" i="16"/>
  <c r="F73" i="16"/>
  <c r="U3434" i="21" l="1"/>
  <c r="U3462" i="21"/>
  <c r="U3463" i="21" s="1"/>
  <c r="V3464" i="21"/>
  <c r="U3451" i="21"/>
  <c r="U3444" i="21"/>
  <c r="U13" i="21" s="1"/>
  <c r="U3446" i="21"/>
  <c r="U14" i="21" s="1"/>
  <c r="V3417" i="21"/>
  <c r="V3418" i="21"/>
  <c r="V3425" i="21"/>
  <c r="W3420" i="21"/>
  <c r="W3427" i="21"/>
  <c r="V3437" i="21"/>
  <c r="W3438" i="21" s="1"/>
  <c r="V3345" i="21"/>
  <c r="X3331" i="21"/>
  <c r="X3333" i="21"/>
  <c r="W3348" i="21"/>
  <c r="W3345" i="21" s="1"/>
  <c r="W3358" i="21"/>
  <c r="W3335" i="21"/>
  <c r="V3353" i="21"/>
  <c r="E87" i="16"/>
  <c r="E93" i="16" s="1"/>
  <c r="E86" i="16"/>
  <c r="F86" i="16" s="1"/>
  <c r="F92" i="16" s="1"/>
  <c r="D99" i="16"/>
  <c r="F315" i="16"/>
  <c r="F348" i="16"/>
  <c r="G349" i="16" s="1"/>
  <c r="I743" i="16"/>
  <c r="K750" i="16" s="1"/>
  <c r="I740" i="16"/>
  <c r="G315" i="16"/>
  <c r="N2624" i="16"/>
  <c r="O2625" i="16" s="1"/>
  <c r="P2591" i="16"/>
  <c r="O2591" i="16"/>
  <c r="N2591" i="16"/>
  <c r="N2623" i="16" s="1"/>
  <c r="N2410" i="16"/>
  <c r="N2407" i="16"/>
  <c r="N2404" i="16"/>
  <c r="N2409" i="16" s="1"/>
  <c r="P2671" i="16"/>
  <c r="P2668" i="16"/>
  <c r="P2665" i="16"/>
  <c r="P2670" i="16" s="1"/>
  <c r="N2497" i="16"/>
  <c r="N2494" i="16"/>
  <c r="N2491" i="16"/>
  <c r="N2496" i="16" s="1"/>
  <c r="L2058" i="16"/>
  <c r="L2055" i="16"/>
  <c r="L2052" i="16"/>
  <c r="L2057" i="16" s="1"/>
  <c r="N2323" i="16"/>
  <c r="N2320" i="16"/>
  <c r="N2317" i="16"/>
  <c r="N2322" i="16" s="1"/>
  <c r="J1432" i="16"/>
  <c r="J1436" i="16" s="1"/>
  <c r="K1085" i="16"/>
  <c r="L2140" i="16"/>
  <c r="L1793" i="16"/>
  <c r="L1790" i="16"/>
  <c r="H1352" i="16"/>
  <c r="H1349" i="16"/>
  <c r="G696" i="16"/>
  <c r="H697" i="16" s="1"/>
  <c r="I663" i="16"/>
  <c r="H663" i="16"/>
  <c r="G663" i="16"/>
  <c r="G695" i="16" s="1"/>
  <c r="K1704" i="16"/>
  <c r="K1701" i="16"/>
  <c r="I730" i="16"/>
  <c r="I729" i="16" s="1"/>
  <c r="I727" i="16" s="1"/>
  <c r="L1776" i="16" s="1"/>
  <c r="L1777" i="16" s="1"/>
  <c r="H382" i="16"/>
  <c r="H381" i="16" s="1"/>
  <c r="H379" i="16" s="1"/>
  <c r="K987" i="16" s="1"/>
  <c r="K988" i="16" s="1"/>
  <c r="N2306" i="16" s="1"/>
  <c r="N2307" i="16" s="1"/>
  <c r="D106" i="16"/>
  <c r="F313" i="16"/>
  <c r="F8" i="16" s="1"/>
  <c r="F335" i="16"/>
  <c r="F311" i="16"/>
  <c r="F6" i="16" s="1"/>
  <c r="H4" i="20" s="1"/>
  <c r="F310" i="16"/>
  <c r="F3" i="16" s="1"/>
  <c r="F336" i="16"/>
  <c r="H155" i="16"/>
  <c r="H157" i="16"/>
  <c r="G208" i="16" s="1"/>
  <c r="G207" i="16" s="1"/>
  <c r="J244" i="16"/>
  <c r="J242" i="16"/>
  <c r="F161" i="16"/>
  <c r="F162" i="16"/>
  <c r="F169" i="16"/>
  <c r="F168" i="16" s="1"/>
  <c r="G171" i="16"/>
  <c r="G164" i="16"/>
  <c r="AA62" i="18"/>
  <c r="AA62" i="17"/>
  <c r="AA84" i="17"/>
  <c r="F87" i="16"/>
  <c r="F88" i="16"/>
  <c r="H79" i="16"/>
  <c r="H77" i="16"/>
  <c r="E131" i="16"/>
  <c r="E139" i="16" s="1"/>
  <c r="E134" i="16"/>
  <c r="W3353" i="21" l="1"/>
  <c r="V3506" i="21"/>
  <c r="V3507" i="21"/>
  <c r="U3484" i="21"/>
  <c r="U8" i="21" s="1"/>
  <c r="U3482" i="21"/>
  <c r="U6" i="21" s="1"/>
  <c r="U3481" i="21"/>
  <c r="U3" i="21" s="1"/>
  <c r="V3446" i="21"/>
  <c r="V3424" i="21"/>
  <c r="W3426" i="21"/>
  <c r="W3447" i="21" s="1"/>
  <c r="W3419" i="21"/>
  <c r="V3436" i="21"/>
  <c r="W3425" i="21"/>
  <c r="V3416" i="21"/>
  <c r="W3422" i="21"/>
  <c r="W3418" i="21"/>
  <c r="V3435" i="21"/>
  <c r="U3442" i="21"/>
  <c r="T3360" i="21"/>
  <c r="X3349" i="21"/>
  <c r="S3351" i="21" s="1"/>
  <c r="E8" i="16"/>
  <c r="D12" i="16"/>
  <c r="F6" i="20" s="1"/>
  <c r="D113" i="16"/>
  <c r="D114" i="16" s="1"/>
  <c r="E92" i="16"/>
  <c r="E91" i="16" s="1"/>
  <c r="F4" i="16"/>
  <c r="H2" i="20"/>
  <c r="I750" i="16"/>
  <c r="I782" i="16" s="1"/>
  <c r="J783" i="16" s="1"/>
  <c r="K784" i="16" s="1"/>
  <c r="I783" i="16"/>
  <c r="J784" i="16" s="1"/>
  <c r="J750" i="16"/>
  <c r="J1439" i="16"/>
  <c r="K1446" i="16" s="1"/>
  <c r="N2504" i="16"/>
  <c r="N2536" i="16" s="1"/>
  <c r="N2537" i="16"/>
  <c r="O2538" i="16" s="1"/>
  <c r="O2504" i="16"/>
  <c r="P2504" i="16"/>
  <c r="P2711" i="16"/>
  <c r="Q2712" i="16" s="1"/>
  <c r="Q2678" i="16"/>
  <c r="P2678" i="16"/>
  <c r="P2710" i="16" s="1"/>
  <c r="R2678" i="16"/>
  <c r="N2417" i="16"/>
  <c r="N2449" i="16" s="1"/>
  <c r="N2450" i="16"/>
  <c r="O2451" i="16" s="1"/>
  <c r="P2417" i="16"/>
  <c r="O2417" i="16"/>
  <c r="O2623" i="16"/>
  <c r="O2624" i="16"/>
  <c r="P2625" i="16" s="1"/>
  <c r="N2325" i="16"/>
  <c r="N2328" i="16"/>
  <c r="N2351" i="16"/>
  <c r="N2350" i="16"/>
  <c r="L2147" i="16"/>
  <c r="L2144" i="16"/>
  <c r="P2330" i="16"/>
  <c r="N2330" i="16"/>
  <c r="N2362" i="16" s="1"/>
  <c r="O2330" i="16"/>
  <c r="N2326" i="16"/>
  <c r="N2363" i="16"/>
  <c r="N2065" i="16"/>
  <c r="M2065" i="16"/>
  <c r="L2098" i="16"/>
  <c r="M2099" i="16" s="1"/>
  <c r="L2065" i="16"/>
  <c r="L2097" i="16" s="1"/>
  <c r="H695" i="16"/>
  <c r="H696" i="16"/>
  <c r="I697" i="16" s="1"/>
  <c r="H1392" i="16"/>
  <c r="I1393" i="16" s="1"/>
  <c r="J1359" i="16"/>
  <c r="H1359" i="16"/>
  <c r="H1391" i="16" s="1"/>
  <c r="I1359" i="16"/>
  <c r="K1744" i="16"/>
  <c r="L1745" i="16" s="1"/>
  <c r="M1711" i="16"/>
  <c r="L1711" i="16"/>
  <c r="K1711" i="16"/>
  <c r="K1743" i="16" s="1"/>
  <c r="L1833" i="16"/>
  <c r="M1834" i="16" s="1"/>
  <c r="N1800" i="16"/>
  <c r="M1800" i="16"/>
  <c r="L1800" i="16"/>
  <c r="L1832" i="16" s="1"/>
  <c r="L1795" i="16"/>
  <c r="L1798" i="16"/>
  <c r="L1796" i="16"/>
  <c r="L1820" i="16"/>
  <c r="L1821" i="16"/>
  <c r="K1006" i="16"/>
  <c r="K1032" i="16"/>
  <c r="K1031" i="16"/>
  <c r="G141" i="16"/>
  <c r="F141" i="16"/>
  <c r="E141" i="16"/>
  <c r="E173" i="16" s="1"/>
  <c r="H423" i="16"/>
  <c r="H397" i="16"/>
  <c r="H422" i="16"/>
  <c r="J556" i="16"/>
  <c r="J555" i="16" s="1"/>
  <c r="H469" i="16"/>
  <c r="I771" i="16"/>
  <c r="I745" i="16"/>
  <c r="I748" i="16"/>
  <c r="I770" i="16"/>
  <c r="I746" i="16"/>
  <c r="F354" i="16"/>
  <c r="G344" i="16"/>
  <c r="G337" i="16"/>
  <c r="F373" i="16"/>
  <c r="F371" i="16"/>
  <c r="G639" i="16" s="1"/>
  <c r="G640" i="16" s="1"/>
  <c r="K1687" i="16" s="1"/>
  <c r="K1688" i="16" s="1"/>
  <c r="F334" i="16"/>
  <c r="F343" i="16"/>
  <c r="F342" i="16" s="1"/>
  <c r="G205" i="16"/>
  <c r="J552" i="16" s="1"/>
  <c r="G170" i="16"/>
  <c r="G163" i="16"/>
  <c r="G162" i="16"/>
  <c r="G166" i="16"/>
  <c r="F160" i="16"/>
  <c r="G169" i="16"/>
  <c r="E174" i="16"/>
  <c r="AB55" i="18"/>
  <c r="AB62" i="18"/>
  <c r="AB77" i="17"/>
  <c r="AB84" i="17"/>
  <c r="F94" i="16"/>
  <c r="G95" i="16" s="1"/>
  <c r="F93" i="16"/>
  <c r="G88" i="16"/>
  <c r="G94" i="16" s="1"/>
  <c r="E137" i="16"/>
  <c r="E6" i="16" s="1"/>
  <c r="G4" i="20" s="1"/>
  <c r="V3442" i="21" l="1"/>
  <c r="S9" i="21"/>
  <c r="S14" i="21"/>
  <c r="S12" i="21"/>
  <c r="T5" i="22"/>
  <c r="T3" i="22"/>
  <c r="U4" i="21"/>
  <c r="V3434" i="21"/>
  <c r="W3515" i="21"/>
  <c r="W3536" i="21" s="1"/>
  <c r="W3508" i="21"/>
  <c r="V3525" i="21"/>
  <c r="V3505" i="21"/>
  <c r="V3544" i="21"/>
  <c r="V3542" i="21"/>
  <c r="V3514" i="21"/>
  <c r="V3513" i="21" s="1"/>
  <c r="V3524" i="21"/>
  <c r="W3446" i="21"/>
  <c r="W3424" i="21"/>
  <c r="W3416" i="21"/>
  <c r="X3426" i="21"/>
  <c r="X3422" i="21"/>
  <c r="X3419" i="21"/>
  <c r="W3436" i="21"/>
  <c r="X3420" i="21"/>
  <c r="X3427" i="21"/>
  <c r="W3437" i="21"/>
  <c r="X3438" i="21" s="1"/>
  <c r="D22" i="16"/>
  <c r="D15" i="16"/>
  <c r="D16" i="16"/>
  <c r="D24" i="16" s="1"/>
  <c r="F8" i="20" s="1"/>
  <c r="D18" i="16"/>
  <c r="D20" i="16" s="1"/>
  <c r="J782" i="16"/>
  <c r="L1446" i="16"/>
  <c r="J1479" i="16"/>
  <c r="K1480" i="16" s="1"/>
  <c r="J1446" i="16"/>
  <c r="J1478" i="16" s="1"/>
  <c r="K1479" i="16" s="1"/>
  <c r="L1480" i="16" s="1"/>
  <c r="H95" i="16"/>
  <c r="D97" i="16" s="1"/>
  <c r="O2449" i="16"/>
  <c r="O2450" i="16"/>
  <c r="P2451" i="16" s="1"/>
  <c r="Q2710" i="16"/>
  <c r="Q2711" i="16"/>
  <c r="R2712" i="16" s="1"/>
  <c r="O2536" i="16"/>
  <c r="O2537" i="16"/>
  <c r="P2538" i="16" s="1"/>
  <c r="P2623" i="16"/>
  <c r="P2629" i="16" s="1"/>
  <c r="P2624" i="16"/>
  <c r="Q2625" i="16" s="1"/>
  <c r="O2364" i="16"/>
  <c r="N2369" i="16"/>
  <c r="O2362" i="16"/>
  <c r="O2363" i="16"/>
  <c r="N2368" i="16"/>
  <c r="L2187" i="16"/>
  <c r="M2188" i="16" s="1"/>
  <c r="M2154" i="16"/>
  <c r="N2154" i="16"/>
  <c r="L2154" i="16"/>
  <c r="L2186" i="16" s="1"/>
  <c r="N2388" i="16"/>
  <c r="N2349" i="16"/>
  <c r="N2386" i="16"/>
  <c r="N2358" i="16"/>
  <c r="N2357" i="16" s="1"/>
  <c r="M2097" i="16"/>
  <c r="M2098" i="16"/>
  <c r="N2099" i="16" s="1"/>
  <c r="O2359" i="16"/>
  <c r="O2380" i="16" s="1"/>
  <c r="O2352" i="16"/>
  <c r="L1744" i="16"/>
  <c r="M1745" i="16" s="1"/>
  <c r="L1743" i="16"/>
  <c r="M1833" i="16"/>
  <c r="N1834" i="16" s="1"/>
  <c r="M1832" i="16"/>
  <c r="K782" i="16"/>
  <c r="K788" i="16" s="1"/>
  <c r="K783" i="16"/>
  <c r="L784" i="16" s="1"/>
  <c r="I1391" i="16"/>
  <c r="I1392" i="16"/>
  <c r="J1393" i="16" s="1"/>
  <c r="I695" i="16"/>
  <c r="I701" i="16" s="1"/>
  <c r="I696" i="16"/>
  <c r="J697" i="16" s="1"/>
  <c r="K1732" i="16"/>
  <c r="K1731" i="16"/>
  <c r="K1706" i="16"/>
  <c r="K1707" i="16"/>
  <c r="K1709" i="16"/>
  <c r="M1822" i="16"/>
  <c r="L1839" i="16"/>
  <c r="M1829" i="16"/>
  <c r="M1850" i="16" s="1"/>
  <c r="L1838" i="16"/>
  <c r="L1819" i="16"/>
  <c r="L1858" i="16"/>
  <c r="L1828" i="16"/>
  <c r="L1827" i="16" s="1"/>
  <c r="L1856" i="16"/>
  <c r="F91" i="16"/>
  <c r="L1040" i="16"/>
  <c r="L1033" i="16"/>
  <c r="K1039" i="16"/>
  <c r="K1038" i="16" s="1"/>
  <c r="K1067" i="16"/>
  <c r="L1952" i="16" s="1"/>
  <c r="L1953" i="16" s="1"/>
  <c r="K1069" i="16"/>
  <c r="K1030" i="16"/>
  <c r="G91" i="16"/>
  <c r="J553" i="16"/>
  <c r="H430" i="16"/>
  <c r="H429" i="16" s="1"/>
  <c r="H458" i="16"/>
  <c r="H460" i="16"/>
  <c r="H421" i="16"/>
  <c r="I431" i="16"/>
  <c r="I424" i="16"/>
  <c r="J779" i="16"/>
  <c r="J800" i="16" s="1"/>
  <c r="J772" i="16"/>
  <c r="I789" i="16"/>
  <c r="I788" i="16"/>
  <c r="I769" i="16"/>
  <c r="I808" i="16"/>
  <c r="I806" i="16"/>
  <c r="J1422" i="16" s="1"/>
  <c r="J1423" i="16" s="1"/>
  <c r="I778" i="16"/>
  <c r="I777" i="16" s="1"/>
  <c r="G684" i="16"/>
  <c r="G683" i="16"/>
  <c r="G661" i="16"/>
  <c r="G658" i="16"/>
  <c r="G659" i="16"/>
  <c r="G343" i="16"/>
  <c r="G335" i="16"/>
  <c r="G336" i="16"/>
  <c r="G355" i="16"/>
  <c r="H356" i="16" s="1"/>
  <c r="H338" i="16"/>
  <c r="H345" i="16"/>
  <c r="G365" i="16"/>
  <c r="F347" i="16"/>
  <c r="F364" i="16"/>
  <c r="F362" i="16"/>
  <c r="F13" i="16" s="1"/>
  <c r="F369" i="16"/>
  <c r="G249" i="16"/>
  <c r="G248" i="16"/>
  <c r="G168" i="16"/>
  <c r="H166" i="16"/>
  <c r="H170" i="16"/>
  <c r="H168" i="16" s="1"/>
  <c r="G160" i="16"/>
  <c r="H163" i="16"/>
  <c r="H171" i="16"/>
  <c r="H164" i="16"/>
  <c r="F190" i="16"/>
  <c r="E195" i="16"/>
  <c r="G191" i="16"/>
  <c r="F191" i="16"/>
  <c r="E190" i="16"/>
  <c r="E14" i="16" s="1"/>
  <c r="E188" i="16"/>
  <c r="E13" i="16" s="1"/>
  <c r="G190" i="16"/>
  <c r="E180" i="16"/>
  <c r="F175" i="16"/>
  <c r="F173" i="16"/>
  <c r="F174" i="16"/>
  <c r="E179" i="16"/>
  <c r="R7" i="22" l="1"/>
  <c r="S16" i="21"/>
  <c r="S22" i="21"/>
  <c r="S18" i="21"/>
  <c r="S20" i="21" s="1"/>
  <c r="S15" i="21"/>
  <c r="S10" i="21"/>
  <c r="V3523" i="21"/>
  <c r="V3551" i="21"/>
  <c r="V3552" i="21" s="1"/>
  <c r="W3553" i="21"/>
  <c r="V3533" i="21"/>
  <c r="V13" i="21" s="1"/>
  <c r="V3540" i="21"/>
  <c r="V3535" i="21"/>
  <c r="V14" i="21" s="1"/>
  <c r="W3514" i="21"/>
  <c r="W3506" i="21"/>
  <c r="W3507" i="21"/>
  <c r="X3509" i="21"/>
  <c r="X3516" i="21"/>
  <c r="W3526" i="21"/>
  <c r="X3527" i="21" s="1"/>
  <c r="W3434" i="21"/>
  <c r="Y3420" i="21"/>
  <c r="Y3422" i="21"/>
  <c r="X3437" i="21"/>
  <c r="X3434" i="21" s="1"/>
  <c r="X3447" i="21"/>
  <c r="X3424" i="21"/>
  <c r="W3442" i="21"/>
  <c r="D9" i="16"/>
  <c r="D10" i="16" s="1"/>
  <c r="D98" i="16"/>
  <c r="K1478" i="16"/>
  <c r="L1479" i="16" s="1"/>
  <c r="M1480" i="16" s="1"/>
  <c r="P2537" i="16"/>
  <c r="Q2538" i="16" s="1"/>
  <c r="P2536" i="16"/>
  <c r="P2542" i="16" s="1"/>
  <c r="R2711" i="16"/>
  <c r="S2712" i="16" s="1"/>
  <c r="R2710" i="16"/>
  <c r="R2716" i="16" s="1"/>
  <c r="P2450" i="16"/>
  <c r="Q2451" i="16" s="1"/>
  <c r="P2449" i="16"/>
  <c r="P2455" i="16" s="1"/>
  <c r="N2367" i="16"/>
  <c r="P2353" i="16"/>
  <c r="P2360" i="16"/>
  <c r="M2186" i="16"/>
  <c r="M2187" i="16"/>
  <c r="N2188" i="16" s="1"/>
  <c r="P2364" i="16"/>
  <c r="N2377" i="16"/>
  <c r="N2384" i="16"/>
  <c r="O2358" i="16"/>
  <c r="O2351" i="16"/>
  <c r="O2369" i="16" s="1"/>
  <c r="O2350" i="16"/>
  <c r="N2379" i="16"/>
  <c r="P2363" i="16"/>
  <c r="P2362" i="16"/>
  <c r="P2368" i="16" s="1"/>
  <c r="N2098" i="16"/>
  <c r="O2099" i="16" s="1"/>
  <c r="N2097" i="16"/>
  <c r="N2103" i="16" s="1"/>
  <c r="O2370" i="16"/>
  <c r="P2371" i="16" s="1"/>
  <c r="L1837" i="16"/>
  <c r="J1391" i="16"/>
  <c r="J1397" i="16" s="1"/>
  <c r="J1392" i="16"/>
  <c r="K1393" i="16" s="1"/>
  <c r="M1744" i="16"/>
  <c r="N1745" i="16" s="1"/>
  <c r="M1743" i="16"/>
  <c r="M1749" i="16" s="1"/>
  <c r="N1833" i="16"/>
  <c r="O1834" i="16" s="1"/>
  <c r="N1832" i="16"/>
  <c r="N1838" i="16" s="1"/>
  <c r="F14" i="16"/>
  <c r="J1467" i="16"/>
  <c r="J1466" i="16"/>
  <c r="J1441" i="16"/>
  <c r="J1442" i="16"/>
  <c r="J1444" i="16"/>
  <c r="N1823" i="16"/>
  <c r="N1830" i="16"/>
  <c r="M1840" i="16"/>
  <c r="N1841" i="16" s="1"/>
  <c r="K1739" i="16"/>
  <c r="K1738" i="16" s="1"/>
  <c r="K1749" i="16"/>
  <c r="K1767" i="16"/>
  <c r="K1769" i="16"/>
  <c r="K1730" i="16"/>
  <c r="L1971" i="16"/>
  <c r="L1996" i="16"/>
  <c r="L1997" i="16"/>
  <c r="M1820" i="16"/>
  <c r="M1828" i="16"/>
  <c r="M1821" i="16"/>
  <c r="L1849" i="16"/>
  <c r="L1854" i="16"/>
  <c r="L1847" i="16"/>
  <c r="L1740" i="16"/>
  <c r="L1761" i="16" s="1"/>
  <c r="L1733" i="16"/>
  <c r="K1750" i="16"/>
  <c r="J596" i="16"/>
  <c r="J632" i="16" s="1"/>
  <c r="K1161" i="16" s="1"/>
  <c r="K1162" i="16" s="1"/>
  <c r="N2480" i="16" s="1"/>
  <c r="N2481" i="16" s="1"/>
  <c r="M1248" i="16"/>
  <c r="M1249" i="16" s="1"/>
  <c r="P2654" i="16" s="1"/>
  <c r="P2655" i="16" s="1"/>
  <c r="M1034" i="16"/>
  <c r="M1041" i="16"/>
  <c r="I813" i="16"/>
  <c r="I814" i="16" s="1"/>
  <c r="L1865" i="16" s="1"/>
  <c r="L1866" i="16" s="1"/>
  <c r="L1032" i="16"/>
  <c r="L1039" i="16"/>
  <c r="L1031" i="16"/>
  <c r="J571" i="16"/>
  <c r="J597" i="16"/>
  <c r="G702" i="16"/>
  <c r="H692" i="16"/>
  <c r="H713" i="16" s="1"/>
  <c r="H685" i="16"/>
  <c r="J790" i="16"/>
  <c r="K791" i="16" s="1"/>
  <c r="K780" i="16"/>
  <c r="K773" i="16"/>
  <c r="I799" i="16"/>
  <c r="J771" i="16"/>
  <c r="J778" i="16"/>
  <c r="J770" i="16"/>
  <c r="J425" i="16"/>
  <c r="J432" i="16"/>
  <c r="I787" i="16"/>
  <c r="I422" i="16"/>
  <c r="I430" i="16"/>
  <c r="I423" i="16"/>
  <c r="I804" i="16"/>
  <c r="I797" i="16"/>
  <c r="G701" i="16"/>
  <c r="G682" i="16"/>
  <c r="G719" i="16"/>
  <c r="H1335" i="16" s="1"/>
  <c r="H1336" i="16" s="1"/>
  <c r="G691" i="16"/>
  <c r="G690" i="16" s="1"/>
  <c r="G721" i="16"/>
  <c r="E178" i="16"/>
  <c r="F360" i="16"/>
  <c r="H337" i="16"/>
  <c r="H344" i="16"/>
  <c r="H365" i="16" s="1"/>
  <c r="H336" i="16"/>
  <c r="H340" i="16"/>
  <c r="H343" i="16"/>
  <c r="G334" i="16"/>
  <c r="G364" i="16"/>
  <c r="G360" i="16" s="1"/>
  <c r="G342" i="16"/>
  <c r="F353" i="16"/>
  <c r="F352" i="16" s="1"/>
  <c r="G347" i="16"/>
  <c r="G348" i="16"/>
  <c r="G247" i="16"/>
  <c r="G286" i="16"/>
  <c r="G284" i="16"/>
  <c r="G256" i="16"/>
  <c r="G255" i="16" s="1"/>
  <c r="H191" i="16"/>
  <c r="H250" i="16"/>
  <c r="H257" i="16"/>
  <c r="E186" i="16"/>
  <c r="I166" i="16"/>
  <c r="I164" i="16"/>
  <c r="G186" i="16"/>
  <c r="F186" i="16"/>
  <c r="G174" i="16"/>
  <c r="G173" i="16"/>
  <c r="G179" i="16" s="1"/>
  <c r="F179" i="16"/>
  <c r="F181" i="16"/>
  <c r="G182" i="16" s="1"/>
  <c r="F180" i="16"/>
  <c r="G175" i="16"/>
  <c r="I163" i="15"/>
  <c r="I158" i="15"/>
  <c r="F21" i="15"/>
  <c r="F30" i="15" s="1"/>
  <c r="F32" i="15" s="1"/>
  <c r="G127" i="15" s="1"/>
  <c r="G135" i="15" s="1"/>
  <c r="H142" i="15" s="1"/>
  <c r="H149" i="15" s="1"/>
  <c r="H151" i="15" s="1"/>
  <c r="C7" i="15"/>
  <c r="C18" i="15" s="1"/>
  <c r="C129" i="15" s="1"/>
  <c r="G36" i="14"/>
  <c r="F21" i="14"/>
  <c r="F30" i="14" s="1"/>
  <c r="F32" i="14" s="1"/>
  <c r="C7" i="14"/>
  <c r="D18" i="14" s="1"/>
  <c r="X3442" i="21" l="1"/>
  <c r="S24" i="21"/>
  <c r="R9" i="22" s="1"/>
  <c r="W3595" i="21"/>
  <c r="W3596" i="21"/>
  <c r="V3573" i="21"/>
  <c r="V8" i="21" s="1"/>
  <c r="V3570" i="21"/>
  <c r="V3" i="21" s="1"/>
  <c r="V3571" i="21"/>
  <c r="V6" i="21" s="1"/>
  <c r="U3449" i="21"/>
  <c r="X3515" i="21"/>
  <c r="X3536" i="21" s="1"/>
  <c r="X3508" i="21"/>
  <c r="W3525" i="21"/>
  <c r="X3514" i="21"/>
  <c r="W3505" i="21"/>
  <c r="X3511" i="21"/>
  <c r="X3507" i="21"/>
  <c r="W3524" i="21"/>
  <c r="W3535" i="21"/>
  <c r="W3513" i="21"/>
  <c r="V3531" i="21"/>
  <c r="Y3438" i="21"/>
  <c r="T3440" i="21" s="1"/>
  <c r="E12" i="16"/>
  <c r="E16" i="16" s="1"/>
  <c r="E24" i="16" s="1"/>
  <c r="G8" i="20" s="1"/>
  <c r="L1478" i="16"/>
  <c r="L1484" i="16" s="1"/>
  <c r="N2524" i="16"/>
  <c r="N2500" i="16"/>
  <c r="N2525" i="16"/>
  <c r="N2499" i="16"/>
  <c r="N2502" i="16"/>
  <c r="P2698" i="16"/>
  <c r="P2674" i="16"/>
  <c r="P6" i="16" s="1"/>
  <c r="R4" i="20" s="1"/>
  <c r="P2699" i="16"/>
  <c r="P2676" i="16"/>
  <c r="P8" i="16" s="1"/>
  <c r="P2673" i="16"/>
  <c r="P3" i="16" s="1"/>
  <c r="R2" i="20" s="1"/>
  <c r="O2349" i="16"/>
  <c r="P2351" i="16"/>
  <c r="P2369" i="16" s="1"/>
  <c r="P2355" i="16"/>
  <c r="P2358" i="16"/>
  <c r="P2359" i="16"/>
  <c r="P2380" i="16" s="1"/>
  <c r="P2352" i="16"/>
  <c r="P2370" i="16" s="1"/>
  <c r="Q2371" i="16" s="1"/>
  <c r="O2357" i="16"/>
  <c r="O2379" i="16"/>
  <c r="O2375" i="16" s="1"/>
  <c r="N2375" i="16"/>
  <c r="N2187" i="16"/>
  <c r="O2188" i="16" s="1"/>
  <c r="N2186" i="16"/>
  <c r="N2192" i="16" s="1"/>
  <c r="H465" i="16"/>
  <c r="H466" i="16" s="1"/>
  <c r="O2368" i="16"/>
  <c r="O2367" i="16" s="1"/>
  <c r="Q2364" i="16"/>
  <c r="G700" i="16"/>
  <c r="F12" i="16"/>
  <c r="K1748" i="16"/>
  <c r="J634" i="16"/>
  <c r="J604" i="16"/>
  <c r="J603" i="16" s="1"/>
  <c r="J595" i="16"/>
  <c r="K1765" i="16"/>
  <c r="K1758" i="16"/>
  <c r="M1839" i="16"/>
  <c r="N1829" i="16"/>
  <c r="N1850" i="16" s="1"/>
  <c r="N1822" i="16"/>
  <c r="L1732" i="16"/>
  <c r="L1739" i="16"/>
  <c r="K1760" i="16"/>
  <c r="L1731" i="16"/>
  <c r="M1827" i="16"/>
  <c r="M1849" i="16"/>
  <c r="M1845" i="16" s="1"/>
  <c r="M1838" i="16"/>
  <c r="N1828" i="16"/>
  <c r="N1821" i="16"/>
  <c r="M1819" i="16"/>
  <c r="N1825" i="16"/>
  <c r="M1998" i="16"/>
  <c r="M2005" i="16"/>
  <c r="L2034" i="16"/>
  <c r="L1995" i="16"/>
  <c r="L2032" i="16"/>
  <c r="L2004" i="16"/>
  <c r="L2003" i="16" s="1"/>
  <c r="L1845" i="16"/>
  <c r="J1504" i="16"/>
  <c r="J1465" i="16"/>
  <c r="J1502" i="16"/>
  <c r="J1474" i="16"/>
  <c r="J1473" i="16" s="1"/>
  <c r="J1484" i="16"/>
  <c r="M1734" i="16"/>
  <c r="M1741" i="16"/>
  <c r="L1751" i="16"/>
  <c r="M1752" i="16" s="1"/>
  <c r="L1884" i="16"/>
  <c r="L1909" i="16"/>
  <c r="L1910" i="16"/>
  <c r="K1468" i="16"/>
  <c r="K1475" i="16"/>
  <c r="K1496" i="16" s="1"/>
  <c r="J1485" i="16"/>
  <c r="H186" i="16"/>
  <c r="E200" i="16" s="1"/>
  <c r="E201" i="16" s="1"/>
  <c r="H1379" i="16"/>
  <c r="H1354" i="16"/>
  <c r="H1380" i="16"/>
  <c r="H1357" i="16"/>
  <c r="H1355" i="16"/>
  <c r="M1040" i="16"/>
  <c r="M1033" i="16"/>
  <c r="I857" i="16"/>
  <c r="I858" i="16"/>
  <c r="I832" i="16"/>
  <c r="K1180" i="16"/>
  <c r="K1206" i="16"/>
  <c r="K1205" i="16"/>
  <c r="M1036" i="16"/>
  <c r="L1030" i="16"/>
  <c r="M1039" i="16"/>
  <c r="M1032" i="16"/>
  <c r="M1293" i="16"/>
  <c r="M1267" i="16"/>
  <c r="M3" i="16" s="1"/>
  <c r="O2" i="20" s="1"/>
  <c r="M1292" i="16"/>
  <c r="L1038" i="16"/>
  <c r="K605" i="16"/>
  <c r="K598" i="16"/>
  <c r="L599" i="16" s="1"/>
  <c r="I795" i="16"/>
  <c r="G717" i="16"/>
  <c r="G710" i="16"/>
  <c r="J423" i="16"/>
  <c r="J430" i="16"/>
  <c r="J427" i="16"/>
  <c r="I421" i="16"/>
  <c r="J431" i="16"/>
  <c r="J424" i="16"/>
  <c r="J788" i="16"/>
  <c r="K775" i="16"/>
  <c r="J769" i="16"/>
  <c r="K771" i="16"/>
  <c r="K778" i="16"/>
  <c r="H703" i="16"/>
  <c r="I704" i="16" s="1"/>
  <c r="I693" i="16"/>
  <c r="I686" i="16"/>
  <c r="H684" i="16"/>
  <c r="G712" i="16"/>
  <c r="H691" i="16"/>
  <c r="H683" i="16"/>
  <c r="J789" i="16"/>
  <c r="K772" i="16"/>
  <c r="K779" i="16"/>
  <c r="K800" i="16" s="1"/>
  <c r="J799" i="16"/>
  <c r="J795" i="16" s="1"/>
  <c r="J777" i="16"/>
  <c r="I429" i="16"/>
  <c r="H364" i="16"/>
  <c r="H360" i="16" s="1"/>
  <c r="H342" i="16"/>
  <c r="I337" i="16"/>
  <c r="H334" i="16"/>
  <c r="I340" i="16"/>
  <c r="I344" i="16"/>
  <c r="I338" i="16"/>
  <c r="I345" i="16"/>
  <c r="F178" i="16"/>
  <c r="H347" i="16"/>
  <c r="H353" i="16" s="1"/>
  <c r="G353" i="16"/>
  <c r="H348" i="16"/>
  <c r="H349" i="16"/>
  <c r="G354" i="16"/>
  <c r="E193" i="16"/>
  <c r="I251" i="16"/>
  <c r="I258" i="16"/>
  <c r="H248" i="16"/>
  <c r="H256" i="16"/>
  <c r="H249" i="16"/>
  <c r="G181" i="16"/>
  <c r="H182" i="16" s="1"/>
  <c r="H175" i="16"/>
  <c r="H181" i="16" s="1"/>
  <c r="G180" i="16"/>
  <c r="I159" i="15"/>
  <c r="I165" i="15" s="1"/>
  <c r="F25" i="15"/>
  <c r="F23" i="15"/>
  <c r="F28" i="15"/>
  <c r="F34" i="15" s="1"/>
  <c r="G37" i="15" s="1"/>
  <c r="E18" i="15"/>
  <c r="E129" i="15" s="1"/>
  <c r="H145" i="15" s="1"/>
  <c r="D18" i="15"/>
  <c r="D129" i="15" s="1"/>
  <c r="G131" i="15" s="1"/>
  <c r="G137" i="15" s="1"/>
  <c r="F28" i="14"/>
  <c r="F34" i="14" s="1"/>
  <c r="C18" i="14"/>
  <c r="F23" i="14" s="1"/>
  <c r="E18" i="14"/>
  <c r="T9" i="21" l="1"/>
  <c r="T12" i="21"/>
  <c r="G8" i="21"/>
  <c r="W3531" i="21"/>
  <c r="U5" i="22"/>
  <c r="F5" i="22" s="1"/>
  <c r="G6" i="21"/>
  <c r="U3" i="22"/>
  <c r="F3" i="22" s="1"/>
  <c r="G3" i="21"/>
  <c r="V4" i="21"/>
  <c r="W3523" i="21"/>
  <c r="X3604" i="21"/>
  <c r="X3625" i="21" s="1"/>
  <c r="X3597" i="21"/>
  <c r="W3614" i="21"/>
  <c r="W3594" i="21"/>
  <c r="W3633" i="21"/>
  <c r="W3603" i="21"/>
  <c r="W3602" i="21" s="1"/>
  <c r="W3631" i="21"/>
  <c r="W3613" i="21"/>
  <c r="Y3508" i="21"/>
  <c r="X3505" i="21"/>
  <c r="Y3515" i="21"/>
  <c r="Y3511" i="21"/>
  <c r="X3525" i="21"/>
  <c r="X3535" i="21"/>
  <c r="X3513" i="21"/>
  <c r="Y3509" i="21"/>
  <c r="Y3516" i="21"/>
  <c r="X3526" i="21"/>
  <c r="Y3527" i="21" s="1"/>
  <c r="E22" i="16"/>
  <c r="E18" i="16"/>
  <c r="E20" i="16" s="1"/>
  <c r="G6" i="20"/>
  <c r="E15" i="16"/>
  <c r="F16" i="16"/>
  <c r="F24" i="16" s="1"/>
  <c r="H8" i="20" s="1"/>
  <c r="H6" i="20"/>
  <c r="I182" i="16"/>
  <c r="E184" i="16" s="1"/>
  <c r="F15" i="16"/>
  <c r="F18" i="16"/>
  <c r="F20" i="16" s="1"/>
  <c r="F22" i="16"/>
  <c r="K1074" i="16"/>
  <c r="K1075" i="16" s="1"/>
  <c r="H510" i="16"/>
  <c r="I518" i="16" s="1"/>
  <c r="H484" i="16"/>
  <c r="H509" i="16"/>
  <c r="H545" i="16" s="1"/>
  <c r="I900" i="16" s="1"/>
  <c r="I901" i="16" s="1"/>
  <c r="L2041" i="16" s="1"/>
  <c r="L2042" i="16" s="1"/>
  <c r="P2697" i="16"/>
  <c r="Q2700" i="16"/>
  <c r="Q2707" i="16"/>
  <c r="Q2728" i="16" s="1"/>
  <c r="P2717" i="16"/>
  <c r="P2736" i="16"/>
  <c r="P2734" i="16"/>
  <c r="P2706" i="16"/>
  <c r="P2705" i="16" s="1"/>
  <c r="P2716" i="16"/>
  <c r="P2367" i="16"/>
  <c r="O2526" i="16"/>
  <c r="N2543" i="16"/>
  <c r="O2533" i="16"/>
  <c r="O2554" i="16" s="1"/>
  <c r="N2562" i="16"/>
  <c r="N2523" i="16"/>
  <c r="N2560" i="16"/>
  <c r="N2532" i="16"/>
  <c r="N2531" i="16" s="1"/>
  <c r="N2542" i="16"/>
  <c r="P2357" i="16"/>
  <c r="P2379" i="16"/>
  <c r="P2375" i="16" s="1"/>
  <c r="Q2360" i="16"/>
  <c r="Q2353" i="16"/>
  <c r="Q2359" i="16"/>
  <c r="Q2352" i="16"/>
  <c r="P2349" i="16"/>
  <c r="Q2355" i="16"/>
  <c r="K596" i="16"/>
  <c r="K604" i="16"/>
  <c r="K603" i="16" s="1"/>
  <c r="K597" i="16"/>
  <c r="L605" i="16" s="1"/>
  <c r="H3" i="16"/>
  <c r="J2" i="20" s="1"/>
  <c r="M2004" i="16"/>
  <c r="M1997" i="16"/>
  <c r="M1996" i="16"/>
  <c r="L1749" i="16"/>
  <c r="M1736" i="16"/>
  <c r="M1739" i="16"/>
  <c r="M1732" i="16"/>
  <c r="L1730" i="16"/>
  <c r="J1483" i="16"/>
  <c r="N2006" i="16"/>
  <c r="N1999" i="16"/>
  <c r="L1738" i="16"/>
  <c r="L1760" i="16"/>
  <c r="L1756" i="16" s="1"/>
  <c r="L1476" i="16"/>
  <c r="L1469" i="16"/>
  <c r="K1486" i="16"/>
  <c r="L1487" i="16" s="1"/>
  <c r="J1500" i="16"/>
  <c r="J1493" i="16"/>
  <c r="L1750" i="16"/>
  <c r="M1733" i="16"/>
  <c r="M1740" i="16"/>
  <c r="M1761" i="16" s="1"/>
  <c r="M1918" i="16"/>
  <c r="M1911" i="16"/>
  <c r="N1840" i="16"/>
  <c r="O1841" i="16" s="1"/>
  <c r="O1830" i="16"/>
  <c r="O1823" i="16"/>
  <c r="L1945" i="16"/>
  <c r="L1947" i="16"/>
  <c r="L1908" i="16"/>
  <c r="L1917" i="16"/>
  <c r="L1916" i="16" s="1"/>
  <c r="K1466" i="16"/>
  <c r="J1495" i="16"/>
  <c r="K1467" i="16"/>
  <c r="K1474" i="16"/>
  <c r="O1822" i="16"/>
  <c r="O1825" i="16"/>
  <c r="O1829" i="16"/>
  <c r="N1819" i="16"/>
  <c r="N1839" i="16"/>
  <c r="N1849" i="16"/>
  <c r="N1827" i="16"/>
  <c r="M1837" i="16"/>
  <c r="K1756" i="16"/>
  <c r="I1388" i="16"/>
  <c r="I1409" i="16" s="1"/>
  <c r="I1381" i="16"/>
  <c r="H1398" i="16"/>
  <c r="H1417" i="16"/>
  <c r="H1415" i="16"/>
  <c r="H1387" i="16"/>
  <c r="H1386" i="16" s="1"/>
  <c r="H1378" i="16"/>
  <c r="H1397" i="16"/>
  <c r="M1038" i="16"/>
  <c r="J859" i="16"/>
  <c r="J866" i="16"/>
  <c r="L1207" i="16"/>
  <c r="L1214" i="16"/>
  <c r="M1300" i="16"/>
  <c r="M1299" i="16" s="1"/>
  <c r="M1330" i="16"/>
  <c r="M1291" i="16"/>
  <c r="M1328" i="16"/>
  <c r="N2567" i="16" s="1"/>
  <c r="N2568" i="16" s="1"/>
  <c r="I856" i="16"/>
  <c r="I893" i="16"/>
  <c r="I865" i="16"/>
  <c r="I864" i="16" s="1"/>
  <c r="I895" i="16"/>
  <c r="K1243" i="16"/>
  <c r="K1204" i="16"/>
  <c r="K1241" i="16"/>
  <c r="L2219" i="16" s="1"/>
  <c r="L2220" i="16" s="1"/>
  <c r="K1213" i="16"/>
  <c r="K1212" i="16" s="1"/>
  <c r="N1301" i="16"/>
  <c r="N1294" i="16"/>
  <c r="N1034" i="16"/>
  <c r="N1041" i="16"/>
  <c r="N1036" i="16"/>
  <c r="N1033" i="16"/>
  <c r="N1040" i="16"/>
  <c r="M1030" i="16"/>
  <c r="L606" i="16"/>
  <c r="G352" i="16"/>
  <c r="G178" i="16"/>
  <c r="J421" i="16"/>
  <c r="K427" i="16"/>
  <c r="K431" i="16"/>
  <c r="K424" i="16"/>
  <c r="H701" i="16"/>
  <c r="I684" i="16"/>
  <c r="H682" i="16"/>
  <c r="I691" i="16"/>
  <c r="I688" i="16"/>
  <c r="K777" i="16"/>
  <c r="K799" i="16"/>
  <c r="K795" i="16" s="1"/>
  <c r="K789" i="16"/>
  <c r="L775" i="16"/>
  <c r="L779" i="16"/>
  <c r="L772" i="16"/>
  <c r="K769" i="16"/>
  <c r="H702" i="16"/>
  <c r="I692" i="16"/>
  <c r="I713" i="16" s="1"/>
  <c r="I685" i="16"/>
  <c r="G708" i="16"/>
  <c r="J429" i="16"/>
  <c r="H712" i="16"/>
  <c r="H708" i="16" s="1"/>
  <c r="H690" i="16"/>
  <c r="J787" i="16"/>
  <c r="L773" i="16"/>
  <c r="K790" i="16"/>
  <c r="L791" i="16" s="1"/>
  <c r="L780" i="16"/>
  <c r="K425" i="16"/>
  <c r="K432" i="16"/>
  <c r="I365" i="16"/>
  <c r="I342" i="16"/>
  <c r="J338" i="16"/>
  <c r="J340" i="16"/>
  <c r="H178" i="16"/>
  <c r="H355" i="16"/>
  <c r="I356" i="16" s="1"/>
  <c r="H354" i="16"/>
  <c r="I349" i="16"/>
  <c r="I355" i="16" s="1"/>
  <c r="H255" i="16"/>
  <c r="I249" i="16"/>
  <c r="I253" i="16"/>
  <c r="H247" i="16"/>
  <c r="I256" i="16"/>
  <c r="I257" i="16"/>
  <c r="I250" i="16"/>
  <c r="G47" i="15"/>
  <c r="G50" i="15" s="1"/>
  <c r="G51" i="15" s="1"/>
  <c r="G139" i="15"/>
  <c r="G41" i="15"/>
  <c r="H62" i="15" s="1"/>
  <c r="G45" i="15"/>
  <c r="E53" i="15"/>
  <c r="C53" i="15"/>
  <c r="G55" i="15" s="1"/>
  <c r="G57" i="15" s="1"/>
  <c r="D53" i="15"/>
  <c r="G48" i="15"/>
  <c r="X3531" i="21" l="1"/>
  <c r="S7" i="22"/>
  <c r="T16" i="21"/>
  <c r="T15" i="21"/>
  <c r="T22" i="21"/>
  <c r="T18" i="21"/>
  <c r="T20" i="21" s="1"/>
  <c r="T10" i="21"/>
  <c r="W4" i="21"/>
  <c r="W3612" i="21"/>
  <c r="W3622" i="21"/>
  <c r="W13" i="21" s="1"/>
  <c r="W3629" i="21"/>
  <c r="W3624" i="21"/>
  <c r="W14" i="21" s="1"/>
  <c r="X3595" i="21"/>
  <c r="X3596" i="21"/>
  <c r="X3603" i="21"/>
  <c r="Y3598" i="21"/>
  <c r="Y3605" i="21"/>
  <c r="X3615" i="21"/>
  <c r="Y3616" i="21" s="1"/>
  <c r="X3523" i="21"/>
  <c r="Y3536" i="21"/>
  <c r="Y3513" i="21"/>
  <c r="Z3509" i="21"/>
  <c r="Z3511" i="21"/>
  <c r="Y3526" i="21"/>
  <c r="Y3523" i="21" s="1"/>
  <c r="E9" i="16"/>
  <c r="E10" i="16" s="1"/>
  <c r="E185" i="16"/>
  <c r="J356" i="16"/>
  <c r="F358" i="16" s="1"/>
  <c r="F9" i="16" s="1"/>
  <c r="F10" i="16" s="1"/>
  <c r="L1748" i="16"/>
  <c r="I511" i="16"/>
  <c r="J512" i="16" s="1"/>
  <c r="N2541" i="16"/>
  <c r="H547" i="16"/>
  <c r="I509" i="16" s="1"/>
  <c r="P2715" i="16"/>
  <c r="H517" i="16"/>
  <c r="H516" i="16" s="1"/>
  <c r="H508" i="16"/>
  <c r="P2732" i="16"/>
  <c r="P2725" i="16"/>
  <c r="P13" i="16" s="1"/>
  <c r="Q2698" i="16"/>
  <c r="Q2699" i="16"/>
  <c r="P2727" i="16"/>
  <c r="Q2706" i="16"/>
  <c r="N2553" i="16"/>
  <c r="O2525" i="16"/>
  <c r="O2532" i="16"/>
  <c r="O2524" i="16"/>
  <c r="N2558" i="16"/>
  <c r="N2551" i="16"/>
  <c r="N2586" i="16"/>
  <c r="N2587" i="16"/>
  <c r="N2612" i="16"/>
  <c r="N2611" i="16"/>
  <c r="N2589" i="16"/>
  <c r="L598" i="16"/>
  <c r="M599" i="16" s="1"/>
  <c r="K595" i="16"/>
  <c r="P2527" i="16"/>
  <c r="P2534" i="16"/>
  <c r="O2544" i="16"/>
  <c r="P2545" i="16" s="1"/>
  <c r="R2701" i="16"/>
  <c r="Q2718" i="16"/>
  <c r="R2719" i="16" s="1"/>
  <c r="R2708" i="16"/>
  <c r="L2130" i="16"/>
  <c r="L2131" i="16" s="1"/>
  <c r="N2393" i="16"/>
  <c r="N2394" i="16" s="1"/>
  <c r="K1118" i="16"/>
  <c r="K1119" i="16"/>
  <c r="L601" i="16"/>
  <c r="L2263" i="16"/>
  <c r="L2264" i="16"/>
  <c r="L2238" i="16"/>
  <c r="L604" i="16"/>
  <c r="L603" i="16" s="1"/>
  <c r="R2355" i="16"/>
  <c r="R2353" i="16"/>
  <c r="L597" i="16"/>
  <c r="M605" i="16" s="1"/>
  <c r="Q2357" i="16"/>
  <c r="Q2380" i="16"/>
  <c r="Q2370" i="16"/>
  <c r="L2063" i="16"/>
  <c r="L2086" i="16"/>
  <c r="L2085" i="16"/>
  <c r="L2060" i="16"/>
  <c r="L2061" i="16"/>
  <c r="N1837" i="16"/>
  <c r="N1845" i="16"/>
  <c r="J1491" i="16"/>
  <c r="M1738" i="16"/>
  <c r="M1760" i="16"/>
  <c r="M1756" i="16" s="1"/>
  <c r="O1827" i="16"/>
  <c r="O1850" i="16"/>
  <c r="O1845" i="16" s="1"/>
  <c r="M1917" i="16"/>
  <c r="M1910" i="16"/>
  <c r="M1909" i="16"/>
  <c r="O1840" i="16"/>
  <c r="O1837" i="16" s="1"/>
  <c r="P1825" i="16"/>
  <c r="P1823" i="16"/>
  <c r="N2004" i="16"/>
  <c r="N1997" i="16"/>
  <c r="N2001" i="16"/>
  <c r="M1995" i="16"/>
  <c r="K1473" i="16"/>
  <c r="K1495" i="16"/>
  <c r="K1491" i="16" s="1"/>
  <c r="N1998" i="16"/>
  <c r="N2005" i="16"/>
  <c r="N1733" i="16"/>
  <c r="N1736" i="16"/>
  <c r="N1740" i="16"/>
  <c r="M1730" i="16"/>
  <c r="M1750" i="16"/>
  <c r="K1485" i="16"/>
  <c r="L1468" i="16"/>
  <c r="L1475" i="16"/>
  <c r="L1496" i="16" s="1"/>
  <c r="N1912" i="16"/>
  <c r="N1919" i="16"/>
  <c r="J1600" i="16"/>
  <c r="J1601" i="16" s="1"/>
  <c r="J1511" i="16"/>
  <c r="J1512" i="16" s="1"/>
  <c r="M2003" i="16"/>
  <c r="L1474" i="16"/>
  <c r="L1467" i="16"/>
  <c r="L1471" i="16"/>
  <c r="K1465" i="16"/>
  <c r="K1484" i="16"/>
  <c r="N1741" i="16"/>
  <c r="N1734" i="16"/>
  <c r="M1751" i="16"/>
  <c r="N1752" i="16" s="1"/>
  <c r="H1396" i="16"/>
  <c r="H1406" i="16"/>
  <c r="H1413" i="16"/>
  <c r="I1387" i="16"/>
  <c r="H1408" i="16"/>
  <c r="I1380" i="16"/>
  <c r="I1379" i="16"/>
  <c r="J1382" i="16"/>
  <c r="J1389" i="16"/>
  <c r="I1399" i="16"/>
  <c r="J1400" i="16" s="1"/>
  <c r="N1292" i="16"/>
  <c r="N1300" i="16"/>
  <c r="N1293" i="16"/>
  <c r="L1205" i="16"/>
  <c r="L1206" i="16"/>
  <c r="L1213" i="16"/>
  <c r="N1038" i="16"/>
  <c r="J865" i="16"/>
  <c r="J858" i="16"/>
  <c r="J857" i="16"/>
  <c r="M1208" i="16"/>
  <c r="M1215" i="16"/>
  <c r="O1036" i="16"/>
  <c r="O1034" i="16"/>
  <c r="I945" i="16"/>
  <c r="I944" i="16"/>
  <c r="I919" i="16"/>
  <c r="I3" i="16" s="1"/>
  <c r="K2" i="20" s="1"/>
  <c r="K860" i="16"/>
  <c r="K867" i="16"/>
  <c r="H352" i="16"/>
  <c r="O1295" i="16"/>
  <c r="O1302" i="16"/>
  <c r="I352" i="16"/>
  <c r="H700" i="16"/>
  <c r="K787" i="16"/>
  <c r="J688" i="16"/>
  <c r="L800" i="16"/>
  <c r="L777" i="16"/>
  <c r="I690" i="16"/>
  <c r="I712" i="16"/>
  <c r="I708" i="16" s="1"/>
  <c r="L427" i="16"/>
  <c r="L425" i="16"/>
  <c r="J686" i="16"/>
  <c r="I703" i="16"/>
  <c r="J704" i="16" s="1"/>
  <c r="J693" i="16"/>
  <c r="J519" i="16"/>
  <c r="L790" i="16"/>
  <c r="L787" i="16" s="1"/>
  <c r="M775" i="16"/>
  <c r="M773" i="16"/>
  <c r="J692" i="16"/>
  <c r="I682" i="16"/>
  <c r="J685" i="16"/>
  <c r="I702" i="16"/>
  <c r="K429" i="16"/>
  <c r="I360" i="16"/>
  <c r="F367" i="16"/>
  <c r="J258" i="16"/>
  <c r="J251" i="16"/>
  <c r="I255" i="16"/>
  <c r="J253" i="16"/>
  <c r="J257" i="16"/>
  <c r="J250" i="16"/>
  <c r="I247" i="16"/>
  <c r="H66" i="15"/>
  <c r="I84" i="15" s="1"/>
  <c r="H70" i="15"/>
  <c r="H71" i="15"/>
  <c r="Y3531" i="21" l="1"/>
  <c r="T24" i="21"/>
  <c r="S9" i="22" s="1"/>
  <c r="G13" i="21"/>
  <c r="X4" i="21"/>
  <c r="Y4" i="21" s="1"/>
  <c r="Z4" i="21" s="1"/>
  <c r="AA4" i="21" s="1"/>
  <c r="X3624" i="21"/>
  <c r="X3602" i="21"/>
  <c r="Y3604" i="21"/>
  <c r="Y3625" i="21" s="1"/>
  <c r="Y3597" i="21"/>
  <c r="X3614" i="21"/>
  <c r="Y3603" i="21"/>
  <c r="X3594" i="21"/>
  <c r="Y3600" i="21"/>
  <c r="Y3596" i="21"/>
  <c r="X3613" i="21"/>
  <c r="W3620" i="21"/>
  <c r="V3538" i="21"/>
  <c r="Z3527" i="21"/>
  <c r="U3529" i="21" s="1"/>
  <c r="I510" i="16"/>
  <c r="J511" i="16" s="1"/>
  <c r="Q2367" i="16"/>
  <c r="R2371" i="16"/>
  <c r="N2373" i="16" s="1"/>
  <c r="P1841" i="16"/>
  <c r="L1843" i="16" s="1"/>
  <c r="M791" i="16"/>
  <c r="I793" i="16" s="1"/>
  <c r="I517" i="16"/>
  <c r="I516" i="16" s="1"/>
  <c r="N2549" i="16"/>
  <c r="M606" i="16"/>
  <c r="O2553" i="16"/>
  <c r="O2549" i="16" s="1"/>
  <c r="O2531" i="16"/>
  <c r="O2543" i="16"/>
  <c r="P2526" i="16"/>
  <c r="P2533" i="16"/>
  <c r="P2554" i="16" s="1"/>
  <c r="Q2705" i="16"/>
  <c r="Q2727" i="16"/>
  <c r="Q2723" i="16" s="1"/>
  <c r="L1120" i="16"/>
  <c r="L1127" i="16"/>
  <c r="P2525" i="16"/>
  <c r="O2523" i="16"/>
  <c r="O2542" i="16"/>
  <c r="P2532" i="16"/>
  <c r="P2529" i="16"/>
  <c r="K1154" i="16"/>
  <c r="K1117" i="16"/>
  <c r="K1126" i="16"/>
  <c r="K1125" i="16" s="1"/>
  <c r="K1156" i="16"/>
  <c r="N2437" i="16"/>
  <c r="N2438" i="16"/>
  <c r="N2413" i="16"/>
  <c r="N6" i="16" s="1"/>
  <c r="P4" i="20" s="1"/>
  <c r="N2412" i="16"/>
  <c r="N3" i="16" s="1"/>
  <c r="P2" i="20" s="1"/>
  <c r="N2415" i="16"/>
  <c r="N8" i="16" s="1"/>
  <c r="O2613" i="16"/>
  <c r="O2620" i="16"/>
  <c r="O2641" i="16" s="1"/>
  <c r="N2630" i="16"/>
  <c r="R2699" i="16"/>
  <c r="R2706" i="16"/>
  <c r="R2703" i="16"/>
  <c r="Q2697" i="16"/>
  <c r="Q2716" i="16"/>
  <c r="N2649" i="16"/>
  <c r="N2610" i="16"/>
  <c r="N2647" i="16"/>
  <c r="N2619" i="16"/>
  <c r="N2618" i="16" s="1"/>
  <c r="N2629" i="16"/>
  <c r="L2150" i="16"/>
  <c r="L2175" i="16"/>
  <c r="L2174" i="16"/>
  <c r="L2152" i="16"/>
  <c r="L2149" i="16"/>
  <c r="L3" i="16" s="1"/>
  <c r="N2" i="20" s="1"/>
  <c r="P2723" i="16"/>
  <c r="R2700" i="16"/>
  <c r="R2707" i="16"/>
  <c r="R2728" i="16" s="1"/>
  <c r="Q2717" i="16"/>
  <c r="Q2375" i="16"/>
  <c r="N2382" i="16"/>
  <c r="M601" i="16"/>
  <c r="L595" i="16"/>
  <c r="M2265" i="16"/>
  <c r="M2272" i="16"/>
  <c r="M598" i="16"/>
  <c r="N599" i="16" s="1"/>
  <c r="L2271" i="16"/>
  <c r="L2270" i="16" s="1"/>
  <c r="L2262" i="16"/>
  <c r="L2301" i="16"/>
  <c r="L2299" i="16"/>
  <c r="M2094" i="16"/>
  <c r="M2115" i="16" s="1"/>
  <c r="M2087" i="16"/>
  <c r="L2104" i="16"/>
  <c r="L2093" i="16"/>
  <c r="L2092" i="16" s="1"/>
  <c r="L2121" i="16"/>
  <c r="L2123" i="16"/>
  <c r="L2084" i="16"/>
  <c r="L2103" i="16"/>
  <c r="K1483" i="16"/>
  <c r="N1911" i="16"/>
  <c r="N1918" i="16"/>
  <c r="L1465" i="16"/>
  <c r="M1468" i="16"/>
  <c r="M1475" i="16"/>
  <c r="M1471" i="16"/>
  <c r="L1485" i="16"/>
  <c r="M1476" i="16"/>
  <c r="M1469" i="16"/>
  <c r="L1486" i="16"/>
  <c r="M1487" i="16" s="1"/>
  <c r="M1916" i="16"/>
  <c r="L1495" i="16"/>
  <c r="L1491" i="16" s="1"/>
  <c r="L1473" i="16"/>
  <c r="M1748" i="16"/>
  <c r="O2005" i="16"/>
  <c r="O1998" i="16"/>
  <c r="N1995" i="16"/>
  <c r="O2001" i="16"/>
  <c r="N2003" i="16"/>
  <c r="N1761" i="16"/>
  <c r="N1738" i="16"/>
  <c r="J1556" i="16"/>
  <c r="J1530" i="16"/>
  <c r="J1555" i="16"/>
  <c r="J1645" i="16"/>
  <c r="J1644" i="16"/>
  <c r="J1619" i="16"/>
  <c r="N1751" i="16"/>
  <c r="N1748" i="16" s="1"/>
  <c r="O1736" i="16"/>
  <c r="O1734" i="16"/>
  <c r="O2006" i="16"/>
  <c r="O1999" i="16"/>
  <c r="L1852" i="16"/>
  <c r="N1910" i="16"/>
  <c r="N1917" i="16"/>
  <c r="N1914" i="16"/>
  <c r="M1908" i="16"/>
  <c r="J1387" i="16"/>
  <c r="I1378" i="16"/>
  <c r="J1384" i="16"/>
  <c r="J1380" i="16"/>
  <c r="I1397" i="16"/>
  <c r="J1381" i="16"/>
  <c r="J1388" i="16"/>
  <c r="J1409" i="16" s="1"/>
  <c r="I1398" i="16"/>
  <c r="I1408" i="16"/>
  <c r="I1404" i="16" s="1"/>
  <c r="I1386" i="16"/>
  <c r="H1404" i="16"/>
  <c r="O1294" i="16"/>
  <c r="O1301" i="16"/>
  <c r="N1299" i="16"/>
  <c r="L1212" i="16"/>
  <c r="O1297" i="16"/>
  <c r="O1300" i="16"/>
  <c r="O1293" i="16"/>
  <c r="N1291" i="16"/>
  <c r="J864" i="16"/>
  <c r="I952" i="16"/>
  <c r="I951" i="16" s="1"/>
  <c r="I943" i="16"/>
  <c r="I982" i="16"/>
  <c r="I980" i="16"/>
  <c r="M1207" i="16"/>
  <c r="M1214" i="16"/>
  <c r="J953" i="16"/>
  <c r="J946" i="16"/>
  <c r="K865" i="16"/>
  <c r="K858" i="16"/>
  <c r="K862" i="16"/>
  <c r="J856" i="16"/>
  <c r="L1204" i="16"/>
  <c r="M1213" i="16"/>
  <c r="M1206" i="16"/>
  <c r="M1210" i="16"/>
  <c r="K859" i="16"/>
  <c r="K866" i="16"/>
  <c r="I700" i="16"/>
  <c r="L795" i="16"/>
  <c r="I802" i="16"/>
  <c r="J690" i="16"/>
  <c r="J713" i="16"/>
  <c r="J708" i="16" s="1"/>
  <c r="J518" i="16"/>
  <c r="J703" i="16"/>
  <c r="J700" i="16" s="1"/>
  <c r="K688" i="16"/>
  <c r="K686" i="16"/>
  <c r="J517" i="16"/>
  <c r="J514" i="16"/>
  <c r="J510" i="16"/>
  <c r="I508" i="16"/>
  <c r="M603" i="16"/>
  <c r="K253" i="16"/>
  <c r="K251" i="16"/>
  <c r="J255" i="16"/>
  <c r="H74" i="15"/>
  <c r="H72" i="15"/>
  <c r="I88" i="15"/>
  <c r="J104" i="15" s="1"/>
  <c r="I92" i="15"/>
  <c r="X3620" i="21" l="1"/>
  <c r="X12" i="21" s="1"/>
  <c r="X14" i="21"/>
  <c r="U9" i="21"/>
  <c r="U12" i="21"/>
  <c r="X3612" i="21"/>
  <c r="Y3594" i="21"/>
  <c r="Z3604" i="21"/>
  <c r="Z3600" i="21"/>
  <c r="Z3597" i="21"/>
  <c r="Y3614" i="21"/>
  <c r="Y3624" i="21"/>
  <c r="Y14" i="21" s="1"/>
  <c r="Y3602" i="21"/>
  <c r="Z3598" i="21"/>
  <c r="Z3605" i="21"/>
  <c r="Y3615" i="21"/>
  <c r="Z3616" i="21" s="1"/>
  <c r="O1752" i="16"/>
  <c r="K1754" i="16" s="1"/>
  <c r="K704" i="16"/>
  <c r="G706" i="16" s="1"/>
  <c r="J3" i="16"/>
  <c r="L2" i="20" s="1"/>
  <c r="N2628" i="16"/>
  <c r="O2541" i="16"/>
  <c r="L2102" i="16"/>
  <c r="O2446" i="16"/>
  <c r="O2467" i="16" s="1"/>
  <c r="O2439" i="16"/>
  <c r="N2456" i="16"/>
  <c r="Q2715" i="16"/>
  <c r="N2473" i="16"/>
  <c r="N2475" i="16"/>
  <c r="N2436" i="16"/>
  <c r="N2445" i="16"/>
  <c r="N2444" i="16" s="1"/>
  <c r="N2455" i="16"/>
  <c r="M1121" i="16"/>
  <c r="M1128" i="16"/>
  <c r="L1118" i="16"/>
  <c r="L1119" i="16"/>
  <c r="L1126" i="16"/>
  <c r="L1125" i="16" s="1"/>
  <c r="L2212" i="16"/>
  <c r="L2182" i="16"/>
  <c r="L2181" i="16" s="1"/>
  <c r="L2210" i="16"/>
  <c r="L2192" i="16"/>
  <c r="L2173" i="16"/>
  <c r="R2727" i="16"/>
  <c r="R14" i="16" s="1"/>
  <c r="R2705" i="16"/>
  <c r="M2183" i="16"/>
  <c r="M2204" i="16" s="1"/>
  <c r="M2176" i="16"/>
  <c r="L2193" i="16"/>
  <c r="R2697" i="16"/>
  <c r="S2703" i="16"/>
  <c r="R2717" i="16"/>
  <c r="S2700" i="16"/>
  <c r="S2707" i="16"/>
  <c r="Q2527" i="16"/>
  <c r="P2544" i="16"/>
  <c r="Q2545" i="16" s="1"/>
  <c r="Q2534" i="16"/>
  <c r="S2701" i="16"/>
  <c r="S2708" i="16"/>
  <c r="R2718" i="16"/>
  <c r="S2719" i="16" s="1"/>
  <c r="P2553" i="16"/>
  <c r="P2531" i="16"/>
  <c r="N2645" i="16"/>
  <c r="N2638" i="16"/>
  <c r="Q2529" i="16"/>
  <c r="Q2533" i="16"/>
  <c r="Q2526" i="16"/>
  <c r="P2543" i="16"/>
  <c r="P2523" i="16"/>
  <c r="N2640" i="16"/>
  <c r="O2611" i="16"/>
  <c r="O2619" i="16"/>
  <c r="O2612" i="16"/>
  <c r="O2631" i="16"/>
  <c r="P2632" i="16" s="1"/>
  <c r="P2614" i="16"/>
  <c r="P2621" i="16"/>
  <c r="M2271" i="16"/>
  <c r="M2264" i="16"/>
  <c r="M2263" i="16"/>
  <c r="N601" i="16"/>
  <c r="N2266" i="16"/>
  <c r="N2273" i="16"/>
  <c r="L2119" i="16"/>
  <c r="L2112" i="16"/>
  <c r="N2088" i="16"/>
  <c r="N2095" i="16"/>
  <c r="M2105" i="16"/>
  <c r="N2106" i="16" s="1"/>
  <c r="L2114" i="16"/>
  <c r="M2085" i="16"/>
  <c r="M2093" i="16"/>
  <c r="M2086" i="16"/>
  <c r="J1593" i="16"/>
  <c r="J1554" i="16"/>
  <c r="J1591" i="16"/>
  <c r="J1563" i="16"/>
  <c r="J1562" i="16" s="1"/>
  <c r="P1999" i="16"/>
  <c r="P2001" i="16"/>
  <c r="L1483" i="16"/>
  <c r="O2003" i="16"/>
  <c r="M1496" i="16"/>
  <c r="M1473" i="16"/>
  <c r="K1557" i="16"/>
  <c r="K1564" i="16"/>
  <c r="N1471" i="16"/>
  <c r="N1469" i="16"/>
  <c r="M1486" i="16"/>
  <c r="M1483" i="16" s="1"/>
  <c r="N1916" i="16"/>
  <c r="O1911" i="16"/>
  <c r="O1914" i="16"/>
  <c r="O1918" i="16"/>
  <c r="N1908" i="16"/>
  <c r="J1682" i="16"/>
  <c r="J1680" i="16"/>
  <c r="J1643" i="16"/>
  <c r="J1652" i="16"/>
  <c r="J1651" i="16" s="1"/>
  <c r="N1756" i="16"/>
  <c r="K1763" i="16"/>
  <c r="O1919" i="16"/>
  <c r="O1912" i="16"/>
  <c r="K1646" i="16"/>
  <c r="K1653" i="16"/>
  <c r="K1389" i="16"/>
  <c r="K1382" i="16"/>
  <c r="J1399" i="16"/>
  <c r="K1400" i="16" s="1"/>
  <c r="I1396" i="16"/>
  <c r="K1384" i="16"/>
  <c r="K1381" i="16"/>
  <c r="J1378" i="16"/>
  <c r="K1388" i="16"/>
  <c r="J1398" i="16"/>
  <c r="G715" i="16"/>
  <c r="J1386" i="16"/>
  <c r="J1408" i="16"/>
  <c r="M1212" i="16"/>
  <c r="P1295" i="16"/>
  <c r="P1302" i="16"/>
  <c r="P1301" i="16"/>
  <c r="O1291" i="16"/>
  <c r="P1294" i="16"/>
  <c r="P1297" i="16"/>
  <c r="N1215" i="16"/>
  <c r="N1208" i="16"/>
  <c r="O1299" i="16"/>
  <c r="L859" i="16"/>
  <c r="L866" i="16"/>
  <c r="K856" i="16"/>
  <c r="L862" i="16"/>
  <c r="K864" i="16"/>
  <c r="J945" i="16"/>
  <c r="J944" i="16"/>
  <c r="J952" i="16"/>
  <c r="L867" i="16"/>
  <c r="L860" i="16"/>
  <c r="K947" i="16"/>
  <c r="K954" i="16"/>
  <c r="M1204" i="16"/>
  <c r="N1207" i="16"/>
  <c r="N1210" i="16"/>
  <c r="N1214" i="16"/>
  <c r="K519" i="16"/>
  <c r="K512" i="16"/>
  <c r="K511" i="16"/>
  <c r="K518" i="16"/>
  <c r="K514" i="16"/>
  <c r="J508" i="16"/>
  <c r="J516" i="16"/>
  <c r="H75" i="15"/>
  <c r="E77" i="15"/>
  <c r="D77" i="15"/>
  <c r="C77" i="15"/>
  <c r="H79" i="15" s="1"/>
  <c r="H81" i="15" s="1"/>
  <c r="J112" i="15"/>
  <c r="J108" i="15"/>
  <c r="X15" i="21" l="1"/>
  <c r="X18" i="21"/>
  <c r="X22" i="21"/>
  <c r="T7" i="22"/>
  <c r="U16" i="21"/>
  <c r="U24" i="21" s="1"/>
  <c r="U15" i="21"/>
  <c r="U22" i="21"/>
  <c r="U18" i="21"/>
  <c r="U20" i="21" s="1"/>
  <c r="U10" i="21"/>
  <c r="Y3620" i="21"/>
  <c r="Y12" i="21" s="1"/>
  <c r="Y3612" i="21"/>
  <c r="AA3598" i="21"/>
  <c r="AA3600" i="21"/>
  <c r="Z3615" i="21"/>
  <c r="Z3612" i="21" s="1"/>
  <c r="Z3625" i="21"/>
  <c r="Z3602" i="21"/>
  <c r="N1487" i="16"/>
  <c r="J1489" i="16" s="1"/>
  <c r="N2454" i="16"/>
  <c r="P2549" i="16"/>
  <c r="R2723" i="16"/>
  <c r="R12" i="16" s="1"/>
  <c r="O2629" i="16"/>
  <c r="P2619" i="16"/>
  <c r="P2612" i="16"/>
  <c r="P2616" i="16"/>
  <c r="O2610" i="16"/>
  <c r="P2541" i="16"/>
  <c r="R2527" i="16"/>
  <c r="Q2544" i="16"/>
  <c r="Q2541" i="16" s="1"/>
  <c r="R2529" i="16"/>
  <c r="L2191" i="16"/>
  <c r="O2445" i="16"/>
  <c r="O2438" i="16"/>
  <c r="N2466" i="16"/>
  <c r="O2437" i="16"/>
  <c r="Q2531" i="16"/>
  <c r="Q2554" i="16"/>
  <c r="Q2549" i="16" s="1"/>
  <c r="S2705" i="16"/>
  <c r="S2728" i="16"/>
  <c r="L2201" i="16"/>
  <c r="L2208" i="16"/>
  <c r="N2471" i="16"/>
  <c r="N2464" i="16"/>
  <c r="O2630" i="16"/>
  <c r="P2620" i="16"/>
  <c r="P2641" i="16" s="1"/>
  <c r="P2613" i="16"/>
  <c r="N2177" i="16"/>
  <c r="M2194" i="16"/>
  <c r="N2195" i="16" s="1"/>
  <c r="N2184" i="16"/>
  <c r="N2636" i="16"/>
  <c r="R2715" i="16"/>
  <c r="L2203" i="16"/>
  <c r="M2174" i="16"/>
  <c r="M2175" i="16"/>
  <c r="M2182" i="16"/>
  <c r="L1117" i="16"/>
  <c r="M1126" i="16"/>
  <c r="M1119" i="16"/>
  <c r="M1123" i="16"/>
  <c r="O2618" i="16"/>
  <c r="O2640" i="16"/>
  <c r="O2636" i="16" s="1"/>
  <c r="T2701" i="16"/>
  <c r="T2703" i="16"/>
  <c r="S2718" i="16"/>
  <c r="S2715" i="16" s="1"/>
  <c r="O2457" i="16"/>
  <c r="P2458" i="16" s="1"/>
  <c r="P2440" i="16"/>
  <c r="P2447" i="16"/>
  <c r="M1127" i="16"/>
  <c r="M1120" i="16"/>
  <c r="M2262" i="16"/>
  <c r="N2268" i="16"/>
  <c r="N2264" i="16"/>
  <c r="N2271" i="16"/>
  <c r="N2265" i="16"/>
  <c r="N2272" i="16"/>
  <c r="M2270" i="16"/>
  <c r="M2104" i="16"/>
  <c r="N2094" i="16"/>
  <c r="N2115" i="16" s="1"/>
  <c r="N2087" i="16"/>
  <c r="M2103" i="16"/>
  <c r="M2084" i="16"/>
  <c r="N2090" i="16"/>
  <c r="N2093" i="16"/>
  <c r="N2086" i="16"/>
  <c r="L2110" i="16"/>
  <c r="M2092" i="16"/>
  <c r="M2114" i="16"/>
  <c r="M2110" i="16" s="1"/>
  <c r="P1912" i="16"/>
  <c r="P1914" i="16"/>
  <c r="K1652" i="16"/>
  <c r="K1644" i="16"/>
  <c r="K1645" i="16"/>
  <c r="L1558" i="16"/>
  <c r="L1565" i="16"/>
  <c r="L1654" i="16"/>
  <c r="L1647" i="16"/>
  <c r="O1916" i="16"/>
  <c r="M1491" i="16"/>
  <c r="J1498" i="16"/>
  <c r="K1555" i="16"/>
  <c r="K1563" i="16"/>
  <c r="K1556" i="16"/>
  <c r="J1396" i="16"/>
  <c r="L1384" i="16"/>
  <c r="L1382" i="16"/>
  <c r="K1399" i="16"/>
  <c r="K1396" i="16" s="1"/>
  <c r="K1386" i="16"/>
  <c r="K1409" i="16"/>
  <c r="K1404" i="16" s="1"/>
  <c r="J1404" i="16"/>
  <c r="O1210" i="16"/>
  <c r="O1208" i="16"/>
  <c r="Q1295" i="16"/>
  <c r="Q1297" i="16"/>
  <c r="J951" i="16"/>
  <c r="P1299" i="16"/>
  <c r="K945" i="16"/>
  <c r="K949" i="16"/>
  <c r="J943" i="16"/>
  <c r="K952" i="16"/>
  <c r="L864" i="16"/>
  <c r="K946" i="16"/>
  <c r="K953" i="16"/>
  <c r="M860" i="16"/>
  <c r="M862" i="16"/>
  <c r="N1212" i="16"/>
  <c r="K516" i="16"/>
  <c r="L512" i="16"/>
  <c r="L514" i="16"/>
  <c r="I93" i="15"/>
  <c r="I95" i="15" s="1"/>
  <c r="D97" i="15" s="1"/>
  <c r="Z3620" i="21" l="1"/>
  <c r="Z12" i="21" s="1"/>
  <c r="Z14" i="21"/>
  <c r="Y18" i="21"/>
  <c r="Y22" i="21"/>
  <c r="Y15" i="21"/>
  <c r="T9" i="22"/>
  <c r="W3627" i="21"/>
  <c r="W12" i="21" s="1"/>
  <c r="AA3616" i="21"/>
  <c r="V3618" i="21" s="1"/>
  <c r="R22" i="16"/>
  <c r="T6" i="20"/>
  <c r="R15" i="16"/>
  <c r="R18" i="16"/>
  <c r="T2719" i="16"/>
  <c r="P2721" i="16" s="1"/>
  <c r="P9" i="16" s="1"/>
  <c r="P10" i="16" s="1"/>
  <c r="R2545" i="16"/>
  <c r="N2547" i="16" s="1"/>
  <c r="L1400" i="16"/>
  <c r="H1402" i="16" s="1"/>
  <c r="S2723" i="16"/>
  <c r="S12" i="16" s="1"/>
  <c r="U6" i="20" s="1"/>
  <c r="S14" i="16"/>
  <c r="O2628" i="16"/>
  <c r="L2199" i="16"/>
  <c r="M2102" i="16"/>
  <c r="P2630" i="16"/>
  <c r="P2610" i="16"/>
  <c r="Q2613" i="16"/>
  <c r="Q2616" i="16"/>
  <c r="Q2620" i="16"/>
  <c r="N1121" i="16"/>
  <c r="N1128" i="16"/>
  <c r="M1125" i="16"/>
  <c r="P2446" i="16"/>
  <c r="P2467" i="16" s="1"/>
  <c r="O2456" i="16"/>
  <c r="P2439" i="16"/>
  <c r="P2730" i="16"/>
  <c r="P2438" i="16"/>
  <c r="P2442" i="16"/>
  <c r="O2436" i="16"/>
  <c r="P2445" i="16"/>
  <c r="O2455" i="16"/>
  <c r="M2203" i="16"/>
  <c r="M2199" i="16" s="1"/>
  <c r="M2181" i="16"/>
  <c r="N2462" i="16"/>
  <c r="N13" i="16"/>
  <c r="Q2621" i="16"/>
  <c r="Q2614" i="16"/>
  <c r="P2631" i="16"/>
  <c r="Q2632" i="16" s="1"/>
  <c r="O2466" i="16"/>
  <c r="O2462" i="16" s="1"/>
  <c r="O2444" i="16"/>
  <c r="N2183" i="16"/>
  <c r="N2204" i="16" s="1"/>
  <c r="M2193" i="16"/>
  <c r="N2176" i="16"/>
  <c r="N2556" i="16"/>
  <c r="P2618" i="16"/>
  <c r="P2640" i="16"/>
  <c r="P2636" i="16" s="1"/>
  <c r="N1120" i="16"/>
  <c r="M1117" i="16"/>
  <c r="N1123" i="16"/>
  <c r="N1127" i="16"/>
  <c r="N1125" i="16" s="1"/>
  <c r="M2192" i="16"/>
  <c r="N2182" i="16"/>
  <c r="N2179" i="16"/>
  <c r="M2173" i="16"/>
  <c r="N2175" i="16"/>
  <c r="N2270" i="16"/>
  <c r="O2273" i="16"/>
  <c r="O2266" i="16"/>
  <c r="O2265" i="16"/>
  <c r="O2272" i="16"/>
  <c r="N2262" i="16"/>
  <c r="O2268" i="16"/>
  <c r="N2114" i="16"/>
  <c r="N2110" i="16" s="1"/>
  <c r="N2092" i="16"/>
  <c r="N2105" i="16"/>
  <c r="O2106" i="16" s="1"/>
  <c r="O2095" i="16"/>
  <c r="O2088" i="16"/>
  <c r="N2104" i="16"/>
  <c r="O2087" i="16"/>
  <c r="N2084" i="16"/>
  <c r="O2094" i="16"/>
  <c r="O2090" i="16"/>
  <c r="L1649" i="16"/>
  <c r="L1646" i="16"/>
  <c r="L1653" i="16"/>
  <c r="L1652" i="16"/>
  <c r="L1645" i="16"/>
  <c r="K1643" i="16"/>
  <c r="K1651" i="16"/>
  <c r="L1557" i="16"/>
  <c r="L1564" i="16"/>
  <c r="K1562" i="16"/>
  <c r="L1556" i="16"/>
  <c r="L1560" i="16"/>
  <c r="L1563" i="16"/>
  <c r="K1554" i="16"/>
  <c r="H1411" i="16"/>
  <c r="L947" i="16"/>
  <c r="L954" i="16"/>
  <c r="K951" i="16"/>
  <c r="L953" i="16"/>
  <c r="L946" i="16"/>
  <c r="K943" i="16"/>
  <c r="L949" i="16"/>
  <c r="C97" i="15"/>
  <c r="I99" i="15" s="1"/>
  <c r="I101" i="15" s="1"/>
  <c r="E97" i="15"/>
  <c r="J113" i="15"/>
  <c r="J115" i="15" s="1"/>
  <c r="Z15" i="21" l="1"/>
  <c r="G14" i="21"/>
  <c r="Z18" i="21"/>
  <c r="Z22" i="21"/>
  <c r="V9" i="21"/>
  <c r="V12" i="21"/>
  <c r="V7" i="22"/>
  <c r="W22" i="21"/>
  <c r="W18" i="21"/>
  <c r="W15" i="21"/>
  <c r="S18" i="16"/>
  <c r="S22" i="16"/>
  <c r="S15" i="16"/>
  <c r="P2628" i="16"/>
  <c r="O2184" i="16"/>
  <c r="O2177" i="16"/>
  <c r="N2194" i="16"/>
  <c r="O2195" i="16" s="1"/>
  <c r="O2454" i="16"/>
  <c r="N2181" i="16"/>
  <c r="N2203" i="16"/>
  <c r="N2199" i="16" s="1"/>
  <c r="O1121" i="16"/>
  <c r="O1123" i="16"/>
  <c r="O2176" i="16"/>
  <c r="N2173" i="16"/>
  <c r="N2193" i="16"/>
  <c r="O2183" i="16"/>
  <c r="O2179" i="16"/>
  <c r="Q2618" i="16"/>
  <c r="Q2641" i="16"/>
  <c r="Q2439" i="16"/>
  <c r="Q2446" i="16"/>
  <c r="P2436" i="16"/>
  <c r="Q2442" i="16"/>
  <c r="P2456" i="16"/>
  <c r="P2466" i="16"/>
  <c r="P2444" i="16"/>
  <c r="Q2631" i="16"/>
  <c r="Q2628" i="16" s="1"/>
  <c r="R2616" i="16"/>
  <c r="R2614" i="16"/>
  <c r="M2191" i="16"/>
  <c r="Q2447" i="16"/>
  <c r="P2457" i="16"/>
  <c r="Q2458" i="16" s="1"/>
  <c r="Q2440" i="16"/>
  <c r="O2270" i="16"/>
  <c r="P2266" i="16"/>
  <c r="P2268" i="16"/>
  <c r="O2115" i="16"/>
  <c r="O2092" i="16"/>
  <c r="O2105" i="16"/>
  <c r="O2102" i="16" s="1"/>
  <c r="P2088" i="16"/>
  <c r="P2090" i="16"/>
  <c r="N2102" i="16"/>
  <c r="L1562" i="16"/>
  <c r="M1557" i="16"/>
  <c r="M1560" i="16"/>
  <c r="M1564" i="16"/>
  <c r="L1554" i="16"/>
  <c r="L1643" i="16"/>
  <c r="M1646" i="16"/>
  <c r="M1653" i="16"/>
  <c r="M1649" i="16"/>
  <c r="L1651" i="16"/>
  <c r="M1647" i="16"/>
  <c r="M1654" i="16"/>
  <c r="M1558" i="16"/>
  <c r="M1565" i="16"/>
  <c r="L951" i="16"/>
  <c r="M947" i="16"/>
  <c r="M949" i="16"/>
  <c r="J114" i="15"/>
  <c r="C117" i="15"/>
  <c r="J119" i="15" s="1"/>
  <c r="J121" i="15" s="1"/>
  <c r="D117" i="15"/>
  <c r="E117" i="15"/>
  <c r="U7" i="22" l="1"/>
  <c r="F7" i="22" s="1"/>
  <c r="V15" i="21"/>
  <c r="V18" i="21"/>
  <c r="V20" i="21" s="1"/>
  <c r="W20" i="21" s="1"/>
  <c r="X20" i="21" s="1"/>
  <c r="Y20" i="21" s="1"/>
  <c r="Z20" i="21" s="1"/>
  <c r="AA20" i="21" s="1"/>
  <c r="V22" i="21"/>
  <c r="G12" i="21"/>
  <c r="G22" i="21" s="1"/>
  <c r="V16" i="21"/>
  <c r="V24" i="21" s="1"/>
  <c r="V10" i="21"/>
  <c r="G9" i="21"/>
  <c r="G10" i="21" s="1"/>
  <c r="R2632" i="16"/>
  <c r="N2634" i="16" s="1"/>
  <c r="P2106" i="16"/>
  <c r="L2108" i="16" s="1"/>
  <c r="N2191" i="16"/>
  <c r="P2454" i="16"/>
  <c r="O2181" i="16"/>
  <c r="O2204" i="16"/>
  <c r="O2194" i="16"/>
  <c r="O2191" i="16" s="1"/>
  <c r="P2179" i="16"/>
  <c r="P2177" i="16"/>
  <c r="Q2636" i="16"/>
  <c r="N2643" i="16"/>
  <c r="Q2444" i="16"/>
  <c r="Q2467" i="16"/>
  <c r="R2440" i="16"/>
  <c r="Q2457" i="16"/>
  <c r="Q2454" i="16" s="1"/>
  <c r="R2442" i="16"/>
  <c r="P2462" i="16"/>
  <c r="O2110" i="16"/>
  <c r="L2117" i="16"/>
  <c r="M1651" i="16"/>
  <c r="N1647" i="16"/>
  <c r="N1649" i="16"/>
  <c r="M1562" i="16"/>
  <c r="N1560" i="16"/>
  <c r="N1558" i="16"/>
  <c r="G4" i="12"/>
  <c r="H4" i="12"/>
  <c r="I4" i="12"/>
  <c r="J4" i="12"/>
  <c r="K4" i="12"/>
  <c r="L4" i="12"/>
  <c r="M4" i="12"/>
  <c r="N4" i="12"/>
  <c r="O4" i="12"/>
  <c r="P4" i="12"/>
  <c r="Q4" i="12"/>
  <c r="R4" i="12"/>
  <c r="F4" i="12"/>
  <c r="G3" i="12"/>
  <c r="H3" i="12"/>
  <c r="I3" i="12"/>
  <c r="J3" i="12"/>
  <c r="K3" i="12"/>
  <c r="L3" i="12"/>
  <c r="M3" i="12"/>
  <c r="N3" i="12"/>
  <c r="O3" i="12"/>
  <c r="P3" i="12"/>
  <c r="Q3" i="12"/>
  <c r="R3" i="12"/>
  <c r="F3" i="12"/>
  <c r="G38" i="12"/>
  <c r="H38" i="12"/>
  <c r="I38" i="12"/>
  <c r="J38" i="12"/>
  <c r="K38" i="12"/>
  <c r="L38" i="12"/>
  <c r="M38" i="12"/>
  <c r="M43" i="12" s="1"/>
  <c r="M45" i="12" s="1"/>
  <c r="G39" i="12"/>
  <c r="H39" i="12"/>
  <c r="I39" i="12"/>
  <c r="I43" i="12" s="1"/>
  <c r="I45" i="12" s="1"/>
  <c r="J39" i="12"/>
  <c r="J43" i="12" s="1"/>
  <c r="J45" i="12" s="1"/>
  <c r="K39" i="12"/>
  <c r="K43" i="12" s="1"/>
  <c r="K45" i="12" s="1"/>
  <c r="L39" i="12"/>
  <c r="M39" i="12"/>
  <c r="G40" i="12"/>
  <c r="H40" i="12"/>
  <c r="H43" i="12" s="1"/>
  <c r="H45" i="12" s="1"/>
  <c r="I40" i="12"/>
  <c r="J40" i="12"/>
  <c r="K40" i="12"/>
  <c r="L40" i="12"/>
  <c r="L43" i="12" s="1"/>
  <c r="L45" i="12" s="1"/>
  <c r="M40" i="12"/>
  <c r="G41" i="12"/>
  <c r="H41" i="12"/>
  <c r="I41" i="12"/>
  <c r="J41" i="12"/>
  <c r="K41" i="12"/>
  <c r="L41" i="12"/>
  <c r="M41" i="12"/>
  <c r="G42" i="12"/>
  <c r="H42" i="12"/>
  <c r="I42" i="12"/>
  <c r="J42" i="12"/>
  <c r="K42" i="12"/>
  <c r="L42" i="12"/>
  <c r="M42" i="12"/>
  <c r="G43" i="12"/>
  <c r="G45" i="12" s="1"/>
  <c r="K17" i="12"/>
  <c r="L17" i="12" s="1"/>
  <c r="M17" i="12" s="1"/>
  <c r="K18" i="12"/>
  <c r="L18" i="12" s="1"/>
  <c r="M18" i="12" s="1"/>
  <c r="K19" i="12"/>
  <c r="L19" i="12"/>
  <c r="M19" i="12" s="1"/>
  <c r="K20" i="12"/>
  <c r="L20" i="12"/>
  <c r="M20" i="12" s="1"/>
  <c r="K23" i="12"/>
  <c r="L23" i="12" s="1"/>
  <c r="K24" i="12"/>
  <c r="L24" i="12" s="1"/>
  <c r="M24" i="12" s="1"/>
  <c r="K25" i="12"/>
  <c r="L25" i="12"/>
  <c r="M25" i="12" s="1"/>
  <c r="K26" i="12"/>
  <c r="L26" i="12"/>
  <c r="M26" i="12" s="1"/>
  <c r="K27" i="12"/>
  <c r="L27" i="12" s="1"/>
  <c r="M27" i="12" s="1"/>
  <c r="F45" i="12"/>
  <c r="F43" i="12"/>
  <c r="F39" i="12"/>
  <c r="F40" i="12"/>
  <c r="F41" i="12"/>
  <c r="F42" i="12"/>
  <c r="F38" i="12"/>
  <c r="D43" i="12"/>
  <c r="D38" i="12"/>
  <c r="F25" i="12"/>
  <c r="G25" i="12" s="1"/>
  <c r="H25" i="12" s="1"/>
  <c r="I25" i="12" s="1"/>
  <c r="J25" i="12" s="1"/>
  <c r="F26" i="12"/>
  <c r="G26" i="12" s="1"/>
  <c r="H26" i="12" s="1"/>
  <c r="I26" i="12" s="1"/>
  <c r="J26" i="12" s="1"/>
  <c r="F27" i="12"/>
  <c r="G27" i="12" s="1"/>
  <c r="H27" i="12" s="1"/>
  <c r="I27" i="12" s="1"/>
  <c r="J27" i="12" s="1"/>
  <c r="D24" i="12"/>
  <c r="F24" i="12" s="1"/>
  <c r="G24" i="12" s="1"/>
  <c r="H24" i="12" s="1"/>
  <c r="I24" i="12" s="1"/>
  <c r="J24" i="12" s="1"/>
  <c r="D20" i="12"/>
  <c r="F20" i="12" s="1"/>
  <c r="G20" i="12" s="1"/>
  <c r="H20" i="12" s="1"/>
  <c r="I20" i="12" s="1"/>
  <c r="J20" i="12" s="1"/>
  <c r="D19" i="12"/>
  <c r="F19" i="12" s="1"/>
  <c r="G19" i="12" s="1"/>
  <c r="H19" i="12" s="1"/>
  <c r="I19" i="12" s="1"/>
  <c r="J19" i="12" s="1"/>
  <c r="D18" i="12"/>
  <c r="F18" i="12" s="1"/>
  <c r="G18" i="12" s="1"/>
  <c r="H18" i="12" s="1"/>
  <c r="I18" i="12" s="1"/>
  <c r="J18" i="12" s="1"/>
  <c r="D17" i="12"/>
  <c r="D23" i="12" s="1"/>
  <c r="F23" i="12" s="1"/>
  <c r="K39" i="13"/>
  <c r="B16" i="13"/>
  <c r="B19" i="13" s="1"/>
  <c r="B5" i="13"/>
  <c r="B7" i="13" s="1"/>
  <c r="G3" i="13"/>
  <c r="G39" i="13" s="1"/>
  <c r="H3" i="13"/>
  <c r="H39" i="13" s="1"/>
  <c r="I3" i="13"/>
  <c r="J3" i="13"/>
  <c r="K3" i="13"/>
  <c r="L3" i="13"/>
  <c r="M3" i="13"/>
  <c r="N3" i="13"/>
  <c r="O3" i="13"/>
  <c r="P3" i="13"/>
  <c r="Q3" i="13"/>
  <c r="F3" i="13"/>
  <c r="C15" i="11"/>
  <c r="J12" i="11"/>
  <c r="K15" i="11" s="1"/>
  <c r="J3" i="11"/>
  <c r="H3" i="11"/>
  <c r="F4" i="11" s="1"/>
  <c r="G3" i="11"/>
  <c r="E3" i="11"/>
  <c r="D3" i="11"/>
  <c r="F10" i="22" l="1"/>
  <c r="F11" i="22"/>
  <c r="U9" i="22"/>
  <c r="W16" i="21"/>
  <c r="R2458" i="16"/>
  <c r="N2460" i="16" s="1"/>
  <c r="N9" i="16" s="1"/>
  <c r="N10" i="16" s="1"/>
  <c r="P2195" i="16"/>
  <c r="L2197" i="16" s="1"/>
  <c r="Q2462" i="16"/>
  <c r="Q12" i="16" s="1"/>
  <c r="S6" i="20" s="1"/>
  <c r="Q14" i="16"/>
  <c r="N2469" i="16"/>
  <c r="O2199" i="16"/>
  <c r="L2206" i="16"/>
  <c r="M23" i="12"/>
  <c r="M28" i="12" s="1"/>
  <c r="L28" i="12"/>
  <c r="K28" i="12"/>
  <c r="F28" i="12"/>
  <c r="M6" i="13"/>
  <c r="D28" i="12"/>
  <c r="G23" i="12"/>
  <c r="F17" i="12"/>
  <c r="G17" i="12" s="1"/>
  <c r="H17" i="12" s="1"/>
  <c r="I17" i="12" s="1"/>
  <c r="J17" i="12" s="1"/>
  <c r="P5" i="13"/>
  <c r="P28" i="13" s="1"/>
  <c r="O5" i="13"/>
  <c r="O28" i="13" s="1"/>
  <c r="N5" i="13"/>
  <c r="N28" i="13" s="1"/>
  <c r="M5" i="13"/>
  <c r="M28" i="13" s="1"/>
  <c r="I5" i="13"/>
  <c r="I28" i="13" s="1"/>
  <c r="G6" i="13"/>
  <c r="G29" i="13" s="1"/>
  <c r="F6" i="13"/>
  <c r="F29" i="13" s="1"/>
  <c r="Q5" i="13"/>
  <c r="Q28" i="13" s="1"/>
  <c r="L6" i="13"/>
  <c r="L29" i="13" s="1"/>
  <c r="F39" i="13"/>
  <c r="F41" i="13" s="1"/>
  <c r="K6" i="13"/>
  <c r="K29" i="13" s="1"/>
  <c r="J6" i="13"/>
  <c r="J29" i="13" s="1"/>
  <c r="H6" i="13"/>
  <c r="H29" i="13" s="1"/>
  <c r="J5" i="13"/>
  <c r="J28" i="13" s="1"/>
  <c r="Q6" i="13"/>
  <c r="Q29" i="13" s="1"/>
  <c r="L5" i="13"/>
  <c r="L28" i="13" s="1"/>
  <c r="P6" i="13"/>
  <c r="P29" i="13" s="1"/>
  <c r="K5" i="13"/>
  <c r="K28" i="13" s="1"/>
  <c r="O6" i="13"/>
  <c r="O29" i="13" s="1"/>
  <c r="N6" i="13"/>
  <c r="N29" i="13" s="1"/>
  <c r="Q22" i="13"/>
  <c r="R29" i="13"/>
  <c r="P22" i="13"/>
  <c r="F22" i="13"/>
  <c r="G22" i="13"/>
  <c r="K22" i="13"/>
  <c r="B11" i="13"/>
  <c r="M22" i="13"/>
  <c r="H22" i="13"/>
  <c r="I22" i="13"/>
  <c r="N22" i="13"/>
  <c r="O22" i="13"/>
  <c r="J22" i="13"/>
  <c r="M29" i="13"/>
  <c r="L22" i="13"/>
  <c r="R28" i="13"/>
  <c r="I6" i="13"/>
  <c r="I29" i="13" s="1"/>
  <c r="H5" i="13"/>
  <c r="H28" i="13" s="1"/>
  <c r="G5" i="13"/>
  <c r="G28" i="13" s="1"/>
  <c r="F5" i="13"/>
  <c r="F28" i="13" s="1"/>
  <c r="H4" i="11"/>
  <c r="G4" i="11"/>
  <c r="G5" i="11" s="1"/>
  <c r="K12" i="11"/>
  <c r="W24" i="21" l="1"/>
  <c r="X16" i="21"/>
  <c r="Q18" i="16"/>
  <c r="Q22" i="16"/>
  <c r="Q15" i="16"/>
  <c r="M30" i="12"/>
  <c r="M32" i="12"/>
  <c r="K30" i="12"/>
  <c r="K32" i="12"/>
  <c r="L30" i="12"/>
  <c r="L32" i="12"/>
  <c r="F30" i="12"/>
  <c r="F32" i="12"/>
  <c r="G28" i="12"/>
  <c r="H23" i="12"/>
  <c r="Q27" i="13"/>
  <c r="H27" i="13"/>
  <c r="G27" i="13"/>
  <c r="F27" i="13"/>
  <c r="K27" i="13"/>
  <c r="O27" i="13"/>
  <c r="L27" i="13"/>
  <c r="N27" i="13"/>
  <c r="I27" i="13"/>
  <c r="Q24" i="13"/>
  <c r="K24" i="13"/>
  <c r="O24" i="13"/>
  <c r="F24" i="13"/>
  <c r="G24" i="13"/>
  <c r="E13" i="13"/>
  <c r="J24" i="13"/>
  <c r="B13" i="13"/>
  <c r="L24" i="13"/>
  <c r="M24" i="13"/>
  <c r="H24" i="13"/>
  <c r="C13" i="13"/>
  <c r="I24" i="13"/>
  <c r="N24" i="13"/>
  <c r="P24" i="13"/>
  <c r="J27" i="13"/>
  <c r="P27" i="13"/>
  <c r="M27" i="13"/>
  <c r="J5" i="11"/>
  <c r="E5" i="11"/>
  <c r="H5" i="11" s="1"/>
  <c r="F6" i="11" s="1"/>
  <c r="D5" i="11"/>
  <c r="H6" i="11" s="1"/>
  <c r="V9" i="22" l="1"/>
  <c r="F9" i="22" s="1"/>
  <c r="X24" i="21"/>
  <c r="Y16" i="21"/>
  <c r="G32" i="12"/>
  <c r="G30" i="12"/>
  <c r="I23" i="12"/>
  <c r="H28" i="12"/>
  <c r="E7" i="11"/>
  <c r="H7" i="11" s="1"/>
  <c r="F8" i="11" s="1"/>
  <c r="D7" i="11"/>
  <c r="H8" i="11" s="1"/>
  <c r="G6" i="11"/>
  <c r="G7" i="11" s="1"/>
  <c r="G8" i="11" s="1"/>
  <c r="G9" i="11" s="1"/>
  <c r="Y24" i="21" l="1"/>
  <c r="Z16" i="21"/>
  <c r="H32" i="12"/>
  <c r="H30" i="12"/>
  <c r="J23" i="12"/>
  <c r="J28" i="12" s="1"/>
  <c r="I28" i="12"/>
  <c r="E9" i="11"/>
  <c r="H9" i="11" s="1"/>
  <c r="F10" i="11" s="1"/>
  <c r="D9" i="11"/>
  <c r="H10" i="11" s="1"/>
  <c r="Z24" i="21" l="1"/>
  <c r="AA16" i="21"/>
  <c r="AA24" i="21" s="1"/>
  <c r="G24" i="21" s="1"/>
  <c r="I32" i="12"/>
  <c r="I30" i="12"/>
  <c r="J32" i="12"/>
  <c r="J30" i="12"/>
  <c r="E11" i="11"/>
  <c r="H11" i="11" s="1"/>
  <c r="F12" i="11" s="1"/>
  <c r="D11" i="11"/>
  <c r="H12" i="11" s="1"/>
  <c r="F15" i="11"/>
  <c r="G10" i="11"/>
  <c r="G11" i="11" s="1"/>
  <c r="G12" i="11" s="1"/>
  <c r="H16" i="11" l="1"/>
  <c r="I17" i="11" s="1"/>
  <c r="K15" i="8" l="1"/>
  <c r="C15" i="8"/>
  <c r="J12" i="8"/>
  <c r="K12" i="8" s="1"/>
  <c r="J3" i="8"/>
  <c r="G3" i="10"/>
  <c r="E4" i="10" s="1"/>
  <c r="F3" i="10"/>
  <c r="D3" i="10"/>
  <c r="C3" i="10"/>
  <c r="G3" i="9"/>
  <c r="E4" i="9" s="1"/>
  <c r="F3" i="9"/>
  <c r="D3" i="9"/>
  <c r="C3" i="9"/>
  <c r="H3" i="8"/>
  <c r="F4" i="8" s="1"/>
  <c r="G3" i="8"/>
  <c r="E3" i="8"/>
  <c r="D3" i="8"/>
  <c r="G3" i="7"/>
  <c r="E4" i="7" s="1"/>
  <c r="F3" i="7"/>
  <c r="D3" i="7"/>
  <c r="C3" i="7"/>
  <c r="D3" i="6"/>
  <c r="G3" i="6"/>
  <c r="E4" i="6"/>
  <c r="F3" i="6"/>
  <c r="C3" i="6"/>
  <c r="G4" i="9" l="1"/>
  <c r="G4" i="6"/>
  <c r="D5" i="6" s="1"/>
  <c r="G4" i="10"/>
  <c r="F4" i="10"/>
  <c r="F5" i="10" s="1"/>
  <c r="C5" i="9"/>
  <c r="D5" i="9"/>
  <c r="G5" i="9" s="1"/>
  <c r="E6" i="9" s="1"/>
  <c r="F4" i="9"/>
  <c r="F5" i="9" s="1"/>
  <c r="F6" i="9" s="1"/>
  <c r="F7" i="9" s="1"/>
  <c r="H4" i="8"/>
  <c r="J5" i="8" s="1"/>
  <c r="G4" i="8"/>
  <c r="G5" i="8" s="1"/>
  <c r="G4" i="7"/>
  <c r="F4" i="7"/>
  <c r="F5" i="7" s="1"/>
  <c r="F4" i="6"/>
  <c r="F5" i="6" s="1"/>
  <c r="C5" i="6"/>
  <c r="G5" i="6"/>
  <c r="D5" i="10" l="1"/>
  <c r="G5" i="10" s="1"/>
  <c r="E6" i="10" s="1"/>
  <c r="F6" i="10" s="1"/>
  <c r="F7" i="10" s="1"/>
  <c r="C5" i="10"/>
  <c r="G6" i="9"/>
  <c r="E5" i="8"/>
  <c r="H5" i="8" s="1"/>
  <c r="F6" i="8" s="1"/>
  <c r="D5" i="8"/>
  <c r="D5" i="7"/>
  <c r="G5" i="7" s="1"/>
  <c r="E6" i="7" s="1"/>
  <c r="F6" i="7" s="1"/>
  <c r="F7" i="7" s="1"/>
  <c r="C5" i="7"/>
  <c r="E6" i="6"/>
  <c r="F6" i="6" s="1"/>
  <c r="F7" i="6" s="1"/>
  <c r="G6" i="8" l="1"/>
  <c r="G7" i="8" s="1"/>
  <c r="G6" i="10"/>
  <c r="D7" i="10" s="1"/>
  <c r="G7" i="10" s="1"/>
  <c r="E8" i="10" s="1"/>
  <c r="F8" i="10" s="1"/>
  <c r="F9" i="10" s="1"/>
  <c r="G6" i="6"/>
  <c r="D7" i="6" s="1"/>
  <c r="D7" i="9"/>
  <c r="G7" i="9" s="1"/>
  <c r="E8" i="9" s="1"/>
  <c r="F8" i="9" s="1"/>
  <c r="F9" i="9" s="1"/>
  <c r="C7" i="9"/>
  <c r="H6" i="8"/>
  <c r="E7" i="8" s="1"/>
  <c r="H7" i="8" s="1"/>
  <c r="F8" i="8" s="1"/>
  <c r="G8" i="8" s="1"/>
  <c r="G9" i="8" s="1"/>
  <c r="G6" i="7"/>
  <c r="C7" i="7" s="1"/>
  <c r="D7" i="7"/>
  <c r="G7" i="7" s="1"/>
  <c r="E8" i="7" s="1"/>
  <c r="F8" i="7" s="1"/>
  <c r="F9" i="7" s="1"/>
  <c r="D7" i="8" l="1"/>
  <c r="C7" i="10"/>
  <c r="G8" i="10" s="1"/>
  <c r="G8" i="9"/>
  <c r="H8" i="8"/>
  <c r="E9" i="8"/>
  <c r="H9" i="8" s="1"/>
  <c r="F10" i="8" s="1"/>
  <c r="G10" i="8" s="1"/>
  <c r="G11" i="8" s="1"/>
  <c r="D9" i="8"/>
  <c r="G8" i="7"/>
  <c r="G7" i="6"/>
  <c r="C7" i="6"/>
  <c r="D9" i="10" l="1"/>
  <c r="G9" i="10" s="1"/>
  <c r="E10" i="10" s="1"/>
  <c r="F10" i="10" s="1"/>
  <c r="F11" i="10" s="1"/>
  <c r="C9" i="10"/>
  <c r="D9" i="9"/>
  <c r="G9" i="9" s="1"/>
  <c r="E10" i="9" s="1"/>
  <c r="F10" i="9" s="1"/>
  <c r="F11" i="9" s="1"/>
  <c r="C9" i="9"/>
  <c r="G10" i="9" s="1"/>
  <c r="H10" i="8"/>
  <c r="E11" i="8" s="1"/>
  <c r="H11" i="8" s="1"/>
  <c r="F12" i="8" s="1"/>
  <c r="C9" i="7"/>
  <c r="D9" i="7"/>
  <c r="G9" i="7" s="1"/>
  <c r="E10" i="7" s="1"/>
  <c r="F10" i="7" s="1"/>
  <c r="F11" i="7" s="1"/>
  <c r="E8" i="6"/>
  <c r="F8" i="6" s="1"/>
  <c r="F9" i="6" s="1"/>
  <c r="G12" i="8" l="1"/>
  <c r="F15" i="8"/>
  <c r="D11" i="8"/>
  <c r="H12" i="8" s="1"/>
  <c r="G10" i="10"/>
  <c r="C11" i="10" s="1"/>
  <c r="G8" i="6"/>
  <c r="D9" i="6" s="1"/>
  <c r="D11" i="9"/>
  <c r="G11" i="9" s="1"/>
  <c r="E12" i="9" s="1"/>
  <c r="C11" i="9"/>
  <c r="G12" i="9" s="1"/>
  <c r="F12" i="9"/>
  <c r="G10" i="7"/>
  <c r="H16" i="8" l="1"/>
  <c r="I17" i="8" s="1"/>
  <c r="D11" i="10"/>
  <c r="G11" i="10" s="1"/>
  <c r="E12" i="10" s="1"/>
  <c r="F12" i="10" s="1"/>
  <c r="C11" i="7"/>
  <c r="D11" i="7"/>
  <c r="G11" i="7" s="1"/>
  <c r="E12" i="7" s="1"/>
  <c r="F12" i="7" s="1"/>
  <c r="C9" i="6"/>
  <c r="G9" i="6"/>
  <c r="G12" i="10" l="1"/>
  <c r="G12" i="7"/>
  <c r="E10" i="6"/>
  <c r="F10" i="6" s="1"/>
  <c r="F11" i="6" s="1"/>
  <c r="G10" i="6" l="1"/>
  <c r="D11" i="6" s="1"/>
  <c r="G11" i="6" l="1"/>
  <c r="C11" i="6"/>
  <c r="E12" i="6" l="1"/>
  <c r="F12" i="6" s="1"/>
  <c r="G12" i="6" l="1"/>
  <c r="G221" i="16" l="1"/>
  <c r="G224" i="16" s="1"/>
  <c r="G6" i="16" s="1"/>
  <c r="I4" i="20" s="1"/>
  <c r="G218" i="16"/>
  <c r="G226" i="16" s="1"/>
  <c r="G8" i="16" s="1"/>
  <c r="G220" i="16"/>
  <c r="G223" i="16" s="1"/>
  <c r="G3" i="16" s="1"/>
  <c r="J566" i="16"/>
  <c r="J574" i="16" s="1"/>
  <c r="M1265" i="16"/>
  <c r="M1305" i="16" s="1"/>
  <c r="G4" i="16" l="1"/>
  <c r="H4" i="16" s="1"/>
  <c r="I4" i="16" s="1"/>
  <c r="J4" i="16" s="1"/>
  <c r="I2" i="20"/>
  <c r="G228" i="16"/>
  <c r="G277" i="16" s="1"/>
  <c r="M1262" i="16"/>
  <c r="M1270" i="16" s="1"/>
  <c r="M8" i="16" s="1"/>
  <c r="K1171" i="16"/>
  <c r="L2229" i="16" s="1"/>
  <c r="J569" i="16"/>
  <c r="J572" i="16" s="1"/>
  <c r="M1268" i="16"/>
  <c r="M6" i="16" s="1"/>
  <c r="O4" i="20" s="1"/>
  <c r="O1272" i="16"/>
  <c r="N1272" i="16"/>
  <c r="J576" i="16"/>
  <c r="L576" i="16"/>
  <c r="G14" i="16"/>
  <c r="M1311" i="16"/>
  <c r="N1306" i="16"/>
  <c r="M1272" i="16"/>
  <c r="M1304" i="16" s="1"/>
  <c r="H228" i="16"/>
  <c r="I228" i="16"/>
  <c r="G261" i="16"/>
  <c r="G260" i="16"/>
  <c r="G275" i="16"/>
  <c r="H475" i="16"/>
  <c r="J609" i="16" l="1"/>
  <c r="K1175" i="16"/>
  <c r="K1183" i="16" s="1"/>
  <c r="K1178" i="16"/>
  <c r="L1185" i="16" s="1"/>
  <c r="K576" i="16"/>
  <c r="K625" i="16" s="1"/>
  <c r="L2236" i="16"/>
  <c r="L2233" i="16"/>
  <c r="L2241" i="16" s="1"/>
  <c r="N1305" i="16"/>
  <c r="N1304" i="16"/>
  <c r="M1310" i="16"/>
  <c r="M1309" i="16" s="1"/>
  <c r="G13" i="16"/>
  <c r="G273" i="16"/>
  <c r="G12" i="16" s="1"/>
  <c r="H262" i="16"/>
  <c r="G267" i="16"/>
  <c r="I277" i="16"/>
  <c r="J278" i="16"/>
  <c r="K626" i="16"/>
  <c r="J623" i="16"/>
  <c r="J625" i="16"/>
  <c r="J615" i="16"/>
  <c r="K610" i="16"/>
  <c r="M1321" i="16"/>
  <c r="N1322" i="16"/>
  <c r="M1319" i="16"/>
  <c r="N1312" i="16"/>
  <c r="O1313" i="16" s="1"/>
  <c r="J608" i="16"/>
  <c r="I910" i="16"/>
  <c r="H479" i="16"/>
  <c r="H487" i="16" s="1"/>
  <c r="H482" i="16"/>
  <c r="M1326" i="16"/>
  <c r="N1321" i="16"/>
  <c r="O1322" i="16"/>
  <c r="G266" i="16"/>
  <c r="H260" i="16"/>
  <c r="H261" i="16"/>
  <c r="H395" i="16"/>
  <c r="I823" i="16"/>
  <c r="H392" i="16"/>
  <c r="H400" i="16" s="1"/>
  <c r="I278" i="16"/>
  <c r="H277" i="16"/>
  <c r="G282" i="16"/>
  <c r="L625" i="16"/>
  <c r="M626" i="16"/>
  <c r="H278" i="16"/>
  <c r="O1321" i="16"/>
  <c r="P1322" i="16"/>
  <c r="K1181" i="16" l="1"/>
  <c r="K1218" i="16"/>
  <c r="G16" i="16"/>
  <c r="G24" i="16" s="1"/>
  <c r="I8" i="20" s="1"/>
  <c r="I6" i="20"/>
  <c r="L626" i="16"/>
  <c r="J628" i="16" s="1"/>
  <c r="K1185" i="16"/>
  <c r="K1234" i="16" s="1"/>
  <c r="J630" i="16"/>
  <c r="M1185" i="16"/>
  <c r="K1239" i="16" s="1"/>
  <c r="H8" i="16"/>
  <c r="G22" i="16"/>
  <c r="G18" i="16"/>
  <c r="G20" i="16" s="1"/>
  <c r="N1317" i="16"/>
  <c r="G265" i="16"/>
  <c r="M2243" i="16"/>
  <c r="N2243" i="16"/>
  <c r="L2239" i="16"/>
  <c r="L2276" i="16"/>
  <c r="L2243" i="16"/>
  <c r="J621" i="16"/>
  <c r="H485" i="16"/>
  <c r="H489" i="16"/>
  <c r="I489" i="16"/>
  <c r="J489" i="16"/>
  <c r="H522" i="16"/>
  <c r="L1219" i="16"/>
  <c r="K1224" i="16"/>
  <c r="J273" i="16"/>
  <c r="I273" i="16"/>
  <c r="M1317" i="16"/>
  <c r="M13" i="16"/>
  <c r="M1324" i="16"/>
  <c r="I827" i="16"/>
  <c r="I835" i="16" s="1"/>
  <c r="I830" i="16"/>
  <c r="J1521" i="16"/>
  <c r="J1610" i="16"/>
  <c r="I917" i="16"/>
  <c r="I914" i="16"/>
  <c r="I922" i="16" s="1"/>
  <c r="K1001" i="16"/>
  <c r="K1009" i="16" s="1"/>
  <c r="L1962" i="16"/>
  <c r="K1004" i="16"/>
  <c r="K608" i="16"/>
  <c r="K609" i="16"/>
  <c r="J614" i="16"/>
  <c r="J613" i="16" s="1"/>
  <c r="K616" i="16"/>
  <c r="L617" i="16" s="1"/>
  <c r="H268" i="16"/>
  <c r="I269" i="16" s="1"/>
  <c r="G15" i="16"/>
  <c r="K1232" i="16"/>
  <c r="P14" i="16"/>
  <c r="P1317" i="16"/>
  <c r="P12" i="16" s="1"/>
  <c r="R6" i="20" s="1"/>
  <c r="H267" i="16"/>
  <c r="I262" i="16"/>
  <c r="O1317" i="16"/>
  <c r="I261" i="16"/>
  <c r="H266" i="16"/>
  <c r="I260" i="16"/>
  <c r="I266" i="16" s="1"/>
  <c r="N1235" i="16"/>
  <c r="N1230" i="16" s="1"/>
  <c r="M1234" i="16"/>
  <c r="H273" i="16"/>
  <c r="G280" i="16"/>
  <c r="H398" i="16"/>
  <c r="J402" i="16"/>
  <c r="H435" i="16"/>
  <c r="H402" i="16"/>
  <c r="H434" i="16" s="1"/>
  <c r="I402" i="16"/>
  <c r="K1217" i="16"/>
  <c r="L1234" i="16"/>
  <c r="M1235" i="16"/>
  <c r="O1304" i="16"/>
  <c r="O1310" i="16" s="1"/>
  <c r="O1305" i="16"/>
  <c r="N1310" i="16"/>
  <c r="L621" i="16"/>
  <c r="M621" i="16"/>
  <c r="K621" i="16"/>
  <c r="O1306" i="16"/>
  <c r="N1311" i="16"/>
  <c r="L1235" i="16" l="1"/>
  <c r="L1230" i="16" s="1"/>
  <c r="I8" i="16"/>
  <c r="H6" i="16"/>
  <c r="J4" i="20" s="1"/>
  <c r="P22" i="16"/>
  <c r="P18" i="16"/>
  <c r="L2275" i="16"/>
  <c r="L2292" i="16"/>
  <c r="M2293" i="16"/>
  <c r="L2290" i="16"/>
  <c r="L2282" i="16"/>
  <c r="M2277" i="16"/>
  <c r="N2292" i="16"/>
  <c r="O2293" i="16"/>
  <c r="O2288" i="16" s="1"/>
  <c r="L2297" i="16"/>
  <c r="M2292" i="16"/>
  <c r="N2293" i="16"/>
  <c r="N1309" i="16"/>
  <c r="I837" i="16"/>
  <c r="J837" i="16"/>
  <c r="I870" i="16"/>
  <c r="I833" i="16"/>
  <c r="I6" i="16" s="1"/>
  <c r="K4" i="20" s="1"/>
  <c r="K837" i="16"/>
  <c r="I869" i="16"/>
  <c r="I435" i="16"/>
  <c r="H440" i="16"/>
  <c r="I434" i="16"/>
  <c r="J1528" i="16"/>
  <c r="J1525" i="16"/>
  <c r="J1533" i="16" s="1"/>
  <c r="I268" i="16"/>
  <c r="J269" i="16" s="1"/>
  <c r="L1225" i="16"/>
  <c r="M1226" i="16" s="1"/>
  <c r="P15" i="16"/>
  <c r="K615" i="16"/>
  <c r="L610" i="16"/>
  <c r="H528" i="16"/>
  <c r="I523" i="16"/>
  <c r="K452" i="16"/>
  <c r="J451" i="16"/>
  <c r="L1879" i="16"/>
  <c r="L1887" i="16" s="1"/>
  <c r="L1882" i="16"/>
  <c r="O1311" i="16"/>
  <c r="P1306" i="16"/>
  <c r="P1312" i="16" s="1"/>
  <c r="L608" i="16"/>
  <c r="L614" i="16" s="1"/>
  <c r="L609" i="16"/>
  <c r="K614" i="16"/>
  <c r="K539" i="16"/>
  <c r="K534" i="16" s="1"/>
  <c r="J538" i="16"/>
  <c r="I538" i="16"/>
  <c r="J539" i="16"/>
  <c r="H543" i="16"/>
  <c r="M1230" i="16"/>
  <c r="K1237" i="16"/>
  <c r="M1011" i="16"/>
  <c r="L1011" i="16"/>
  <c r="K1044" i="16"/>
  <c r="K1007" i="16"/>
  <c r="K1011" i="16"/>
  <c r="K1043" i="16" s="1"/>
  <c r="K1230" i="16"/>
  <c r="L1969" i="16"/>
  <c r="L1966" i="16"/>
  <c r="L1974" i="16" s="1"/>
  <c r="H538" i="16"/>
  <c r="H536" i="16"/>
  <c r="I539" i="16"/>
  <c r="H521" i="16"/>
  <c r="O1312" i="16"/>
  <c r="P1313" i="16" s="1"/>
  <c r="L1217" i="16"/>
  <c r="L1218" i="16"/>
  <c r="K1223" i="16"/>
  <c r="K1222" i="16" s="1"/>
  <c r="J452" i="16"/>
  <c r="I451" i="16"/>
  <c r="H456" i="16"/>
  <c r="H265" i="16"/>
  <c r="H449" i="16"/>
  <c r="H451" i="16"/>
  <c r="I452" i="16"/>
  <c r="I267" i="16"/>
  <c r="J262" i="16"/>
  <c r="J268" i="16" s="1"/>
  <c r="J924" i="16"/>
  <c r="I957" i="16"/>
  <c r="I920" i="16"/>
  <c r="I924" i="16"/>
  <c r="I956" i="16" s="1"/>
  <c r="K924" i="16"/>
  <c r="I436" i="16"/>
  <c r="H441" i="16"/>
  <c r="J1614" i="16"/>
  <c r="J1622" i="16" s="1"/>
  <c r="J1617" i="16"/>
  <c r="Q1313" i="16" l="1"/>
  <c r="M1315" i="16" s="1"/>
  <c r="M9" i="16" s="1"/>
  <c r="M10" i="16" s="1"/>
  <c r="K613" i="16"/>
  <c r="L8" i="16"/>
  <c r="J8" i="16"/>
  <c r="K269" i="16"/>
  <c r="G271" i="16" s="1"/>
  <c r="G9" i="16" s="1"/>
  <c r="G10" i="16" s="1"/>
  <c r="I265" i="16"/>
  <c r="O1309" i="16"/>
  <c r="M2288" i="16"/>
  <c r="L2288" i="16"/>
  <c r="N2288" i="16"/>
  <c r="M2283" i="16"/>
  <c r="N2284" i="16" s="1"/>
  <c r="J265" i="16"/>
  <c r="L2295" i="16"/>
  <c r="M2276" i="16"/>
  <c r="L2281" i="16"/>
  <c r="L2280" i="16" s="1"/>
  <c r="M2275" i="16"/>
  <c r="H534" i="16"/>
  <c r="H439" i="16"/>
  <c r="J435" i="16"/>
  <c r="J434" i="16"/>
  <c r="J440" i="16" s="1"/>
  <c r="I440" i="16"/>
  <c r="M1061" i="16"/>
  <c r="L1060" i="16"/>
  <c r="K1065" i="16"/>
  <c r="L616" i="16"/>
  <c r="M617" i="16" s="1"/>
  <c r="I875" i="16"/>
  <c r="J869" i="16"/>
  <c r="J870" i="16"/>
  <c r="J534" i="16"/>
  <c r="H454" i="16"/>
  <c r="H14" i="16"/>
  <c r="I521" i="16"/>
  <c r="H527" i="16"/>
  <c r="H526" i="16" s="1"/>
  <c r="I522" i="16"/>
  <c r="L1044" i="16"/>
  <c r="L1043" i="16"/>
  <c r="K1049" i="16"/>
  <c r="J436" i="16"/>
  <c r="I441" i="16"/>
  <c r="H13" i="16"/>
  <c r="H447" i="16"/>
  <c r="M1060" i="16"/>
  <c r="N1061" i="16"/>
  <c r="M610" i="16"/>
  <c r="M616" i="16" s="1"/>
  <c r="L615" i="16"/>
  <c r="K886" i="16"/>
  <c r="L887" i="16"/>
  <c r="I442" i="16"/>
  <c r="J443" i="16" s="1"/>
  <c r="I963" i="16"/>
  <c r="J958" i="16"/>
  <c r="J973" i="16"/>
  <c r="K974" i="16"/>
  <c r="I978" i="16"/>
  <c r="J447" i="16"/>
  <c r="K1050" i="16"/>
  <c r="L1045" i="16"/>
  <c r="I529" i="16"/>
  <c r="J530" i="16" s="1"/>
  <c r="J1624" i="16"/>
  <c r="J1656" i="16" s="1"/>
  <c r="K1624" i="16"/>
  <c r="J1620" i="16"/>
  <c r="L1624" i="16"/>
  <c r="J1657" i="16"/>
  <c r="I962" i="16"/>
  <c r="J957" i="16"/>
  <c r="J956" i="16"/>
  <c r="K973" i="16"/>
  <c r="L974" i="16"/>
  <c r="L969" i="16" s="1"/>
  <c r="I447" i="16"/>
  <c r="H541" i="16"/>
  <c r="P1309" i="16"/>
  <c r="J871" i="16"/>
  <c r="I876" i="16"/>
  <c r="M1219" i="16"/>
  <c r="L1224" i="16"/>
  <c r="I891" i="16"/>
  <c r="J886" i="16"/>
  <c r="K887" i="16"/>
  <c r="J974" i="16"/>
  <c r="I971" i="16"/>
  <c r="I973" i="16"/>
  <c r="N1976" i="16"/>
  <c r="M1976" i="16"/>
  <c r="L2009" i="16"/>
  <c r="L1972" i="16"/>
  <c r="L1976" i="16"/>
  <c r="M1889" i="16"/>
  <c r="L1885" i="16"/>
  <c r="L1889" i="16"/>
  <c r="L1921" i="16" s="1"/>
  <c r="N1889" i="16"/>
  <c r="L1922" i="16"/>
  <c r="J887" i="16"/>
  <c r="I884" i="16"/>
  <c r="I886" i="16"/>
  <c r="M1217" i="16"/>
  <c r="M1223" i="16" s="1"/>
  <c r="L1223" i="16"/>
  <c r="M1218" i="16"/>
  <c r="K1058" i="16"/>
  <c r="K1060" i="16"/>
  <c r="L1061" i="16"/>
  <c r="I534" i="16"/>
  <c r="K447" i="16"/>
  <c r="J1568" i="16"/>
  <c r="J1531" i="16"/>
  <c r="J1535" i="16"/>
  <c r="J1567" i="16" s="1"/>
  <c r="K1535" i="16"/>
  <c r="L1535" i="16"/>
  <c r="N617" i="16" l="1"/>
  <c r="J619" i="16" s="1"/>
  <c r="H12" i="16"/>
  <c r="J6" i="20" s="1"/>
  <c r="I14" i="16"/>
  <c r="L6" i="16"/>
  <c r="N4" i="20" s="1"/>
  <c r="J6" i="16"/>
  <c r="L4" i="20" s="1"/>
  <c r="L613" i="16"/>
  <c r="M2281" i="16"/>
  <c r="N2275" i="16"/>
  <c r="N2281" i="16" s="1"/>
  <c r="N2276" i="16"/>
  <c r="N2277" i="16"/>
  <c r="M2282" i="16"/>
  <c r="L1222" i="16"/>
  <c r="I976" i="16"/>
  <c r="K969" i="16"/>
  <c r="I961" i="16"/>
  <c r="K1048" i="16"/>
  <c r="M613" i="16"/>
  <c r="K882" i="16"/>
  <c r="J969" i="16"/>
  <c r="N2025" i="16"/>
  <c r="O2026" i="16"/>
  <c r="O2021" i="16" s="1"/>
  <c r="L1928" i="16"/>
  <c r="M1923" i="16"/>
  <c r="I969" i="16"/>
  <c r="J1573" i="16"/>
  <c r="K1567" i="16"/>
  <c r="K1568" i="16"/>
  <c r="L2023" i="16"/>
  <c r="L2025" i="16"/>
  <c r="M2026" i="16"/>
  <c r="M1225" i="16"/>
  <c r="N1226" i="16" s="1"/>
  <c r="K871" i="16"/>
  <c r="J876" i="16"/>
  <c r="I882" i="16"/>
  <c r="I13" i="16"/>
  <c r="N2026" i="16"/>
  <c r="M2025" i="16"/>
  <c r="L2030" i="16"/>
  <c r="L1673" i="16"/>
  <c r="M1674" i="16"/>
  <c r="M1669" i="16" s="1"/>
  <c r="J523" i="16"/>
  <c r="I528" i="16"/>
  <c r="N1056" i="16"/>
  <c r="I527" i="16"/>
  <c r="J521" i="16"/>
  <c r="J527" i="16" s="1"/>
  <c r="J522" i="16"/>
  <c r="L1056" i="16"/>
  <c r="K1658" i="16"/>
  <c r="J1663" i="16"/>
  <c r="L882" i="16"/>
  <c r="L1049" i="16"/>
  <c r="M1043" i="16"/>
  <c r="M1049" i="16" s="1"/>
  <c r="M1044" i="16"/>
  <c r="K869" i="16"/>
  <c r="K875" i="16" s="1"/>
  <c r="J875" i="16"/>
  <c r="K870" i="16"/>
  <c r="J1574" i="16"/>
  <c r="K1569" i="16"/>
  <c r="I889" i="16"/>
  <c r="M2010" i="16"/>
  <c r="L2015" i="16"/>
  <c r="J877" i="16"/>
  <c r="K878" i="16" s="1"/>
  <c r="K1657" i="16"/>
  <c r="J1662" i="16"/>
  <c r="K1656" i="16"/>
  <c r="L1050" i="16"/>
  <c r="M1045" i="16"/>
  <c r="I874" i="16"/>
  <c r="K1674" i="16"/>
  <c r="J1671" i="16"/>
  <c r="J1673" i="16"/>
  <c r="M1056" i="16"/>
  <c r="K1063" i="16"/>
  <c r="O1939" i="16"/>
  <c r="N1938" i="16"/>
  <c r="I439" i="16"/>
  <c r="M1938" i="16"/>
  <c r="L1943" i="16"/>
  <c r="N1939" i="16"/>
  <c r="J962" i="16"/>
  <c r="K956" i="16"/>
  <c r="K962" i="16" s="1"/>
  <c r="K957" i="16"/>
  <c r="K436" i="16"/>
  <c r="K442" i="16" s="1"/>
  <c r="J441" i="16"/>
  <c r="L1674" i="16"/>
  <c r="J1678" i="16"/>
  <c r="K1673" i="16"/>
  <c r="M1921" i="16"/>
  <c r="L1927" i="16"/>
  <c r="M1922" i="16"/>
  <c r="K1056" i="16"/>
  <c r="M1939" i="16"/>
  <c r="L1938" i="16"/>
  <c r="L1936" i="16"/>
  <c r="L1584" i="16"/>
  <c r="M1585" i="16"/>
  <c r="M1580" i="16" s="1"/>
  <c r="N1219" i="16"/>
  <c r="N1225" i="16" s="1"/>
  <c r="M1224" i="16"/>
  <c r="J882" i="16"/>
  <c r="L1051" i="16"/>
  <c r="M1052" i="16" s="1"/>
  <c r="J964" i="16"/>
  <c r="K965" i="16" s="1"/>
  <c r="K1584" i="16"/>
  <c r="J1589" i="16"/>
  <c r="L1585" i="16"/>
  <c r="J1582" i="16"/>
  <c r="J1584" i="16"/>
  <c r="K1585" i="16"/>
  <c r="L2008" i="16"/>
  <c r="J963" i="16"/>
  <c r="K958" i="16"/>
  <c r="J442" i="16"/>
  <c r="K443" i="16" s="1"/>
  <c r="H18" i="16" l="1"/>
  <c r="H20" i="16" s="1"/>
  <c r="H16" i="16"/>
  <c r="I12" i="16"/>
  <c r="O1226" i="16"/>
  <c r="K1228" i="16" s="1"/>
  <c r="H15" i="16"/>
  <c r="H22" i="16"/>
  <c r="L443" i="16"/>
  <c r="H445" i="16" s="1"/>
  <c r="I526" i="16"/>
  <c r="M1222" i="16"/>
  <c r="N1222" i="16"/>
  <c r="L1580" i="16"/>
  <c r="J1661" i="16"/>
  <c r="N2283" i="16"/>
  <c r="O2284" i="16" s="1"/>
  <c r="O2277" i="16"/>
  <c r="O2283" i="16" s="1"/>
  <c r="N2282" i="16"/>
  <c r="M2280" i="16"/>
  <c r="L1926" i="16"/>
  <c r="J439" i="16"/>
  <c r="K1669" i="16"/>
  <c r="L1048" i="16"/>
  <c r="L1941" i="16"/>
  <c r="J961" i="16"/>
  <c r="K1664" i="16"/>
  <c r="L1665" i="16" s="1"/>
  <c r="J529" i="16"/>
  <c r="K530" i="16" s="1"/>
  <c r="L871" i="16"/>
  <c r="L877" i="16" s="1"/>
  <c r="K876" i="16"/>
  <c r="L2021" i="16"/>
  <c r="J1676" i="16"/>
  <c r="J1669" i="16"/>
  <c r="K1580" i="16"/>
  <c r="M1051" i="16"/>
  <c r="N1052" i="16" s="1"/>
  <c r="L2028" i="16"/>
  <c r="K964" i="16"/>
  <c r="L965" i="16" s="1"/>
  <c r="N1923" i="16"/>
  <c r="M1928" i="16"/>
  <c r="N1934" i="16"/>
  <c r="J874" i="16"/>
  <c r="M2021" i="16"/>
  <c r="K1574" i="16"/>
  <c r="L1569" i="16"/>
  <c r="J1580" i="16"/>
  <c r="J13" i="16"/>
  <c r="K963" i="16"/>
  <c r="L958" i="16"/>
  <c r="L964" i="16" s="1"/>
  <c r="K1575" i="16"/>
  <c r="L1576" i="16" s="1"/>
  <c r="L1669" i="16"/>
  <c r="M1934" i="16"/>
  <c r="O1934" i="16"/>
  <c r="O12" i="16" s="1"/>
  <c r="Q6" i="20" s="1"/>
  <c r="O14" i="16"/>
  <c r="K1662" i="16"/>
  <c r="L1657" i="16"/>
  <c r="L1656" i="16"/>
  <c r="L1662" i="16" s="1"/>
  <c r="K523" i="16"/>
  <c r="K529" i="16" s="1"/>
  <c r="J528" i="16"/>
  <c r="K1573" i="16"/>
  <c r="L1567" i="16"/>
  <c r="L1573" i="16" s="1"/>
  <c r="L1568" i="16"/>
  <c r="J1572" i="16"/>
  <c r="N1922" i="16"/>
  <c r="N1921" i="16"/>
  <c r="N1927" i="16" s="1"/>
  <c r="M1927" i="16"/>
  <c r="K1663" i="16"/>
  <c r="L1658" i="16"/>
  <c r="M1929" i="16"/>
  <c r="N1930" i="16" s="1"/>
  <c r="M2009" i="16"/>
  <c r="M2008" i="16"/>
  <c r="L2014" i="16"/>
  <c r="L2013" i="16" s="1"/>
  <c r="M1050" i="16"/>
  <c r="N1045" i="16"/>
  <c r="N1051" i="16" s="1"/>
  <c r="J1587" i="16"/>
  <c r="J14" i="16"/>
  <c r="K877" i="16"/>
  <c r="L878" i="16" s="1"/>
  <c r="L13" i="16"/>
  <c r="L1934" i="16"/>
  <c r="K439" i="16"/>
  <c r="M2016" i="16"/>
  <c r="N2017" i="16" s="1"/>
  <c r="N2021" i="16"/>
  <c r="I18" i="16" l="1"/>
  <c r="I20" i="16" s="1"/>
  <c r="K6" i="20"/>
  <c r="I16" i="16"/>
  <c r="H24" i="16"/>
  <c r="J8" i="20" s="1"/>
  <c r="M878" i="16"/>
  <c r="I880" i="16" s="1"/>
  <c r="P2284" i="16"/>
  <c r="L2286" i="16" s="1"/>
  <c r="I15" i="16"/>
  <c r="I22" i="16"/>
  <c r="M965" i="16"/>
  <c r="I967" i="16" s="1"/>
  <c r="O1052" i="16"/>
  <c r="K1054" i="16" s="1"/>
  <c r="I9" i="16"/>
  <c r="I10" i="16" s="1"/>
  <c r="L530" i="16"/>
  <c r="H532" i="16" s="1"/>
  <c r="H9" i="16" s="1"/>
  <c r="H10" i="16" s="1"/>
  <c r="N2280" i="16"/>
  <c r="O2280" i="16"/>
  <c r="O22" i="16"/>
  <c r="O18" i="16"/>
  <c r="K961" i="16"/>
  <c r="M1048" i="16"/>
  <c r="L961" i="16"/>
  <c r="K526" i="16"/>
  <c r="N1048" i="16"/>
  <c r="K874" i="16"/>
  <c r="O15" i="16"/>
  <c r="J526" i="16"/>
  <c r="J12" i="16" s="1"/>
  <c r="L6" i="20" s="1"/>
  <c r="M1926" i="16"/>
  <c r="L1663" i="16"/>
  <c r="M1658" i="16"/>
  <c r="M1664" i="16" s="1"/>
  <c r="N1929" i="16"/>
  <c r="O1930" i="16" s="1"/>
  <c r="N2008" i="16"/>
  <c r="N2014" i="16" s="1"/>
  <c r="N2009" i="16"/>
  <c r="M2014" i="16"/>
  <c r="K1661" i="16"/>
  <c r="L874" i="16"/>
  <c r="M2015" i="16"/>
  <c r="N2010" i="16"/>
  <c r="O1923" i="16"/>
  <c r="O1929" i="16" s="1"/>
  <c r="N1928" i="16"/>
  <c r="M1569" i="16"/>
  <c r="M1575" i="16" s="1"/>
  <c r="L1574" i="16"/>
  <c r="L1575" i="16"/>
  <c r="M1576" i="16" s="1"/>
  <c r="K1572" i="16"/>
  <c r="L1664" i="16"/>
  <c r="M1665" i="16" s="1"/>
  <c r="J16" i="16" l="1"/>
  <c r="I24" i="16"/>
  <c r="K8" i="20" s="1"/>
  <c r="N1576" i="16"/>
  <c r="J1578" i="16" s="1"/>
  <c r="P1930" i="16"/>
  <c r="L1932" i="16" s="1"/>
  <c r="J9" i="16"/>
  <c r="J10" i="16" s="1"/>
  <c r="N1665" i="16"/>
  <c r="J1667" i="16" s="1"/>
  <c r="J18" i="16"/>
  <c r="J20" i="16" s="1"/>
  <c r="J22" i="16"/>
  <c r="M1572" i="16"/>
  <c r="L1572" i="16"/>
  <c r="L1661" i="16"/>
  <c r="J15" i="16"/>
  <c r="M2013" i="16"/>
  <c r="N1926" i="16"/>
  <c r="N2016" i="16"/>
  <c r="O2017" i="16" s="1"/>
  <c r="M1661" i="16"/>
  <c r="O1926" i="16"/>
  <c r="O2010" i="16"/>
  <c r="O2016" i="16" s="1"/>
  <c r="N2015" i="16"/>
  <c r="J24" i="16" l="1"/>
  <c r="L8" i="20" s="1"/>
  <c r="P2017" i="16"/>
  <c r="L2019" i="16" s="1"/>
  <c r="L9" i="16" s="1"/>
  <c r="L10" i="16" s="1"/>
  <c r="N2013" i="16"/>
  <c r="O2013" i="16"/>
  <c r="K1088" i="16"/>
  <c r="K1096" i="16" s="1"/>
  <c r="K8" i="16" s="1"/>
  <c r="K1090" i="16"/>
  <c r="K1093" i="16" s="1"/>
  <c r="K3" i="16" s="1"/>
  <c r="M2" i="20" s="1"/>
  <c r="E2" i="20" s="1"/>
  <c r="C3" i="16" l="1"/>
  <c r="K4" i="16"/>
  <c r="L4" i="16" s="1"/>
  <c r="M4" i="16" s="1"/>
  <c r="N4" i="16" s="1"/>
  <c r="O4" i="16" s="1"/>
  <c r="P4" i="16" s="1"/>
  <c r="Q4" i="16" s="1"/>
  <c r="R4" i="16" s="1"/>
  <c r="S4" i="16" s="1"/>
  <c r="C8" i="16"/>
  <c r="K1091" i="16"/>
  <c r="K1131" i="16" l="1"/>
  <c r="K1094" i="16"/>
  <c r="K6" i="16" s="1"/>
  <c r="K1098" i="16"/>
  <c r="M1098" i="16"/>
  <c r="L1098" i="16"/>
  <c r="C6" i="16" l="1"/>
  <c r="M4" i="20"/>
  <c r="E4" i="20" s="1"/>
  <c r="N1148" i="16"/>
  <c r="M1147" i="16"/>
  <c r="K1145" i="16"/>
  <c r="K1147" i="16"/>
  <c r="L1148" i="16"/>
  <c r="K1152" i="16"/>
  <c r="L1147" i="16"/>
  <c r="M1148" i="16"/>
  <c r="K1130" i="16"/>
  <c r="L1132" i="16"/>
  <c r="K1137" i="16"/>
  <c r="K14" i="16" l="1"/>
  <c r="K1150" i="16"/>
  <c r="K13" i="16"/>
  <c r="K1143" i="16"/>
  <c r="K12" i="16" s="1"/>
  <c r="L1138" i="16"/>
  <c r="M1139" i="16" s="1"/>
  <c r="M1143" i="16"/>
  <c r="M12" i="16" s="1"/>
  <c r="O6" i="20" s="1"/>
  <c r="M14" i="16"/>
  <c r="K1136" i="16"/>
  <c r="K1135" i="16" s="1"/>
  <c r="L1131" i="16"/>
  <c r="L1130" i="16"/>
  <c r="L1143" i="16"/>
  <c r="L12" i="16" s="1"/>
  <c r="N6" i="20" s="1"/>
  <c r="L14" i="16"/>
  <c r="N1143" i="16"/>
  <c r="N12" i="16" s="1"/>
  <c r="P6" i="20" s="1"/>
  <c r="N14" i="16"/>
  <c r="K16" i="16" l="1"/>
  <c r="L16" i="16" s="1"/>
  <c r="M6" i="20"/>
  <c r="E6" i="20" s="1"/>
  <c r="E9" i="20" s="1"/>
  <c r="N18" i="16"/>
  <c r="N22" i="16"/>
  <c r="L22" i="16"/>
  <c r="L18" i="16"/>
  <c r="M18" i="16"/>
  <c r="M22" i="16"/>
  <c r="K18" i="16"/>
  <c r="K20" i="16" s="1"/>
  <c r="K22" i="16"/>
  <c r="C14" i="16"/>
  <c r="L15" i="16"/>
  <c r="L1136" i="16"/>
  <c r="M1131" i="16"/>
  <c r="M1130" i="16"/>
  <c r="M1136" i="16" s="1"/>
  <c r="M1132" i="16"/>
  <c r="L1137" i="16"/>
  <c r="N15" i="16"/>
  <c r="M15" i="16"/>
  <c r="C12" i="16"/>
  <c r="C22" i="16" s="1"/>
  <c r="C13" i="16"/>
  <c r="K15" i="16"/>
  <c r="K24" i="16" l="1"/>
  <c r="M8" i="20" s="1"/>
  <c r="M16" i="16"/>
  <c r="L24" i="16"/>
  <c r="N8" i="20" s="1"/>
  <c r="L20" i="16"/>
  <c r="M20" i="16" s="1"/>
  <c r="N20" i="16" s="1"/>
  <c r="O20" i="16" s="1"/>
  <c r="P20" i="16" s="1"/>
  <c r="Q20" i="16" s="1"/>
  <c r="R20" i="16" s="1"/>
  <c r="S20" i="16" s="1"/>
  <c r="M1138" i="16"/>
  <c r="N1139" i="16" s="1"/>
  <c r="N1132" i="16"/>
  <c r="N1138" i="16" s="1"/>
  <c r="M1137" i="16"/>
  <c r="L1135" i="16"/>
  <c r="N16" i="16" l="1"/>
  <c r="M24" i="16"/>
  <c r="O8" i="20" s="1"/>
  <c r="M1135" i="16"/>
  <c r="N1135" i="16"/>
  <c r="O1139" i="16"/>
  <c r="K1141" i="16" s="1"/>
  <c r="K9" i="16" s="1"/>
  <c r="O16" i="16" l="1"/>
  <c r="N24" i="16"/>
  <c r="P8" i="20" s="1"/>
  <c r="C9" i="16"/>
  <c r="C10" i="16" s="1"/>
  <c r="K10" i="16"/>
  <c r="P16" i="16" l="1"/>
  <c r="O24" i="16"/>
  <c r="Q8" i="20" s="1"/>
  <c r="Q16" i="16" l="1"/>
  <c r="P24" i="16"/>
  <c r="R8" i="20" s="1"/>
  <c r="R16" i="16" l="1"/>
  <c r="Q24" i="16"/>
  <c r="S8" i="20" s="1"/>
  <c r="S16" i="16" l="1"/>
  <c r="S24" i="16" s="1"/>
  <c r="R24" i="16"/>
  <c r="T8" i="20" s="1"/>
  <c r="C24" i="16" l="1"/>
  <c r="U8" i="20"/>
  <c r="E8" i="20" s="1"/>
</calcChain>
</file>

<file path=xl/sharedStrings.xml><?xml version="1.0" encoding="utf-8"?>
<sst xmlns="http://schemas.openxmlformats.org/spreadsheetml/2006/main" count="6179" uniqueCount="367">
  <si>
    <t>Cash disbursed</t>
  </si>
  <si>
    <t>Principal amount</t>
  </si>
  <si>
    <t>Loan Amount</t>
  </si>
  <si>
    <t>2 IL 3M</t>
  </si>
  <si>
    <t xml:space="preserve">  1st repayment</t>
  </si>
  <si>
    <t>3 IL 3M</t>
  </si>
  <si>
    <t>Overpayment</t>
  </si>
  <si>
    <t>Cash position</t>
  </si>
  <si>
    <t>4 IL 3M</t>
  </si>
  <si>
    <t>5 IL 3M</t>
  </si>
  <si>
    <t>Disbursed amount</t>
  </si>
  <si>
    <t>1 IL 3M</t>
  </si>
  <si>
    <t>Cash repaid</t>
  </si>
  <si>
    <t>Full early repaiment (at 1st payment day)</t>
  </si>
  <si>
    <r>
      <rPr>
        <b/>
        <sz val="12"/>
        <color theme="1"/>
        <rFont val="Calibri"/>
        <family val="2"/>
        <charset val="204"/>
        <scheme val="minor"/>
      </rPr>
      <t>Cash</t>
    </r>
    <r>
      <rPr>
        <sz val="12"/>
        <color theme="1"/>
        <rFont val="Calibri"/>
        <family val="2"/>
        <scheme val="minor"/>
      </rPr>
      <t xml:space="preserve"> position</t>
    </r>
  </si>
  <si>
    <t>Upfr Fee</t>
  </si>
  <si>
    <t>Roll-rates</t>
  </si>
  <si>
    <t>0 -&gt; 1-30</t>
  </si>
  <si>
    <t>1-30 -&gt; 31-60</t>
  </si>
  <si>
    <t>31-60 -&gt; 61-90</t>
  </si>
  <si>
    <t>61-90 -&gt; 91-120</t>
  </si>
  <si>
    <t>Average Ticket</t>
  </si>
  <si>
    <t>Upfront Fee</t>
  </si>
  <si>
    <t>Repayment Sch</t>
  </si>
  <si>
    <t>M1</t>
  </si>
  <si>
    <t>M2</t>
  </si>
  <si>
    <t>M3</t>
  </si>
  <si>
    <t>Rate Schedule Paid</t>
  </si>
  <si>
    <t>Cash Disbursed</t>
  </si>
  <si>
    <t>Loans Disbursed w Upfr Fee</t>
  </si>
  <si>
    <t>Revenue</t>
  </si>
  <si>
    <t>Risk</t>
  </si>
  <si>
    <t>1st Repayment</t>
  </si>
  <si>
    <t>Rate Pre Paid from All Total</t>
  </si>
  <si>
    <t>1st Repayment Number of Clients</t>
  </si>
  <si>
    <t>Eligible</t>
  </si>
  <si>
    <t>AR</t>
  </si>
  <si>
    <t>DR</t>
  </si>
  <si>
    <t>Conversion</t>
  </si>
  <si>
    <t>Rate Pre Paid from All Eligible</t>
  </si>
  <si>
    <t>Take-Up</t>
  </si>
  <si>
    <t>3mIL2</t>
  </si>
  <si>
    <t>3mIL3</t>
  </si>
  <si>
    <t>3mIL1</t>
  </si>
  <si>
    <t>3mIL4</t>
  </si>
  <si>
    <t>3mIL5</t>
  </si>
  <si>
    <t>6mIL6</t>
  </si>
  <si>
    <t>Number</t>
  </si>
  <si>
    <t>Rate Pre/Full</t>
  </si>
  <si>
    <t xml:space="preserve">Ticket </t>
  </si>
  <si>
    <t>Fee</t>
  </si>
  <si>
    <t>Loan Outst</t>
  </si>
  <si>
    <t>Risk IL1</t>
  </si>
  <si>
    <t>Loan Repaid 1st Pmt</t>
  </si>
  <si>
    <t>Number of Clients Offer YES</t>
  </si>
  <si>
    <t>Conversion Pre</t>
  </si>
  <si>
    <t>Conversion Full</t>
  </si>
  <si>
    <t>Number of Clients IL1 FULL</t>
  </si>
  <si>
    <t>Number of Clients Offer No FULL</t>
  </si>
  <si>
    <t>Ticket  IL1</t>
  </si>
  <si>
    <t>IL2 PrePaid  Number of Clients Offer Accepted</t>
  </si>
  <si>
    <t>IL2 Offer</t>
  </si>
  <si>
    <t>IL2 Offer Number of Clients</t>
  </si>
  <si>
    <t>IL2 Risk 1st Pmt</t>
  </si>
  <si>
    <t>IL2 Num of Clients 1st Pmt Repaid</t>
  </si>
  <si>
    <t>Additional Cash per Loan</t>
  </si>
  <si>
    <t>Loan Disbursed</t>
  </si>
  <si>
    <t>Loan Outstanding Per Client</t>
  </si>
  <si>
    <t>IL2 Rpmt Sch</t>
  </si>
  <si>
    <t>IL2 1st Repaymnt per Loan</t>
  </si>
  <si>
    <t xml:space="preserve">IL2 1st Repaymnt </t>
  </si>
  <si>
    <t>IL3 Offer Number of Clients</t>
  </si>
  <si>
    <t>IL3 Risk 1st Pmt</t>
  </si>
  <si>
    <t>IL3 Num of Clients 1st Pmt Repaid</t>
  </si>
  <si>
    <t>IL3 Rpmt Sch</t>
  </si>
  <si>
    <t>IL3 1st Repaymnt per Loan</t>
  </si>
  <si>
    <t xml:space="preserve">IL3 1st Repaymnt </t>
  </si>
  <si>
    <t>Add Cash Disbursed</t>
  </si>
  <si>
    <t>IL4 Offer Number of Clients</t>
  </si>
  <si>
    <t>IL4 Risk 1st Pmt</t>
  </si>
  <si>
    <t>IL4 Num of Clients 1st Pmt Repaid</t>
  </si>
  <si>
    <t>IL 4 Loan Outstanding</t>
  </si>
  <si>
    <t>IL4 Rpmt Sch</t>
  </si>
  <si>
    <t>IL4 1st Repaymnt per Loan</t>
  </si>
  <si>
    <t xml:space="preserve">IL4 1st Repaymnt </t>
  </si>
  <si>
    <t>IL5 Offer Number of Clients</t>
  </si>
  <si>
    <t>IL5 Risk 1st Pmt</t>
  </si>
  <si>
    <t>IL5 Num of Clients 1st Pmt Repaid</t>
  </si>
  <si>
    <t>IL 5 Loan Outstanding</t>
  </si>
  <si>
    <t>IL5 Rpmt Sch</t>
  </si>
  <si>
    <t>IL5 1st Repaymnt per Loan</t>
  </si>
  <si>
    <t>Risk DPD 1+</t>
  </si>
  <si>
    <t>FULL IL</t>
  </si>
  <si>
    <t>Rpmt Sch</t>
  </si>
  <si>
    <t>2nd Repaid per Loan</t>
  </si>
  <si>
    <t>2nd Repaid Total</t>
  </si>
  <si>
    <t>Loan Outs after 2nd Repmt</t>
  </si>
  <si>
    <t>Risk IL2 full MOB1</t>
  </si>
  <si>
    <t>Clients Paid</t>
  </si>
  <si>
    <t>Risk IL3 full MOB1</t>
  </si>
  <si>
    <t>IL2 FULL</t>
  </si>
  <si>
    <t>Number of Clients</t>
  </si>
  <si>
    <t>prePaid остаток</t>
  </si>
  <si>
    <t>Number of Clients Offer YES --&gt; PrePaid</t>
  </si>
  <si>
    <t>Number of Clients Offer No FULL Repayment</t>
  </si>
  <si>
    <t>Additional Cash Total</t>
  </si>
  <si>
    <t>Loan Disbursed per Client, $</t>
  </si>
  <si>
    <t>Loan Disbursed Total</t>
  </si>
  <si>
    <t>IL 2 Loan Outstanding per Client</t>
  </si>
  <si>
    <t>IL 2 Loan Outstanding Total</t>
  </si>
  <si>
    <t>Loan Disbursed per Client</t>
  </si>
  <si>
    <t>IL 3 Loan Outstanding per Client</t>
  </si>
  <si>
    <t>IL 3 Loan Outstanding Total</t>
  </si>
  <si>
    <t>3rd Repaid per Loan</t>
  </si>
  <si>
    <t>3rd Repaid Total</t>
  </si>
  <si>
    <t>Loan Outs after 3rd Repmt</t>
  </si>
  <si>
    <t>IL5 1st Repaymnt Total, $</t>
  </si>
  <si>
    <t>Fee, $ per Loan</t>
  </si>
  <si>
    <t>Cash Issued per Loan, $</t>
  </si>
  <si>
    <t>Amount of Loans Disbursed Total, $</t>
  </si>
  <si>
    <t>0</t>
  </si>
  <si>
    <t>31-60</t>
  </si>
  <si>
    <t>1-30</t>
  </si>
  <si>
    <t>Portfolio per Client EoM, $</t>
  </si>
  <si>
    <t>Number of Clients, Q</t>
  </si>
  <si>
    <t>Average Ticket, $</t>
  </si>
  <si>
    <t>Fee, %,</t>
  </si>
  <si>
    <t>Repayment Schedule, $</t>
  </si>
  <si>
    <t>Offer Accepted share, %</t>
  </si>
  <si>
    <t>Offer Rejected share, %</t>
  </si>
  <si>
    <t>Loan Outstanding EoM Total, $</t>
  </si>
  <si>
    <t>Loan Repaid Offer Accepted, $</t>
  </si>
  <si>
    <t>Number of Clients Offer Accepted, $</t>
  </si>
  <si>
    <t>Number of Clients Offer Rejected, $</t>
  </si>
  <si>
    <t>Conversion, %</t>
  </si>
  <si>
    <t>Additional Cash per Loan, $</t>
  </si>
  <si>
    <t>Additional Cash Issued Total, $</t>
  </si>
  <si>
    <t>Repaid FULL</t>
  </si>
  <si>
    <t>61-90</t>
  </si>
  <si>
    <t>Number of Clients Repaid, Q</t>
  </si>
  <si>
    <t>Loan Repaid  TOTAL, $</t>
  </si>
  <si>
    <t>Repaid PreMature, NON-Cash</t>
  </si>
  <si>
    <t>Take Up</t>
  </si>
  <si>
    <t>6mIL 6.1.2</t>
  </si>
  <si>
    <t>IL.3/1.1.2 Full</t>
  </si>
  <si>
    <t>IL 2/1.2 Full</t>
  </si>
  <si>
    <t>IL 1/2 Full</t>
  </si>
  <si>
    <t>IL 3/1.2.0</t>
  </si>
  <si>
    <t>IL 3/1.2.2 Full</t>
  </si>
  <si>
    <t>IL 4/1.1.1.0</t>
  </si>
  <si>
    <t>IL 2/1.0</t>
  </si>
  <si>
    <t>IL 1/0</t>
  </si>
  <si>
    <t>IL 4/1.1.1.2 Full</t>
  </si>
  <si>
    <t>IL 5/1.1.1.1.2 Full</t>
  </si>
  <si>
    <t>IL 4/1.2.1.0</t>
  </si>
  <si>
    <t>IL 4/1.2.1.2 Full</t>
  </si>
  <si>
    <t>IL 4/1.1.2.0</t>
  </si>
  <si>
    <t>IL 4/1.2.2.0</t>
  </si>
  <si>
    <t>IL 4/1.2.2.2 Full</t>
  </si>
  <si>
    <t>IL 4/1.1.2.2 Full</t>
  </si>
  <si>
    <t>IL 5/1.2.1.1.2 Full</t>
  </si>
  <si>
    <t>IL 5/1.1.2.1.2 Full</t>
  </si>
  <si>
    <t>IL 5/1.1.1.2.2 Full</t>
  </si>
  <si>
    <t>IL 5/1.2.1.2.2 Full</t>
  </si>
  <si>
    <t>IL 5/1.1.2.2.2 Full</t>
  </si>
  <si>
    <t>IL 5/1.2.2.1.2 Full</t>
  </si>
  <si>
    <t>IL 5/1.2.2.2.2 Full</t>
  </si>
  <si>
    <t>6mIL 6/1.2.2.2.2.2 Full</t>
  </si>
  <si>
    <t>6mIL 6/1.2.2.1.2.2 Full</t>
  </si>
  <si>
    <t>6mIL 6/1.1.1.1.2.2 Full</t>
  </si>
  <si>
    <t>6mIL 6/1.2.1.1.2.2 Full</t>
  </si>
  <si>
    <t>IL 2/2.0</t>
  </si>
  <si>
    <t>IL 2/2.2 Full</t>
  </si>
  <si>
    <t>IL 3/2.1.0</t>
  </si>
  <si>
    <t>IL 3/2.1.2 Full</t>
  </si>
  <si>
    <t>IL 3/1.1.2 Full</t>
  </si>
  <si>
    <t>IL 4/2.1.1.0</t>
  </si>
  <si>
    <t>IL 4/2.1.1.2 Full</t>
  </si>
  <si>
    <t>IL 5/2.1.1.1.</t>
  </si>
  <si>
    <t>IL 5/2.1.1.2.2 Full</t>
  </si>
  <si>
    <t>IL 4/2.1.2.0</t>
  </si>
  <si>
    <t>IL 4/2.1.2.2 Full</t>
  </si>
  <si>
    <t>IL 5/2.1.2.2.2 Full</t>
  </si>
  <si>
    <t>IL 5/2.1.2.1.2 Full</t>
  </si>
  <si>
    <t>IL 3/2.2.0</t>
  </si>
  <si>
    <t>IL 3/2.2.2 Full</t>
  </si>
  <si>
    <t>IL 4/2.2.1.2 Full</t>
  </si>
  <si>
    <t>IL 4/2.2.1.0</t>
  </si>
  <si>
    <t>IL 5/2.2.2.1.2 Full</t>
  </si>
  <si>
    <t>IL 5/2.2.1.1.2 Full</t>
  </si>
  <si>
    <t>IL 5/2.2.1.2.2 Full</t>
  </si>
  <si>
    <t>IL 4/2.2.2.0</t>
  </si>
  <si>
    <t>IL 4/2.2.2.2 Full</t>
  </si>
  <si>
    <t>IL 3/1.1.0</t>
  </si>
  <si>
    <t>IL 5/2.1.1.1.2 Full</t>
  </si>
  <si>
    <t>Repaid</t>
  </si>
  <si>
    <t>RR in % min Offer Accepted</t>
  </si>
  <si>
    <t>Number of Clients for Conversion, Q</t>
  </si>
  <si>
    <t>Number of Clients Converted, Q</t>
  </si>
  <si>
    <t>Number of Clients for IL Converted, Q</t>
  </si>
  <si>
    <t>Loan Repaid Full, $</t>
  </si>
  <si>
    <t>Number of Clients Full Repayment, $</t>
  </si>
  <si>
    <r>
      <t xml:space="preserve">Repaid PreMature, </t>
    </r>
    <r>
      <rPr>
        <b/>
        <sz val="12"/>
        <color theme="1"/>
        <rFont val="Calibri"/>
        <family val="2"/>
        <charset val="204"/>
        <scheme val="minor"/>
      </rPr>
      <t>NON-Cash</t>
    </r>
    <r>
      <rPr>
        <sz val="12"/>
        <color theme="1"/>
        <rFont val="Calibri"/>
        <family val="2"/>
        <scheme val="minor"/>
      </rPr>
      <t>, $</t>
    </r>
  </si>
  <si>
    <t>Number of Clients Full Repayment (Offer Rejected), $</t>
  </si>
  <si>
    <t>(5) IL 3/1.2</t>
  </si>
  <si>
    <t>(5) IL 3/1.2.0</t>
  </si>
  <si>
    <t>Number of Clients Initial for IL Converted, Q</t>
  </si>
  <si>
    <t>(1) IL 1/0</t>
  </si>
  <si>
    <t>(2) IL 2/1.0</t>
  </si>
  <si>
    <t>(3) IL 2/2.0</t>
  </si>
  <si>
    <t>(4) IL 3/1.1.0</t>
  </si>
  <si>
    <t>(6) IL 3/2.1.0</t>
  </si>
  <si>
    <t>(7) IL 3/2.2.0</t>
  </si>
  <si>
    <t>(5) IL 3/1.2.2 Full</t>
  </si>
  <si>
    <t>(2) IL 2/1.2 Full</t>
  </si>
  <si>
    <t>(2) IL 2/1</t>
  </si>
  <si>
    <t>(6) IL 3/2.1.2 Full</t>
  </si>
  <si>
    <t>(3) IL 2/2.2 Full</t>
  </si>
  <si>
    <t>(6) IL 3/2.1</t>
  </si>
  <si>
    <t>(3) IL 2/2</t>
  </si>
  <si>
    <t>(7) IL 3/2.2</t>
  </si>
  <si>
    <t>(4) IL 3/1.1</t>
  </si>
  <si>
    <t>(8) IL 4/1.1.1.0</t>
  </si>
  <si>
    <t>(8) IL 4/1.1.1.2 Full</t>
  </si>
  <si>
    <t>(8) IL 4/1.1.1</t>
  </si>
  <si>
    <t>(9) IL 4/1.1.2.0</t>
  </si>
  <si>
    <t>(9) IL 4/1.1.2.2 Full</t>
  </si>
  <si>
    <t>(4) IL 3/1.1.2 Full</t>
  </si>
  <si>
    <t>(1) IL 1/2 Full</t>
  </si>
  <si>
    <t>(7) IL 3/2.2.2 Full</t>
  </si>
  <si>
    <t>(9) IL 4/1.1.2</t>
  </si>
  <si>
    <t>(10) IL 4/1.2.1.0</t>
  </si>
  <si>
    <t>(10) IL 4/1.2.1.2 Full</t>
  </si>
  <si>
    <t>(10) IL 4/1.2.1</t>
  </si>
  <si>
    <t>Month</t>
  </si>
  <si>
    <t>(11) IL 4/2.1.1.0</t>
  </si>
  <si>
    <t>(11) IL 4/2.1.1.2 Full</t>
  </si>
  <si>
    <t>(11) IL 4/2.1.1</t>
  </si>
  <si>
    <t>(12) IL 4/1.2.2.0</t>
  </si>
  <si>
    <t>(12) IL 4/1.2.2.2 Full</t>
  </si>
  <si>
    <t>(12) IL 4/1.1.2</t>
  </si>
  <si>
    <t>(13) IL 4/2.1.2.0</t>
  </si>
  <si>
    <t>(13) IL 4/2.1.2.2 Full</t>
  </si>
  <si>
    <t>(13) IL 4/2.1.2</t>
  </si>
  <si>
    <t>(14) IL 4/2.2.1.0</t>
  </si>
  <si>
    <t>(14) IL 4/2.2.1.2 Full</t>
  </si>
  <si>
    <t>(14) IL 4/2.2.1</t>
  </si>
  <si>
    <t>(15) IL 4/2.2.2.0</t>
  </si>
  <si>
    <t>(15) IL 4/2.2.2.2 Full</t>
  </si>
  <si>
    <t>(15) IL 4/2.2.2</t>
  </si>
  <si>
    <t>From (7) IL 3/2.2</t>
  </si>
  <si>
    <t>(16) IL 5/1.1.1.1.2 Full</t>
  </si>
  <si>
    <t>(16) IL 5/1.1.1.1</t>
  </si>
  <si>
    <t>TOTAL</t>
  </si>
  <si>
    <t>INITIAL</t>
  </si>
  <si>
    <t>(1) IL1 INITIAL</t>
  </si>
  <si>
    <t>(17) IL 5/1.1.2.1.2 Full</t>
  </si>
  <si>
    <t>(17) IL 5/1.1.2.1</t>
  </si>
  <si>
    <t>(18) IL 5/1.2.1.1.2 Full</t>
  </si>
  <si>
    <t>(19) IL 5/2.1.1.1.2 Full</t>
  </si>
  <si>
    <t>(18) IL 5/1.2.1.1</t>
  </si>
  <si>
    <t>(19) IL 5/2.1.1.1</t>
  </si>
  <si>
    <t>(20) IL 5/1.1.1.2.2 Full</t>
  </si>
  <si>
    <t>(20) IL 5/1.1.1.2</t>
  </si>
  <si>
    <t>(21) IL 5/1.1.2.2</t>
  </si>
  <si>
    <t>(21) IL 5/1.1.2.2.2 Full</t>
  </si>
  <si>
    <t>(22) IL 5/1.2.1.2.2 Full</t>
  </si>
  <si>
    <t>(23) IL 5/1.2.2.1.2 Full</t>
  </si>
  <si>
    <t>(22) IL 5/1.2.1.2</t>
  </si>
  <si>
    <t>(23) IL 5/1.2.2.1</t>
  </si>
  <si>
    <t>(24) IL 5/2.1.1.2.2 Full</t>
  </si>
  <si>
    <t>(25) IL 5/2.1.2.1.2 Full</t>
  </si>
  <si>
    <t>(26) IL 5/2.2.1.1.2 Full</t>
  </si>
  <si>
    <t xml:space="preserve"> </t>
  </si>
  <si>
    <t>IL1</t>
  </si>
  <si>
    <t>IL2</t>
  </si>
  <si>
    <t>IL3</t>
  </si>
  <si>
    <t>IL4</t>
  </si>
  <si>
    <t>IL5</t>
  </si>
  <si>
    <t>IL6</t>
  </si>
  <si>
    <t>Rate USD/IDR</t>
  </si>
  <si>
    <t>$</t>
  </si>
  <si>
    <t>IDR</t>
  </si>
  <si>
    <t>Loan Repaid Full Repayment Total, $</t>
  </si>
  <si>
    <t>(24) IL 5/2.1.1.2</t>
  </si>
  <si>
    <t>(25) IL 5/2.1.2.1.2</t>
  </si>
  <si>
    <t>(26) IL 5/2.2.1.1.2</t>
  </si>
  <si>
    <t>(27) IL 5/1.2.2.2.2 Full</t>
  </si>
  <si>
    <t>(27) IL 5/1.2.2.2</t>
  </si>
  <si>
    <t>(28) IL 5/2.1.2.2.2 Full</t>
  </si>
  <si>
    <t>(28) IL 5/2.1.2.2</t>
  </si>
  <si>
    <t>(29) IL 5/2.2.1.2.2 Full</t>
  </si>
  <si>
    <t>(29) IL 5/2.2.1.2</t>
  </si>
  <si>
    <t>(30) IL 5/2.2.2.1.2 Full</t>
  </si>
  <si>
    <t>(30) IL 5/2.2.2.1</t>
  </si>
  <si>
    <t>Diff Loan Repaid vs Cash Issued</t>
  </si>
  <si>
    <t>Cumulative Diff Loan Repaid vs Cash Issued</t>
  </si>
  <si>
    <t>(31) IL 5/2.2.2.2.2 Full</t>
  </si>
  <si>
    <t>(31) IL 5/2.2.2.2</t>
  </si>
  <si>
    <t>61+</t>
  </si>
  <si>
    <t>Provisions Total, $</t>
  </si>
  <si>
    <t>60+</t>
  </si>
  <si>
    <t>Revenue, $</t>
  </si>
  <si>
    <t>Gross Profit, $</t>
  </si>
  <si>
    <t>IL Average Ticket, $</t>
  </si>
  <si>
    <t>Next IL From Pre-Paid</t>
  </si>
  <si>
    <t>Next IL From Full Rpmt</t>
  </si>
  <si>
    <t>Additional Cash Issued Cumulative, $</t>
  </si>
  <si>
    <t>Loan Repaid  TOTAL Cumulative, $</t>
  </si>
  <si>
    <t>Surplus Cumulative, %</t>
  </si>
  <si>
    <t>Margin Loan Repaid Total/Cash Issued, %</t>
  </si>
  <si>
    <t>0 -&gt; 1-30@MOB1</t>
  </si>
  <si>
    <t>0 -&gt; 1-30@MOB2</t>
  </si>
  <si>
    <t>0 -&gt; 1-30@MOB3</t>
  </si>
  <si>
    <t>-</t>
  </si>
  <si>
    <t>MONTH/TOTAL</t>
  </si>
  <si>
    <t>Pre-Paid Offer Share, %</t>
  </si>
  <si>
    <t>Loan Repaid per IL, $</t>
  </si>
  <si>
    <t>Diff Loan Repaid - Cash Issued, $</t>
  </si>
  <si>
    <t>Gross Profit per IL, $</t>
  </si>
  <si>
    <t>Mother Loan</t>
  </si>
  <si>
    <t>6. Guaranteed repeat</t>
  </si>
  <si>
    <t>Product option</t>
  </si>
  <si>
    <t>IL</t>
  </si>
  <si>
    <t>Low check, low risks</t>
  </si>
  <si>
    <t>Duration</t>
  </si>
  <si>
    <t>4*14 days</t>
  </si>
  <si>
    <t>Disbursement amount</t>
  </si>
  <si>
    <t>Repayment</t>
  </si>
  <si>
    <t>Inflow 1 forecast</t>
  </si>
  <si>
    <t>TakeUp rate</t>
  </si>
  <si>
    <t>1st Rpmt</t>
  </si>
  <si>
    <t>0 Loan Issue</t>
  </si>
  <si>
    <t>0-30</t>
  </si>
  <si>
    <t>2nd Rpmt</t>
  </si>
  <si>
    <t>3rd Rpmt</t>
  </si>
  <si>
    <t>1st Rpmt EoM</t>
  </si>
  <si>
    <t>2nd Rpmt EoM</t>
  </si>
  <si>
    <t>3rd Rpmt EoM</t>
  </si>
  <si>
    <t>Fully Repaid</t>
  </si>
  <si>
    <t>IL7</t>
  </si>
  <si>
    <t>IL8</t>
  </si>
  <si>
    <t>IL9</t>
  </si>
  <si>
    <t>IL10</t>
  </si>
  <si>
    <t>IL11</t>
  </si>
  <si>
    <t>IL12</t>
  </si>
  <si>
    <t>IL13</t>
  </si>
  <si>
    <t>IL14</t>
  </si>
  <si>
    <t>IL15</t>
  </si>
  <si>
    <t>IL 5/1.1.1.1</t>
  </si>
  <si>
    <t>Present Loan</t>
  </si>
  <si>
    <t>Daughter Loan</t>
  </si>
  <si>
    <t>IL 6/1.1.1.1.1</t>
  </si>
  <si>
    <t>IL 7/1.1.1.1.1.1</t>
  </si>
  <si>
    <t>IL 8/1.1.1.1.1.1.1</t>
  </si>
  <si>
    <t>IL 9/1.1.1.1.1.1.1.1</t>
  </si>
  <si>
    <t>a</t>
  </si>
  <si>
    <t>b</t>
  </si>
  <si>
    <t>c</t>
  </si>
  <si>
    <t>IL 10/1.1.1.1.1.1.1.1.1</t>
  </si>
  <si>
    <t>IL 11/1.1.1.1.1.1.1.1.1.1</t>
  </si>
  <si>
    <t>IL 12/1.1.1.1.1.1.1.1.1.1.1</t>
  </si>
  <si>
    <t>IL 13/1.1.1.1.1.1.1.1.1.1.1.1</t>
  </si>
  <si>
    <t>IL 14/1.1.1.1.1.1.1.1.1.1.1.1.1</t>
  </si>
  <si>
    <t>IL 15/1.1.1.1.1.1.1.1.1.1.1.1.1.1</t>
  </si>
  <si>
    <t>Repayment 14 days/TOTAL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</si>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</sst>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00"/>
    <numFmt numFmtId="167" formatCode="0.0%"/>
    <numFmt numFmtId="168" formatCode="0.0000"/>
    <numFmt numFmtId="169" formatCode="0.00000"/>
    <numFmt numFmtId="170" formatCode="_-* #,##0.00\ _₽_-;\-* #,##0.00\ _₽_-;_-* &quot;-&quot;??\ _₽_-;_-@_-"/>
  </numFmts>
  <fonts count="4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C00000"/>
      <name val="Calibri"/>
      <family val="2"/>
      <scheme val="minor"/>
    </font>
    <font>
      <sz val="8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b/>
      <sz val="12"/>
      <color theme="7" tint="0.79998168889431442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0"/>
      <name val="Calibri"/>
      <family val="2"/>
      <charset val="204"/>
      <scheme val="minor"/>
    </font>
    <font>
      <b/>
      <sz val="12"/>
      <color rgb="FFC00000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b/>
      <sz val="12"/>
      <color rgb="FF0070C0"/>
      <name val="Calibri"/>
      <family val="2"/>
      <charset val="204"/>
      <scheme val="minor"/>
    </font>
    <font>
      <b/>
      <u/>
      <sz val="12"/>
      <color theme="1"/>
      <name val="Calibri"/>
      <family val="2"/>
      <charset val="204"/>
      <scheme val="minor"/>
    </font>
    <font>
      <sz val="12"/>
      <color theme="5" tint="-0.249977111117893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b/>
      <sz val="12"/>
      <color theme="5" tint="0.39997558519241921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rgb="FFFF3399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theme="5" tint="0.59999389629810485"/>
      <name val="Calibri"/>
      <family val="2"/>
      <scheme val="minor"/>
    </font>
    <font>
      <b/>
      <sz val="12"/>
      <color rgb="FFFF3399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FF3399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sz val="12"/>
      <color rgb="FFFF0066"/>
      <name val="Calibri"/>
      <family val="2"/>
      <scheme val="minor"/>
    </font>
    <font>
      <b/>
      <sz val="12"/>
      <color rgb="FFFF0066"/>
      <name val="Calibri"/>
      <family val="2"/>
      <charset val="204"/>
      <scheme val="minor"/>
    </font>
    <font>
      <b/>
      <u/>
      <sz val="12"/>
      <color theme="0"/>
      <name val="Calibri"/>
      <family val="2"/>
      <scheme val="minor"/>
    </font>
    <font>
      <sz val="12"/>
      <color rgb="FFCC3399"/>
      <name val="Calibri"/>
      <family val="2"/>
      <scheme val="minor"/>
    </font>
    <font>
      <u/>
      <sz val="12"/>
      <color theme="0"/>
      <name val="Calibri"/>
      <family val="2"/>
      <scheme val="minor"/>
    </font>
    <font>
      <b/>
      <sz val="12"/>
      <color rgb="FF000000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i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2"/>
      <color rgb="FF000000"/>
      <name val="Calibri"/>
      <family val="2"/>
      <scheme val="minor"/>
    </font>
    <font>
      <sz val="12"/>
      <name val="Segoe UI"/>
      <family val="2"/>
      <charset val="204"/>
    </font>
    <font>
      <sz val="11"/>
      <name val="Segoe UI"/>
      <family val="2"/>
      <charset val="204"/>
    </font>
    <font>
      <b/>
      <sz val="12"/>
      <color rgb="FFCC3399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gradientFill>
        <stop position="0">
          <color rgb="FFF2A06E"/>
        </stop>
        <stop position="1">
          <color theme="4"/>
        </stop>
      </gradientFill>
    </fill>
    <fill>
      <gradientFill>
        <stop position="0">
          <color rgb="FF93DBFF"/>
        </stop>
        <stop position="1">
          <color rgb="FF002AB0"/>
        </stop>
      </gradientFill>
    </fill>
    <fill>
      <gradientFill>
        <stop position="0">
          <color rgb="FFCEDDEE"/>
        </stop>
        <stop position="1">
          <color rgb="FF93DBFF"/>
        </stop>
      </gradientFill>
    </fill>
    <fill>
      <patternFill patternType="solid">
        <fgColor theme="9" tint="0.39997558519241921"/>
        <bgColor indexed="64"/>
      </patternFill>
    </fill>
    <fill>
      <gradientFill>
        <stop position="0">
          <color rgb="FF92D050"/>
        </stop>
        <stop position="1">
          <color rgb="FF009900"/>
        </stop>
      </gradientFill>
    </fill>
    <fill>
      <gradientFill>
        <stop position="0">
          <color rgb="FFFFE1FF"/>
        </stop>
        <stop position="1">
          <color rgb="FF002AB0"/>
        </stop>
      </gradientFill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99FFCC"/>
        <bgColor auto="1"/>
      </patternFill>
    </fill>
  </fills>
  <borders count="25">
    <border>
      <left/>
      <right/>
      <top/>
      <bottom/>
      <diagonal/>
    </border>
    <border>
      <left style="thin">
        <color rgb="FF876F39"/>
      </left>
      <right style="thin">
        <color rgb="FF876F39"/>
      </right>
      <top style="thin">
        <color rgb="FF876F39"/>
      </top>
      <bottom style="thin">
        <color rgb="FF876F39"/>
      </bottom>
      <diagonal/>
    </border>
    <border>
      <left style="slantDashDot">
        <color rgb="FFEE853E"/>
      </left>
      <right/>
      <top/>
      <bottom/>
      <diagonal/>
    </border>
    <border>
      <left style="slantDashDot">
        <color rgb="FFEE853E"/>
      </left>
      <right style="slantDashDot">
        <color rgb="FFEE853E"/>
      </right>
      <top style="slantDashDot">
        <color rgb="FFEE853E"/>
      </top>
      <bottom style="slantDashDot">
        <color rgb="FFEE853E"/>
      </bottom>
      <diagonal/>
    </border>
    <border>
      <left style="dashed">
        <color rgb="FF82A9D4"/>
      </left>
      <right style="dashed">
        <color rgb="FF82A9D4"/>
      </right>
      <top/>
      <bottom/>
      <diagonal/>
    </border>
    <border>
      <left style="dashed">
        <color rgb="FF82A9D4"/>
      </left>
      <right style="dashed">
        <color rgb="FF82A9D4"/>
      </right>
      <top style="medium">
        <color rgb="FF027E66"/>
      </top>
      <bottom style="medium">
        <color rgb="FF027E66"/>
      </bottom>
      <diagonal/>
    </border>
    <border>
      <left style="dashed">
        <color rgb="FF82A9D4"/>
      </left>
      <right style="dashed">
        <color rgb="FF82A9D4"/>
      </right>
      <top/>
      <bottom style="slantDashDot">
        <color rgb="FFEE853E"/>
      </bottom>
      <diagonal/>
    </border>
    <border>
      <left style="dashed">
        <color rgb="FF82A9D4"/>
      </left>
      <right style="dashed">
        <color rgb="FF82A9D4"/>
      </right>
      <top style="medium">
        <color rgb="FF027E66"/>
      </top>
      <bottom/>
      <diagonal/>
    </border>
    <border>
      <left style="dashed">
        <color rgb="FF82A9D4"/>
      </left>
      <right style="dashed">
        <color rgb="FF82A9D4"/>
      </right>
      <top style="slantDashDot">
        <color rgb="FFEE853E"/>
      </top>
      <bottom/>
      <diagonal/>
    </border>
    <border>
      <left style="dashed">
        <color rgb="FF82A9D4"/>
      </left>
      <right/>
      <top/>
      <bottom/>
      <diagonal/>
    </border>
    <border>
      <left/>
      <right style="dashed">
        <color rgb="FF82A9D4"/>
      </right>
      <top/>
      <bottom/>
      <diagonal/>
    </border>
    <border>
      <left style="dashed">
        <color rgb="FF82A9D4"/>
      </left>
      <right style="dashed">
        <color rgb="FF82A9D4"/>
      </right>
      <top/>
      <bottom style="slantDashDot">
        <color rgb="FF0033CC"/>
      </bottom>
      <diagonal/>
    </border>
    <border>
      <left style="slantDashDot">
        <color rgb="FF0033CC"/>
      </left>
      <right style="dashed">
        <color rgb="FF82A9D4"/>
      </right>
      <top/>
      <bottom/>
      <diagonal/>
    </border>
    <border>
      <left style="slantDashDot">
        <color rgb="FF0033CC"/>
      </left>
      <right/>
      <top/>
      <bottom style="slantDashDot">
        <color rgb="FF0033CC"/>
      </bottom>
      <diagonal/>
    </border>
    <border>
      <left style="slantDashDot">
        <color rgb="FFEE853E"/>
      </left>
      <right style="dashed">
        <color rgb="FF82A9D4"/>
      </right>
      <top/>
      <bottom/>
      <diagonal/>
    </border>
    <border>
      <left style="slantDashDot">
        <color rgb="FFEE853E"/>
      </left>
      <right/>
      <top style="slantDashDot">
        <color rgb="FFEE853E"/>
      </top>
      <bottom style="slantDashDot">
        <color rgb="FFEE853E"/>
      </bottom>
      <diagonal/>
    </border>
    <border>
      <left style="dashed">
        <color rgb="FF82A9D4"/>
      </left>
      <right style="slantDashDot">
        <color rgb="FFEE853E"/>
      </right>
      <top/>
      <bottom/>
      <diagonal/>
    </border>
    <border>
      <left/>
      <right/>
      <top style="slantDashDot">
        <color rgb="FFEE853E"/>
      </top>
      <bottom style="slantDashDot">
        <color rgb="FFEE853E"/>
      </bottom>
      <diagonal/>
    </border>
    <border>
      <left style="dashed">
        <color rgb="FF82A9D4"/>
      </left>
      <right style="dashed">
        <color rgb="FF82A9D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dashed">
        <color rgb="FF82A9D4"/>
      </left>
      <right style="thin">
        <color indexed="64"/>
      </right>
      <top/>
      <bottom/>
      <diagonal/>
    </border>
    <border>
      <left style="thin">
        <color indexed="64"/>
      </left>
      <right style="dashed">
        <color rgb="FF82A9D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173">
    <xf numFmtId="0" fontId="0" fillId="0" borderId="0" xfId="0"/>
    <xf numFmtId="3" fontId="0" fillId="0" borderId="0" xfId="0" applyNumberFormat="1"/>
    <xf numFmtId="4" fontId="0" fillId="0" borderId="0" xfId="0" applyNumberFormat="1"/>
    <xf numFmtId="3" fontId="3" fillId="0" borderId="0" xfId="0" applyNumberFormat="1" applyFont="1"/>
    <xf numFmtId="3" fontId="0" fillId="2" borderId="0" xfId="0" applyNumberFormat="1" applyFill="1"/>
    <xf numFmtId="164" fontId="0" fillId="0" borderId="0" xfId="1" applyNumberFormat="1" applyFont="1"/>
    <xf numFmtId="165" fontId="0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0" fontId="4" fillId="3" borderId="0" xfId="0" applyFont="1" applyFill="1"/>
    <xf numFmtId="166" fontId="0" fillId="0" borderId="0" xfId="0" applyNumberFormat="1"/>
    <xf numFmtId="0" fontId="2" fillId="0" borderId="0" xfId="0" applyFont="1"/>
    <xf numFmtId="0" fontId="6" fillId="4" borderId="1" xfId="0" applyFont="1" applyFill="1" applyBorder="1"/>
    <xf numFmtId="0" fontId="7" fillId="4" borderId="1" xfId="0" applyFont="1" applyFill="1" applyBorder="1"/>
    <xf numFmtId="0" fontId="8" fillId="0" borderId="0" xfId="0" applyFont="1" applyFill="1" applyBorder="1"/>
    <xf numFmtId="0" fontId="8" fillId="5" borderId="0" xfId="0" applyFont="1" applyFill="1" applyBorder="1"/>
    <xf numFmtId="0" fontId="4" fillId="0" borderId="0" xfId="0" applyFont="1" applyFill="1" applyBorder="1"/>
    <xf numFmtId="0" fontId="4" fillId="2" borderId="0" xfId="0" applyFont="1" applyFill="1" applyBorder="1"/>
    <xf numFmtId="165" fontId="8" fillId="0" borderId="0" xfId="1" applyNumberFormat="1" applyFont="1" applyFill="1" applyBorder="1"/>
    <xf numFmtId="165" fontId="9" fillId="0" borderId="0" xfId="1" applyNumberFormat="1" applyFont="1" applyFill="1" applyBorder="1"/>
    <xf numFmtId="9" fontId="8" fillId="0" borderId="0" xfId="2" applyFont="1" applyFill="1" applyBorder="1"/>
    <xf numFmtId="9" fontId="0" fillId="0" borderId="0" xfId="2" applyFont="1"/>
    <xf numFmtId="9" fontId="0" fillId="0" borderId="0" xfId="0" applyNumberFormat="1"/>
    <xf numFmtId="0" fontId="0" fillId="0" borderId="0" xfId="0" quotePrefix="1"/>
    <xf numFmtId="17" fontId="0" fillId="0" borderId="0" xfId="0" quotePrefix="1" applyNumberFormat="1"/>
    <xf numFmtId="0" fontId="10" fillId="0" borderId="0" xfId="0" applyFont="1"/>
    <xf numFmtId="165" fontId="11" fillId="0" borderId="0" xfId="0" applyNumberFormat="1" applyFont="1"/>
    <xf numFmtId="165" fontId="8" fillId="0" borderId="0" xfId="0" applyNumberFormat="1" applyFont="1"/>
    <xf numFmtId="165" fontId="2" fillId="0" borderId="0" xfId="1" applyNumberFormat="1" applyFont="1"/>
    <xf numFmtId="10" fontId="0" fillId="0" borderId="0" xfId="0" applyNumberFormat="1"/>
    <xf numFmtId="0" fontId="0" fillId="6" borderId="0" xfId="0" applyFill="1"/>
    <xf numFmtId="0" fontId="0" fillId="0" borderId="0" xfId="0" applyBorder="1"/>
    <xf numFmtId="0" fontId="0" fillId="0" borderId="0" xfId="0" applyFill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0" borderId="6" xfId="0" applyBorder="1"/>
    <xf numFmtId="0" fontId="0" fillId="0" borderId="4" xfId="0" applyFill="1" applyBorder="1"/>
    <xf numFmtId="0" fontId="0" fillId="8" borderId="5" xfId="0" applyFill="1" applyBorder="1"/>
    <xf numFmtId="0" fontId="0" fillId="7" borderId="4" xfId="0" applyFill="1" applyBorder="1"/>
    <xf numFmtId="0" fontId="0" fillId="0" borderId="7" xfId="0" applyBorder="1"/>
    <xf numFmtId="0" fontId="0" fillId="0" borderId="8" xfId="0" applyBorder="1"/>
    <xf numFmtId="0" fontId="8" fillId="8" borderId="5" xfId="0" applyFont="1" applyFill="1" applyBorder="1"/>
    <xf numFmtId="0" fontId="8" fillId="0" borderId="4" xfId="0" applyFont="1" applyFill="1" applyBorder="1"/>
    <xf numFmtId="0" fontId="0" fillId="6" borderId="4" xfId="0" applyFill="1" applyBorder="1"/>
    <xf numFmtId="0" fontId="4" fillId="6" borderId="4" xfId="0" applyFont="1" applyFill="1" applyBorder="1"/>
    <xf numFmtId="0" fontId="14" fillId="0" borderId="4" xfId="0" applyFont="1" applyBorder="1"/>
    <xf numFmtId="0" fontId="0" fillId="0" borderId="9" xfId="0" applyBorder="1"/>
    <xf numFmtId="0" fontId="0" fillId="0" borderId="11" xfId="0" applyBorder="1"/>
    <xf numFmtId="0" fontId="0" fillId="8" borderId="13" xfId="0" applyFill="1" applyBorder="1"/>
    <xf numFmtId="0" fontId="0" fillId="0" borderId="12" xfId="0" applyBorder="1"/>
    <xf numFmtId="0" fontId="0" fillId="3" borderId="15" xfId="0" applyFill="1" applyBorder="1"/>
    <xf numFmtId="0" fontId="0" fillId="0" borderId="14" xfId="0" applyBorder="1"/>
    <xf numFmtId="0" fontId="0" fillId="0" borderId="10" xfId="0" applyBorder="1"/>
    <xf numFmtId="0" fontId="0" fillId="3" borderId="17" xfId="0" applyFill="1" applyBorder="1"/>
    <xf numFmtId="0" fontId="0" fillId="0" borderId="16" xfId="0" applyBorder="1"/>
    <xf numFmtId="0" fontId="0" fillId="0" borderId="9" xfId="0" applyFill="1" applyBorder="1"/>
    <xf numFmtId="0" fontId="12" fillId="0" borderId="4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0" fillId="0" borderId="5" xfId="0" applyFill="1" applyBorder="1"/>
    <xf numFmtId="0" fontId="0" fillId="0" borderId="18" xfId="0" applyBorder="1"/>
    <xf numFmtId="0" fontId="0" fillId="0" borderId="19" xfId="0" applyBorder="1"/>
    <xf numFmtId="0" fontId="12" fillId="0" borderId="0" xfId="0" applyFont="1" applyFill="1" applyBorder="1" applyAlignment="1">
      <alignment horizontal="center"/>
    </xf>
    <xf numFmtId="0" fontId="0" fillId="0" borderId="18" xfId="0" applyFill="1" applyBorder="1"/>
    <xf numFmtId="0" fontId="12" fillId="0" borderId="18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0" fillId="0" borderId="10" xfId="0" applyFill="1" applyBorder="1"/>
    <xf numFmtId="0" fontId="0" fillId="0" borderId="0" xfId="0" applyFill="1" applyBorder="1"/>
    <xf numFmtId="0" fontId="0" fillId="12" borderId="5" xfId="0" applyFill="1" applyBorder="1"/>
    <xf numFmtId="0" fontId="15" fillId="0" borderId="0" xfId="0" applyFont="1"/>
    <xf numFmtId="0" fontId="16" fillId="0" borderId="0" xfId="0" applyFont="1"/>
    <xf numFmtId="0" fontId="17" fillId="0" borderId="0" xfId="0" applyFont="1"/>
    <xf numFmtId="165" fontId="17" fillId="0" borderId="0" xfId="0" applyNumberFormat="1" applyFont="1"/>
    <xf numFmtId="9" fontId="11" fillId="0" borderId="0" xfId="2" applyFont="1"/>
    <xf numFmtId="0" fontId="11" fillId="0" borderId="0" xfId="0" applyFont="1"/>
    <xf numFmtId="9" fontId="11" fillId="0" borderId="0" xfId="0" applyNumberFormat="1" applyFont="1"/>
    <xf numFmtId="165" fontId="18" fillId="0" borderId="0" xfId="0" applyNumberFormat="1" applyFont="1"/>
    <xf numFmtId="9" fontId="19" fillId="0" borderId="0" xfId="2" applyFont="1"/>
    <xf numFmtId="9" fontId="18" fillId="0" borderId="0" xfId="2" applyFont="1"/>
    <xf numFmtId="165" fontId="0" fillId="3" borderId="0" xfId="1" applyNumberFormat="1" applyFont="1" applyFill="1"/>
    <xf numFmtId="0" fontId="2" fillId="0" borderId="0" xfId="0" quotePrefix="1" applyFont="1"/>
    <xf numFmtId="165" fontId="20" fillId="0" borderId="0" xfId="0" applyNumberFormat="1" applyFont="1"/>
    <xf numFmtId="165" fontId="21" fillId="0" borderId="0" xfId="0" applyNumberFormat="1" applyFont="1"/>
    <xf numFmtId="9" fontId="21" fillId="0" borderId="0" xfId="2" applyFont="1"/>
    <xf numFmtId="9" fontId="9" fillId="0" borderId="0" xfId="2" applyFont="1"/>
    <xf numFmtId="9" fontId="8" fillId="0" borderId="0" xfId="2" applyFont="1"/>
    <xf numFmtId="9" fontId="22" fillId="0" borderId="0" xfId="2" applyFont="1"/>
    <xf numFmtId="9" fontId="20" fillId="0" borderId="0" xfId="0" applyNumberFormat="1" applyFont="1"/>
    <xf numFmtId="9" fontId="23" fillId="0" borderId="0" xfId="2" applyFont="1"/>
    <xf numFmtId="9" fontId="2" fillId="0" borderId="0" xfId="0" applyNumberFormat="1" applyFont="1"/>
    <xf numFmtId="9" fontId="24" fillId="0" borderId="0" xfId="2" applyFont="1"/>
    <xf numFmtId="9" fontId="25" fillId="0" borderId="0" xfId="2" applyFont="1"/>
    <xf numFmtId="0" fontId="12" fillId="13" borderId="5" xfId="0" applyFont="1" applyFill="1" applyBorder="1"/>
    <xf numFmtId="9" fontId="26" fillId="0" borderId="0" xfId="2" applyFont="1"/>
    <xf numFmtId="0" fontId="27" fillId="0" borderId="0" xfId="3"/>
    <xf numFmtId="165" fontId="3" fillId="0" borderId="0" xfId="0" applyNumberFormat="1" applyFont="1"/>
    <xf numFmtId="9" fontId="28" fillId="0" borderId="0" xfId="2" applyFont="1"/>
    <xf numFmtId="9" fontId="29" fillId="0" borderId="0" xfId="2" applyFont="1"/>
    <xf numFmtId="0" fontId="4" fillId="0" borderId="0" xfId="0" applyFont="1"/>
    <xf numFmtId="0" fontId="31" fillId="0" borderId="0" xfId="0" applyFont="1"/>
    <xf numFmtId="165" fontId="31" fillId="0" borderId="0" xfId="0" applyNumberFormat="1" applyFont="1"/>
    <xf numFmtId="0" fontId="8" fillId="0" borderId="0" xfId="0" applyFont="1"/>
    <xf numFmtId="0" fontId="18" fillId="0" borderId="0" xfId="0" applyFont="1"/>
    <xf numFmtId="167" fontId="22" fillId="0" borderId="0" xfId="2" applyNumberFormat="1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165" fontId="35" fillId="0" borderId="0" xfId="0" applyNumberFormat="1" applyFont="1"/>
    <xf numFmtId="165" fontId="0" fillId="15" borderId="0" xfId="0" applyNumberFormat="1" applyFill="1"/>
    <xf numFmtId="165" fontId="35" fillId="15" borderId="0" xfId="0" applyNumberFormat="1" applyFont="1" applyFill="1"/>
    <xf numFmtId="9" fontId="37" fillId="0" borderId="0" xfId="2" applyFont="1"/>
    <xf numFmtId="165" fontId="36" fillId="0" borderId="0" xfId="1" applyNumberFormat="1" applyFont="1"/>
    <xf numFmtId="165" fontId="37" fillId="0" borderId="0" xfId="1" applyNumberFormat="1" applyFont="1"/>
    <xf numFmtId="9" fontId="37" fillId="0" borderId="20" xfId="2" applyFont="1" applyBorder="1"/>
    <xf numFmtId="0" fontId="0" fillId="0" borderId="20" xfId="0" applyBorder="1"/>
    <xf numFmtId="0" fontId="0" fillId="0" borderId="23" xfId="0" applyBorder="1"/>
    <xf numFmtId="0" fontId="15" fillId="0" borderId="23" xfId="0" applyFont="1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165" fontId="37" fillId="0" borderId="20" xfId="1" applyNumberFormat="1" applyFont="1" applyBorder="1"/>
    <xf numFmtId="0" fontId="2" fillId="0" borderId="23" xfId="0" applyFont="1" applyBorder="1"/>
    <xf numFmtId="0" fontId="12" fillId="9" borderId="10" xfId="0" applyFont="1" applyFill="1" applyBorder="1" applyAlignment="1">
      <alignment wrapText="1"/>
    </xf>
    <xf numFmtId="0" fontId="12" fillId="10" borderId="22" xfId="0" applyFont="1" applyFill="1" applyBorder="1" applyAlignment="1">
      <alignment wrapText="1"/>
    </xf>
    <xf numFmtId="0" fontId="16" fillId="0" borderId="0" xfId="0" applyFont="1" applyAlignment="1">
      <alignment vertical="center"/>
    </xf>
    <xf numFmtId="0" fontId="0" fillId="0" borderId="23" xfId="0" applyBorder="1" applyAlignment="1">
      <alignment horizontal="left" vertical="center"/>
    </xf>
    <xf numFmtId="165" fontId="8" fillId="0" borderId="0" xfId="1" applyNumberFormat="1" applyFont="1"/>
    <xf numFmtId="9" fontId="37" fillId="0" borderId="20" xfId="2" applyFont="1" applyBorder="1" applyAlignment="1">
      <alignment horizontal="right" vertical="center"/>
    </xf>
    <xf numFmtId="0" fontId="38" fillId="0" borderId="0" xfId="0" applyFont="1"/>
    <xf numFmtId="0" fontId="8" fillId="0" borderId="0" xfId="0" applyFont="1" applyFill="1"/>
    <xf numFmtId="0" fontId="39" fillId="0" borderId="0" xfId="0" applyFont="1" applyFill="1" applyBorder="1" applyAlignment="1">
      <alignment vertical="center" wrapText="1"/>
    </xf>
    <xf numFmtId="0" fontId="40" fillId="0" borderId="0" xfId="0" applyFont="1" applyFill="1" applyBorder="1" applyAlignment="1">
      <alignment vertical="center" wrapText="1"/>
    </xf>
    <xf numFmtId="0" fontId="39" fillId="0" borderId="0" xfId="0" applyFont="1" applyFill="1" applyBorder="1" applyAlignment="1">
      <alignment horizontal="right" vertical="center" wrapText="1"/>
    </xf>
    <xf numFmtId="9" fontId="39" fillId="0" borderId="0" xfId="0" applyNumberFormat="1" applyFont="1" applyFill="1" applyBorder="1" applyAlignment="1">
      <alignment horizontal="right" vertical="center" wrapText="1"/>
    </xf>
    <xf numFmtId="0" fontId="8" fillId="0" borderId="0" xfId="0" quotePrefix="1" applyFont="1" applyFill="1"/>
    <xf numFmtId="9" fontId="8" fillId="0" borderId="0" xfId="2" applyFont="1" applyFill="1"/>
    <xf numFmtId="0" fontId="8" fillId="16" borderId="0" xfId="0" applyFont="1" applyFill="1"/>
    <xf numFmtId="9" fontId="37" fillId="0" borderId="0" xfId="2" applyFont="1" applyBorder="1"/>
    <xf numFmtId="0" fontId="0" fillId="16" borderId="0" xfId="0" applyFill="1"/>
    <xf numFmtId="9" fontId="31" fillId="0" borderId="0" xfId="2" applyFont="1"/>
    <xf numFmtId="165" fontId="37" fillId="0" borderId="0" xfId="1" applyNumberFormat="1" applyFont="1" applyBorder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65" fontId="0" fillId="0" borderId="0" xfId="0" applyNumberFormat="1" applyFill="1"/>
    <xf numFmtId="9" fontId="37" fillId="0" borderId="20" xfId="2" applyFont="1" applyFill="1" applyBorder="1"/>
    <xf numFmtId="9" fontId="37" fillId="0" borderId="20" xfId="2" applyFont="1" applyBorder="1" applyAlignment="1">
      <alignment horizontal="center" vertical="center"/>
    </xf>
    <xf numFmtId="9" fontId="37" fillId="0" borderId="0" xfId="2" applyFont="1" applyBorder="1" applyAlignment="1">
      <alignment horizontal="center" vertical="center"/>
    </xf>
    <xf numFmtId="0" fontId="12" fillId="9" borderId="10" xfId="0" applyFont="1" applyFill="1" applyBorder="1" applyAlignment="1">
      <alignment horizontal="center"/>
    </xf>
    <xf numFmtId="0" fontId="12" fillId="9" borderId="21" xfId="0" applyFont="1" applyFill="1" applyBorder="1" applyAlignment="1">
      <alignment horizontal="center"/>
    </xf>
    <xf numFmtId="0" fontId="12" fillId="10" borderId="22" xfId="0" applyFont="1" applyFill="1" applyBorder="1" applyAlignment="1">
      <alignment horizontal="center"/>
    </xf>
    <xf numFmtId="0" fontId="12" fillId="10" borderId="21" xfId="0" applyFont="1" applyFill="1" applyBorder="1" applyAlignment="1">
      <alignment horizontal="center"/>
    </xf>
    <xf numFmtId="0" fontId="12" fillId="9" borderId="9" xfId="0" applyFont="1" applyFill="1" applyBorder="1" applyAlignment="1">
      <alignment horizontal="left"/>
    </xf>
    <xf numFmtId="0" fontId="12" fillId="9" borderId="0" xfId="0" applyFont="1" applyFill="1" applyBorder="1" applyAlignment="1">
      <alignment horizontal="left"/>
    </xf>
    <xf numFmtId="0" fontId="12" fillId="9" borderId="10" xfId="0" applyFont="1" applyFill="1" applyBorder="1" applyAlignment="1">
      <alignment horizontal="left"/>
    </xf>
    <xf numFmtId="0" fontId="41" fillId="9" borderId="9" xfId="0" applyFont="1" applyFill="1" applyBorder="1" applyAlignment="1">
      <alignment horizontal="left"/>
    </xf>
    <xf numFmtId="0" fontId="41" fillId="9" borderId="0" xfId="0" applyFont="1" applyFill="1" applyBorder="1" applyAlignment="1">
      <alignment horizontal="left"/>
    </xf>
    <xf numFmtId="0" fontId="41" fillId="9" borderId="10" xfId="0" applyFont="1" applyFill="1" applyBorder="1" applyAlignment="1">
      <alignment horizontal="left"/>
    </xf>
    <xf numFmtId="0" fontId="12" fillId="17" borderId="9" xfId="0" applyFont="1" applyFill="1" applyBorder="1" applyAlignment="1">
      <alignment horizontal="left"/>
    </xf>
    <xf numFmtId="0" fontId="12" fillId="17" borderId="0" xfId="0" applyFont="1" applyFill="1" applyBorder="1" applyAlignment="1">
      <alignment horizontal="left"/>
    </xf>
    <xf numFmtId="0" fontId="12" fillId="10" borderId="9" xfId="0" applyFont="1" applyFill="1" applyBorder="1" applyAlignment="1">
      <alignment horizontal="left"/>
    </xf>
    <xf numFmtId="0" fontId="12" fillId="10" borderId="0" xfId="0" applyFont="1" applyFill="1" applyBorder="1" applyAlignment="1">
      <alignment horizontal="left"/>
    </xf>
    <xf numFmtId="0" fontId="12" fillId="10" borderId="10" xfId="0" applyFont="1" applyFill="1" applyBorder="1" applyAlignment="1">
      <alignment horizontal="left"/>
    </xf>
    <xf numFmtId="0" fontId="12" fillId="10" borderId="0" xfId="0" applyFont="1" applyFill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32" fillId="10" borderId="4" xfId="3" applyFont="1" applyFill="1" applyBorder="1" applyAlignment="1">
      <alignment horizontal="center"/>
    </xf>
    <xf numFmtId="0" fontId="12" fillId="10" borderId="4" xfId="0" applyFont="1" applyFill="1" applyBorder="1" applyAlignment="1">
      <alignment horizontal="center"/>
    </xf>
    <xf numFmtId="0" fontId="30" fillId="9" borderId="4" xfId="3" applyFont="1" applyFill="1" applyBorder="1" applyAlignment="1">
      <alignment horizontal="center"/>
    </xf>
    <xf numFmtId="0" fontId="12" fillId="14" borderId="4" xfId="0" applyFont="1" applyFill="1" applyBorder="1" applyAlignment="1">
      <alignment horizontal="center"/>
    </xf>
    <xf numFmtId="0" fontId="12" fillId="13" borderId="9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2" fillId="11" borderId="4" xfId="0" applyFont="1" applyFill="1" applyBorder="1" applyAlignment="1">
      <alignment horizont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44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colors>
    <mruColors>
      <color rgb="FFCC3399"/>
      <color rgb="FF99FFCC"/>
      <color rgb="FF00FFCC"/>
      <color rgb="FF9933FF"/>
      <color rgb="FFFF9999"/>
      <color rgb="FFFF0066"/>
      <color rgb="FFFFE1FF"/>
      <color rgb="FFFFCCFF"/>
      <color rgb="FFFFD9D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chGrArr!I57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262466</xdr:colOff>
      <xdr:row>3</xdr:row>
      <xdr:rowOff>84666</xdr:rowOff>
    </xdr:from>
    <xdr:to>
      <xdr:col>3</xdr:col>
      <xdr:colOff>8467</xdr:colOff>
      <xdr:row>7</xdr:row>
      <xdr:rowOff>118534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487E456B-260B-9801-419D-729B861CED75}"/>
            </a:ext>
          </a:extLst>
        </xdr:cNvPr>
        <xdr:cNvCxnSpPr/>
      </xdr:nvCxnSpPr>
      <xdr:spPr>
        <a:xfrm>
          <a:off x="491066" y="677333"/>
          <a:ext cx="1210734" cy="829734"/>
        </a:xfrm>
        <a:prstGeom prst="bentConnector3">
          <a:avLst>
            <a:gd name="adj1" fmla="val -21329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</xdr:colOff>
      <xdr:row>8</xdr:row>
      <xdr:rowOff>118536</xdr:rowOff>
    </xdr:from>
    <xdr:to>
      <xdr:col>3</xdr:col>
      <xdr:colOff>1388537</xdr:colOff>
      <xdr:row>14</xdr:row>
      <xdr:rowOff>101603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DF7245F9-79FB-4F31-BB29-A7C8E1387D5F}"/>
            </a:ext>
          </a:extLst>
        </xdr:cNvPr>
        <xdr:cNvCxnSpPr>
          <a:cxnSpLocks noChangeAspect="1"/>
        </xdr:cNvCxnSpPr>
      </xdr:nvCxnSpPr>
      <xdr:spPr>
        <a:xfrm>
          <a:off x="1693336" y="1710269"/>
          <a:ext cx="1388534" cy="1278467"/>
        </a:xfrm>
        <a:prstGeom prst="bentConnector3">
          <a:avLst>
            <a:gd name="adj1" fmla="val -89927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1177713</xdr:colOff>
      <xdr:row>15</xdr:row>
      <xdr:rowOff>84667</xdr:rowOff>
    </xdr:from>
    <xdr:to>
      <xdr:col>4</xdr:col>
      <xdr:colOff>3826933</xdr:colOff>
      <xdr:row>27</xdr:row>
      <xdr:rowOff>110067</xdr:rowOff>
    </xdr:to>
    <xdr:cxnSp macro="">
      <xdr:nvCxnSpPr>
        <xdr:cNvPr id="115" name="Connector: Elbow 114">
          <a:extLst>
            <a:ext uri="{FF2B5EF4-FFF2-40B4-BE49-F238E27FC236}">
              <a16:creationId xmlns:a16="http://schemas.microsoft.com/office/drawing/2014/main" id="{255AC29C-72FE-49D6-A0DC-1EF847A56154}"/>
            </a:ext>
          </a:extLst>
        </xdr:cNvPr>
        <xdr:cNvCxnSpPr>
          <a:cxnSpLocks noChangeAspect="1"/>
        </xdr:cNvCxnSpPr>
      </xdr:nvCxnSpPr>
      <xdr:spPr>
        <a:xfrm>
          <a:off x="2871046" y="3175000"/>
          <a:ext cx="3834554" cy="2396067"/>
        </a:xfrm>
        <a:prstGeom prst="bentConnector3">
          <a:avLst>
            <a:gd name="adj1" fmla="val -90222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8467</xdr:colOff>
      <xdr:row>4</xdr:row>
      <xdr:rowOff>101600</xdr:rowOff>
    </xdr:from>
    <xdr:to>
      <xdr:col>6</xdr:col>
      <xdr:colOff>0</xdr:colOff>
      <xdr:row>10</xdr:row>
      <xdr:rowOff>101600</xdr:rowOff>
    </xdr:to>
    <xdr:cxnSp macro="">
      <xdr:nvCxnSpPr>
        <xdr:cNvPr id="130" name="Connector: Elbow 129">
          <a:extLst>
            <a:ext uri="{FF2B5EF4-FFF2-40B4-BE49-F238E27FC236}">
              <a16:creationId xmlns:a16="http://schemas.microsoft.com/office/drawing/2014/main" id="{84933CAE-59C2-5689-9458-C2616B0E9CDE}"/>
            </a:ext>
          </a:extLst>
        </xdr:cNvPr>
        <xdr:cNvCxnSpPr>
          <a:cxnSpLocks noChangeAspect="1"/>
        </xdr:cNvCxnSpPr>
      </xdr:nvCxnSpPr>
      <xdr:spPr>
        <a:xfrm>
          <a:off x="4064000" y="897467"/>
          <a:ext cx="1515533" cy="1185333"/>
        </a:xfrm>
        <a:prstGeom prst="bentConnector3">
          <a:avLst>
            <a:gd name="adj1" fmla="val 14888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1185334</xdr:colOff>
      <xdr:row>8</xdr:row>
      <xdr:rowOff>101600</xdr:rowOff>
    </xdr:from>
    <xdr:to>
      <xdr:col>7</xdr:col>
      <xdr:colOff>8467</xdr:colOff>
      <xdr:row>17</xdr:row>
      <xdr:rowOff>110067</xdr:rowOff>
    </xdr:to>
    <xdr:cxnSp macro="">
      <xdr:nvCxnSpPr>
        <xdr:cNvPr id="133" name="Connector: Elbow 132">
          <a:extLst>
            <a:ext uri="{FF2B5EF4-FFF2-40B4-BE49-F238E27FC236}">
              <a16:creationId xmlns:a16="http://schemas.microsoft.com/office/drawing/2014/main" id="{38B75681-AB80-45CB-86B8-5A2F1711AEFF}"/>
            </a:ext>
          </a:extLst>
        </xdr:cNvPr>
        <xdr:cNvCxnSpPr>
          <a:cxnSpLocks noChangeAspect="1"/>
        </xdr:cNvCxnSpPr>
      </xdr:nvCxnSpPr>
      <xdr:spPr>
        <a:xfrm>
          <a:off x="5240867" y="1693333"/>
          <a:ext cx="2150533" cy="1896534"/>
        </a:xfrm>
        <a:prstGeom prst="bentConnector3">
          <a:avLst>
            <a:gd name="adj1" fmla="val 25767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9312</xdr:colOff>
      <xdr:row>11</xdr:row>
      <xdr:rowOff>93131</xdr:rowOff>
    </xdr:from>
    <xdr:to>
      <xdr:col>6</xdr:col>
      <xdr:colOff>16933</xdr:colOff>
      <xdr:row>20</xdr:row>
      <xdr:rowOff>101600</xdr:rowOff>
    </xdr:to>
    <xdr:cxnSp macro="">
      <xdr:nvCxnSpPr>
        <xdr:cNvPr id="147" name="Connector: Elbow 146">
          <a:extLst>
            <a:ext uri="{FF2B5EF4-FFF2-40B4-BE49-F238E27FC236}">
              <a16:creationId xmlns:a16="http://schemas.microsoft.com/office/drawing/2014/main" id="{C177D881-AFF8-47D9-B952-57C1868047D6}"/>
            </a:ext>
          </a:extLst>
        </xdr:cNvPr>
        <xdr:cNvCxnSpPr>
          <a:cxnSpLocks noChangeAspect="1"/>
        </xdr:cNvCxnSpPr>
      </xdr:nvCxnSpPr>
      <xdr:spPr>
        <a:xfrm>
          <a:off x="4073312" y="2277531"/>
          <a:ext cx="2573021" cy="1905002"/>
        </a:xfrm>
        <a:prstGeom prst="bentConnector3">
          <a:avLst>
            <a:gd name="adj1" fmla="val -224225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16933</xdr:colOff>
      <xdr:row>11</xdr:row>
      <xdr:rowOff>93134</xdr:rowOff>
    </xdr:from>
    <xdr:to>
      <xdr:col>8</xdr:col>
      <xdr:colOff>1176866</xdr:colOff>
      <xdr:row>23</xdr:row>
      <xdr:rowOff>101601</xdr:rowOff>
    </xdr:to>
    <xdr:cxnSp macro="">
      <xdr:nvCxnSpPr>
        <xdr:cNvPr id="154" name="Connector: Elbow 153">
          <a:extLst>
            <a:ext uri="{FF2B5EF4-FFF2-40B4-BE49-F238E27FC236}">
              <a16:creationId xmlns:a16="http://schemas.microsoft.com/office/drawing/2014/main" id="{106B1F81-5398-4B14-ADDB-6F305690A6E3}"/>
            </a:ext>
          </a:extLst>
        </xdr:cNvPr>
        <xdr:cNvCxnSpPr>
          <a:cxnSpLocks noChangeAspect="1"/>
        </xdr:cNvCxnSpPr>
      </xdr:nvCxnSpPr>
      <xdr:spPr>
        <a:xfrm>
          <a:off x="7662333" y="2277534"/>
          <a:ext cx="1159933" cy="2497667"/>
        </a:xfrm>
        <a:prstGeom prst="bentConnector3">
          <a:avLst>
            <a:gd name="adj1" fmla="val 17899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8467</xdr:colOff>
      <xdr:row>15</xdr:row>
      <xdr:rowOff>101600</xdr:rowOff>
    </xdr:from>
    <xdr:to>
      <xdr:col>8</xdr:col>
      <xdr:colOff>16933</xdr:colOff>
      <xdr:row>30</xdr:row>
      <xdr:rowOff>101600</xdr:rowOff>
    </xdr:to>
    <xdr:cxnSp macro="">
      <xdr:nvCxnSpPr>
        <xdr:cNvPr id="168" name="Connector: Elbow 167">
          <a:extLst>
            <a:ext uri="{FF2B5EF4-FFF2-40B4-BE49-F238E27FC236}">
              <a16:creationId xmlns:a16="http://schemas.microsoft.com/office/drawing/2014/main" id="{7B90752D-3CE5-4316-AC2E-3024D8DFFCD6}"/>
            </a:ext>
          </a:extLst>
        </xdr:cNvPr>
        <xdr:cNvCxnSpPr>
          <a:cxnSpLocks noChangeAspect="1"/>
        </xdr:cNvCxnSpPr>
      </xdr:nvCxnSpPr>
      <xdr:spPr>
        <a:xfrm>
          <a:off x="6451600" y="3191933"/>
          <a:ext cx="3064933" cy="2980267"/>
        </a:xfrm>
        <a:prstGeom prst="bentConnector3">
          <a:avLst>
            <a:gd name="adj1" fmla="val 42887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9312</xdr:colOff>
      <xdr:row>18</xdr:row>
      <xdr:rowOff>101599</xdr:rowOff>
    </xdr:from>
    <xdr:to>
      <xdr:col>7</xdr:col>
      <xdr:colOff>8466</xdr:colOff>
      <xdr:row>33</xdr:row>
      <xdr:rowOff>110067</xdr:rowOff>
    </xdr:to>
    <xdr:cxnSp macro="">
      <xdr:nvCxnSpPr>
        <xdr:cNvPr id="174" name="Connector: Elbow 173">
          <a:extLst>
            <a:ext uri="{FF2B5EF4-FFF2-40B4-BE49-F238E27FC236}">
              <a16:creationId xmlns:a16="http://schemas.microsoft.com/office/drawing/2014/main" id="{24B81910-7820-4BA6-AAA2-21665DFBF1C8}"/>
            </a:ext>
          </a:extLst>
        </xdr:cNvPr>
        <xdr:cNvCxnSpPr>
          <a:cxnSpLocks noChangeAspect="1"/>
        </xdr:cNvCxnSpPr>
      </xdr:nvCxnSpPr>
      <xdr:spPr>
        <a:xfrm>
          <a:off x="5267112" y="3784599"/>
          <a:ext cx="3208021" cy="2997201"/>
        </a:xfrm>
        <a:prstGeom prst="bentConnector3">
          <a:avLst>
            <a:gd name="adj1" fmla="val -257176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21</xdr:row>
      <xdr:rowOff>110066</xdr:rowOff>
    </xdr:from>
    <xdr:to>
      <xdr:col>7</xdr:col>
      <xdr:colOff>3</xdr:colOff>
      <xdr:row>36</xdr:row>
      <xdr:rowOff>93136</xdr:rowOff>
    </xdr:to>
    <xdr:cxnSp macro="">
      <xdr:nvCxnSpPr>
        <xdr:cNvPr id="191" name="Connector: Elbow 190">
          <a:extLst>
            <a:ext uri="{FF2B5EF4-FFF2-40B4-BE49-F238E27FC236}">
              <a16:creationId xmlns:a16="http://schemas.microsoft.com/office/drawing/2014/main" id="{A33926AC-C11B-49E1-A27B-00D0FE90FCBC}"/>
            </a:ext>
          </a:extLst>
        </xdr:cNvPr>
        <xdr:cNvCxnSpPr>
          <a:cxnSpLocks noChangeAspect="1"/>
        </xdr:cNvCxnSpPr>
      </xdr:nvCxnSpPr>
      <xdr:spPr>
        <a:xfrm>
          <a:off x="5257800" y="4394199"/>
          <a:ext cx="1185336" cy="2971804"/>
        </a:xfrm>
        <a:prstGeom prst="bentConnector3">
          <a:avLst>
            <a:gd name="adj1" fmla="val -212142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1176867</xdr:colOff>
      <xdr:row>18</xdr:row>
      <xdr:rowOff>110067</xdr:rowOff>
    </xdr:from>
    <xdr:to>
      <xdr:col>10</xdr:col>
      <xdr:colOff>8467</xdr:colOff>
      <xdr:row>40</xdr:row>
      <xdr:rowOff>110067</xdr:rowOff>
    </xdr:to>
    <xdr:cxnSp macro="">
      <xdr:nvCxnSpPr>
        <xdr:cNvPr id="204" name="Connector: Elbow 203">
          <a:extLst>
            <a:ext uri="{FF2B5EF4-FFF2-40B4-BE49-F238E27FC236}">
              <a16:creationId xmlns:a16="http://schemas.microsoft.com/office/drawing/2014/main" id="{D77C707C-2E0D-43B0-8903-FF3901F1F8E2}"/>
            </a:ext>
          </a:extLst>
        </xdr:cNvPr>
        <xdr:cNvCxnSpPr>
          <a:cxnSpLocks/>
        </xdr:cNvCxnSpPr>
      </xdr:nvCxnSpPr>
      <xdr:spPr>
        <a:xfrm>
          <a:off x="8813800" y="3793067"/>
          <a:ext cx="4445000" cy="4385733"/>
        </a:xfrm>
        <a:prstGeom prst="bentConnector3">
          <a:avLst>
            <a:gd name="adj1" fmla="val 39536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1159932</xdr:colOff>
      <xdr:row>21</xdr:row>
      <xdr:rowOff>110067</xdr:rowOff>
    </xdr:from>
    <xdr:to>
      <xdr:col>10</xdr:col>
      <xdr:colOff>8467</xdr:colOff>
      <xdr:row>43</xdr:row>
      <xdr:rowOff>118536</xdr:rowOff>
    </xdr:to>
    <xdr:cxnSp macro="">
      <xdr:nvCxnSpPr>
        <xdr:cNvPr id="210" name="Connector: Elbow 209">
          <a:extLst>
            <a:ext uri="{FF2B5EF4-FFF2-40B4-BE49-F238E27FC236}">
              <a16:creationId xmlns:a16="http://schemas.microsoft.com/office/drawing/2014/main" id="{983F6093-4644-41AC-989B-E8F0B63D8BC6}"/>
            </a:ext>
          </a:extLst>
        </xdr:cNvPr>
        <xdr:cNvCxnSpPr>
          <a:cxnSpLocks noChangeAspect="1"/>
        </xdr:cNvCxnSpPr>
      </xdr:nvCxnSpPr>
      <xdr:spPr>
        <a:xfrm>
          <a:off x="8796865" y="4394200"/>
          <a:ext cx="4445002" cy="4385736"/>
        </a:xfrm>
        <a:prstGeom prst="bentConnector3">
          <a:avLst>
            <a:gd name="adj1" fmla="val 49046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1193798</xdr:colOff>
      <xdr:row>24</xdr:row>
      <xdr:rowOff>110065</xdr:rowOff>
    </xdr:from>
    <xdr:to>
      <xdr:col>9</xdr:col>
      <xdr:colOff>3</xdr:colOff>
      <xdr:row>46</xdr:row>
      <xdr:rowOff>101603</xdr:rowOff>
    </xdr:to>
    <xdr:cxnSp macro="">
      <xdr:nvCxnSpPr>
        <xdr:cNvPr id="213" name="Connector: Elbow 212">
          <a:extLst>
            <a:ext uri="{FF2B5EF4-FFF2-40B4-BE49-F238E27FC236}">
              <a16:creationId xmlns:a16="http://schemas.microsoft.com/office/drawing/2014/main" id="{93F09DA9-2979-4D11-8FDF-21F76505B478}"/>
            </a:ext>
          </a:extLst>
        </xdr:cNvPr>
        <xdr:cNvCxnSpPr>
          <a:cxnSpLocks noChangeAspect="1"/>
        </xdr:cNvCxnSpPr>
      </xdr:nvCxnSpPr>
      <xdr:spPr>
        <a:xfrm>
          <a:off x="7636931" y="4986865"/>
          <a:ext cx="4377272" cy="4377271"/>
        </a:xfrm>
        <a:prstGeom prst="bentConnector3">
          <a:avLst>
            <a:gd name="adj1" fmla="val -344284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8467</xdr:colOff>
      <xdr:row>24</xdr:row>
      <xdr:rowOff>110066</xdr:rowOff>
    </xdr:from>
    <xdr:to>
      <xdr:col>12</xdr:col>
      <xdr:colOff>0</xdr:colOff>
      <xdr:row>49</xdr:row>
      <xdr:rowOff>110066</xdr:rowOff>
    </xdr:to>
    <xdr:cxnSp macro="">
      <xdr:nvCxnSpPr>
        <xdr:cNvPr id="231" name="Connector: Elbow 230">
          <a:extLst>
            <a:ext uri="{FF2B5EF4-FFF2-40B4-BE49-F238E27FC236}">
              <a16:creationId xmlns:a16="http://schemas.microsoft.com/office/drawing/2014/main" id="{1CDC18D6-3BD6-4686-BD11-06A984FF8B6F}"/>
            </a:ext>
          </a:extLst>
        </xdr:cNvPr>
        <xdr:cNvCxnSpPr>
          <a:cxnSpLocks/>
        </xdr:cNvCxnSpPr>
      </xdr:nvCxnSpPr>
      <xdr:spPr>
        <a:xfrm>
          <a:off x="11218334" y="4986866"/>
          <a:ext cx="5444066" cy="4986867"/>
        </a:xfrm>
        <a:prstGeom prst="bentConnector3">
          <a:avLst>
            <a:gd name="adj1" fmla="val 152878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8466</xdr:colOff>
      <xdr:row>28</xdr:row>
      <xdr:rowOff>93133</xdr:rowOff>
    </xdr:from>
    <xdr:to>
      <xdr:col>6</xdr:col>
      <xdr:colOff>8466</xdr:colOff>
      <xdr:row>54</xdr:row>
      <xdr:rowOff>101600</xdr:rowOff>
    </xdr:to>
    <xdr:cxnSp macro="">
      <xdr:nvCxnSpPr>
        <xdr:cNvPr id="241" name="Connector: Elbow 240">
          <a:extLst>
            <a:ext uri="{FF2B5EF4-FFF2-40B4-BE49-F238E27FC236}">
              <a16:creationId xmlns:a16="http://schemas.microsoft.com/office/drawing/2014/main" id="{42467300-9765-4B44-909F-19BC1AA02CD7}"/>
            </a:ext>
          </a:extLst>
        </xdr:cNvPr>
        <xdr:cNvCxnSpPr>
          <a:cxnSpLocks noChangeAspect="1"/>
        </xdr:cNvCxnSpPr>
      </xdr:nvCxnSpPr>
      <xdr:spPr>
        <a:xfrm>
          <a:off x="4072466" y="5757333"/>
          <a:ext cx="5240867" cy="5190067"/>
        </a:xfrm>
        <a:prstGeom prst="bentConnector3">
          <a:avLst>
            <a:gd name="adj1" fmla="val -299547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16934</xdr:colOff>
      <xdr:row>31</xdr:row>
      <xdr:rowOff>101600</xdr:rowOff>
    </xdr:from>
    <xdr:to>
      <xdr:col>7</xdr:col>
      <xdr:colOff>5012267</xdr:colOff>
      <xdr:row>56</xdr:row>
      <xdr:rowOff>101600</xdr:rowOff>
    </xdr:to>
    <xdr:cxnSp macro="">
      <xdr:nvCxnSpPr>
        <xdr:cNvPr id="2" name="Connector: Elbow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4E7E92A-7A5F-413E-B897-67AFE838D5D2}"/>
            </a:ext>
          </a:extLst>
        </xdr:cNvPr>
        <xdr:cNvCxnSpPr>
          <a:cxnSpLocks noChangeAspect="1"/>
        </xdr:cNvCxnSpPr>
      </xdr:nvCxnSpPr>
      <xdr:spPr>
        <a:xfrm>
          <a:off x="6460067" y="6375400"/>
          <a:ext cx="4995333" cy="4961467"/>
        </a:xfrm>
        <a:prstGeom prst="bentConnector3">
          <a:avLst>
            <a:gd name="adj1" fmla="val -461862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16931</xdr:colOff>
      <xdr:row>34</xdr:row>
      <xdr:rowOff>93131</xdr:rowOff>
    </xdr:from>
    <xdr:to>
      <xdr:col>7</xdr:col>
      <xdr:colOff>4826000</xdr:colOff>
      <xdr:row>58</xdr:row>
      <xdr:rowOff>101600</xdr:rowOff>
    </xdr:to>
    <xdr:cxnSp macro="">
      <xdr:nvCxnSpPr>
        <xdr:cNvPr id="16" name="Connector: Elbow 15">
          <a:extLst>
            <a:ext uri="{FF2B5EF4-FFF2-40B4-BE49-F238E27FC236}">
              <a16:creationId xmlns:a16="http://schemas.microsoft.com/office/drawing/2014/main" id="{98A8BACC-1D28-4C82-BCBD-121333C429CA}"/>
            </a:ext>
          </a:extLst>
        </xdr:cNvPr>
        <xdr:cNvCxnSpPr>
          <a:cxnSpLocks noChangeAspect="1"/>
        </xdr:cNvCxnSpPr>
      </xdr:nvCxnSpPr>
      <xdr:spPr>
        <a:xfrm>
          <a:off x="6460064" y="6968064"/>
          <a:ext cx="4809069" cy="4758269"/>
        </a:xfrm>
        <a:prstGeom prst="bentConnector3">
          <a:avLst>
            <a:gd name="adj1" fmla="val -415757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8466</xdr:colOff>
      <xdr:row>37</xdr:row>
      <xdr:rowOff>76200</xdr:rowOff>
    </xdr:from>
    <xdr:to>
      <xdr:col>8</xdr:col>
      <xdr:colOff>16936</xdr:colOff>
      <xdr:row>60</xdr:row>
      <xdr:rowOff>93136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D50B4415-28A5-4AB1-9693-A306A3550C2E}"/>
            </a:ext>
          </a:extLst>
        </xdr:cNvPr>
        <xdr:cNvCxnSpPr>
          <a:cxnSpLocks noChangeAspect="1"/>
        </xdr:cNvCxnSpPr>
      </xdr:nvCxnSpPr>
      <xdr:spPr>
        <a:xfrm>
          <a:off x="6451599" y="7552267"/>
          <a:ext cx="4648204" cy="4555069"/>
        </a:xfrm>
        <a:prstGeom prst="bentConnector3">
          <a:avLst>
            <a:gd name="adj1" fmla="val -361266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1866</xdr:colOff>
      <xdr:row>28</xdr:row>
      <xdr:rowOff>101598</xdr:rowOff>
    </xdr:from>
    <xdr:to>
      <xdr:col>11</xdr:col>
      <xdr:colOff>3598334</xdr:colOff>
      <xdr:row>63</xdr:row>
      <xdr:rowOff>50800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D547E596-E945-40F5-BFAE-1ACE52D9384C}"/>
            </a:ext>
          </a:extLst>
        </xdr:cNvPr>
        <xdr:cNvCxnSpPr>
          <a:cxnSpLocks noChangeAspect="1"/>
        </xdr:cNvCxnSpPr>
      </xdr:nvCxnSpPr>
      <xdr:spPr>
        <a:xfrm>
          <a:off x="7638799" y="5765798"/>
          <a:ext cx="7169401" cy="6883402"/>
        </a:xfrm>
        <a:prstGeom prst="bentConnector3">
          <a:avLst>
            <a:gd name="adj1" fmla="val 182606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 fLocksWithSheet="0"/>
  </xdr:twoCellAnchor>
  <xdr:twoCellAnchor>
    <xdr:from>
      <xdr:col>9</xdr:col>
      <xdr:colOff>1168400</xdr:colOff>
      <xdr:row>31</xdr:row>
      <xdr:rowOff>67732</xdr:rowOff>
    </xdr:from>
    <xdr:to>
      <xdr:col>13</xdr:col>
      <xdr:colOff>8467</xdr:colOff>
      <xdr:row>66</xdr:row>
      <xdr:rowOff>67736</xdr:rowOff>
    </xdr:to>
    <xdr:cxnSp macro="">
      <xdr:nvCxnSpPr>
        <xdr:cNvPr id="47" name="Connector: Elbow 46">
          <a:extLst>
            <a:ext uri="{FF2B5EF4-FFF2-40B4-BE49-F238E27FC236}">
              <a16:creationId xmlns:a16="http://schemas.microsoft.com/office/drawing/2014/main" id="{59CE21A9-5ACD-42B6-ABB2-4BDCC361620B}"/>
            </a:ext>
          </a:extLst>
        </xdr:cNvPr>
        <xdr:cNvCxnSpPr>
          <a:cxnSpLocks noChangeAspect="1"/>
        </xdr:cNvCxnSpPr>
      </xdr:nvCxnSpPr>
      <xdr:spPr>
        <a:xfrm>
          <a:off x="9999133" y="6341532"/>
          <a:ext cx="3606801" cy="6908804"/>
        </a:xfrm>
        <a:prstGeom prst="bentConnector3">
          <a:avLst>
            <a:gd name="adj1" fmla="val 199087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1185333</xdr:colOff>
      <xdr:row>34</xdr:row>
      <xdr:rowOff>101600</xdr:rowOff>
    </xdr:from>
    <xdr:to>
      <xdr:col>13</xdr:col>
      <xdr:colOff>16936</xdr:colOff>
      <xdr:row>68</xdr:row>
      <xdr:rowOff>33869</xdr:rowOff>
    </xdr:to>
    <xdr:cxnSp macro="">
      <xdr:nvCxnSpPr>
        <xdr:cNvPr id="56" name="Connector: Elbow 55">
          <a:extLst>
            <a:ext uri="{FF2B5EF4-FFF2-40B4-BE49-F238E27FC236}">
              <a16:creationId xmlns:a16="http://schemas.microsoft.com/office/drawing/2014/main" id="{97335E1C-1457-489D-B358-B20A99BC9A1E}"/>
            </a:ext>
          </a:extLst>
        </xdr:cNvPr>
        <xdr:cNvCxnSpPr>
          <a:cxnSpLocks noChangeAspect="1"/>
        </xdr:cNvCxnSpPr>
      </xdr:nvCxnSpPr>
      <xdr:spPr>
        <a:xfrm>
          <a:off x="10016066" y="6976533"/>
          <a:ext cx="3598337" cy="6629403"/>
        </a:xfrm>
        <a:prstGeom prst="bentConnector3">
          <a:avLst>
            <a:gd name="adj1" fmla="val 22310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16930</xdr:colOff>
      <xdr:row>41</xdr:row>
      <xdr:rowOff>93133</xdr:rowOff>
    </xdr:from>
    <xdr:to>
      <xdr:col>10</xdr:col>
      <xdr:colOff>25400</xdr:colOff>
      <xdr:row>70</xdr:row>
      <xdr:rowOff>118534</xdr:rowOff>
    </xdr:to>
    <xdr:cxnSp macro="">
      <xdr:nvCxnSpPr>
        <xdr:cNvPr id="68" name="Connector: Elbow 67">
          <a:extLst>
            <a:ext uri="{FF2B5EF4-FFF2-40B4-BE49-F238E27FC236}">
              <a16:creationId xmlns:a16="http://schemas.microsoft.com/office/drawing/2014/main" id="{ABE504EA-CCF1-4BC9-AEF8-2BF4207627AC}"/>
            </a:ext>
          </a:extLst>
        </xdr:cNvPr>
        <xdr:cNvCxnSpPr>
          <a:cxnSpLocks noChangeAspect="1"/>
        </xdr:cNvCxnSpPr>
      </xdr:nvCxnSpPr>
      <xdr:spPr>
        <a:xfrm>
          <a:off x="8847663" y="8365066"/>
          <a:ext cx="5723470" cy="5715001"/>
        </a:xfrm>
        <a:prstGeom prst="bentConnector3">
          <a:avLst>
            <a:gd name="adj1" fmla="val -519718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</xdr:colOff>
      <xdr:row>44</xdr:row>
      <xdr:rowOff>76203</xdr:rowOff>
    </xdr:from>
    <xdr:to>
      <xdr:col>10</xdr:col>
      <xdr:colOff>16933</xdr:colOff>
      <xdr:row>74</xdr:row>
      <xdr:rowOff>118533</xdr:rowOff>
    </xdr:to>
    <xdr:cxnSp macro="">
      <xdr:nvCxnSpPr>
        <xdr:cNvPr id="77" name="Connector: Elbow 76">
          <a:extLst>
            <a:ext uri="{FF2B5EF4-FFF2-40B4-BE49-F238E27FC236}">
              <a16:creationId xmlns:a16="http://schemas.microsoft.com/office/drawing/2014/main" id="{5BC708C4-BB30-4731-9F2A-407B70E566CF}"/>
            </a:ext>
          </a:extLst>
        </xdr:cNvPr>
        <xdr:cNvCxnSpPr>
          <a:cxnSpLocks noChangeAspect="1"/>
        </xdr:cNvCxnSpPr>
      </xdr:nvCxnSpPr>
      <xdr:spPr>
        <a:xfrm>
          <a:off x="8830734" y="8940803"/>
          <a:ext cx="5952066" cy="5918197"/>
        </a:xfrm>
        <a:prstGeom prst="bentConnector3">
          <a:avLst>
            <a:gd name="adj1" fmla="val -474239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42332</xdr:colOff>
      <xdr:row>47</xdr:row>
      <xdr:rowOff>101602</xdr:rowOff>
    </xdr:from>
    <xdr:to>
      <xdr:col>10</xdr:col>
      <xdr:colOff>8466</xdr:colOff>
      <xdr:row>76</xdr:row>
      <xdr:rowOff>101600</xdr:rowOff>
    </xdr:to>
    <xdr:cxnSp macro="">
      <xdr:nvCxnSpPr>
        <xdr:cNvPr id="91" name="Connector: Elbow 90">
          <a:extLst>
            <a:ext uri="{FF2B5EF4-FFF2-40B4-BE49-F238E27FC236}">
              <a16:creationId xmlns:a16="http://schemas.microsoft.com/office/drawing/2014/main" id="{62AF1DDF-7B1A-4D6E-A695-750EF6527088}"/>
            </a:ext>
          </a:extLst>
        </xdr:cNvPr>
        <xdr:cNvCxnSpPr>
          <a:cxnSpLocks noChangeAspect="1"/>
        </xdr:cNvCxnSpPr>
      </xdr:nvCxnSpPr>
      <xdr:spPr>
        <a:xfrm>
          <a:off x="8864599" y="9567335"/>
          <a:ext cx="5706534" cy="5664198"/>
        </a:xfrm>
        <a:prstGeom prst="bentConnector3">
          <a:avLst>
            <a:gd name="adj1" fmla="val -443383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8467</xdr:colOff>
      <xdr:row>37</xdr:row>
      <xdr:rowOff>93132</xdr:rowOff>
    </xdr:from>
    <xdr:to>
      <xdr:col>13</xdr:col>
      <xdr:colOff>8466</xdr:colOff>
      <xdr:row>72</xdr:row>
      <xdr:rowOff>33870</xdr:rowOff>
    </xdr:to>
    <xdr:cxnSp macro="">
      <xdr:nvCxnSpPr>
        <xdr:cNvPr id="99" name="Connector: Elbow 98">
          <a:extLst>
            <a:ext uri="{FF2B5EF4-FFF2-40B4-BE49-F238E27FC236}">
              <a16:creationId xmlns:a16="http://schemas.microsoft.com/office/drawing/2014/main" id="{C50AC7AD-D806-4822-A01A-3BBF6ACD6E7A}"/>
            </a:ext>
          </a:extLst>
        </xdr:cNvPr>
        <xdr:cNvCxnSpPr>
          <a:cxnSpLocks noChangeAspect="1"/>
        </xdr:cNvCxnSpPr>
      </xdr:nvCxnSpPr>
      <xdr:spPr>
        <a:xfrm>
          <a:off x="10016067" y="7569199"/>
          <a:ext cx="6841066" cy="6815671"/>
        </a:xfrm>
        <a:prstGeom prst="bentConnector3">
          <a:avLst>
            <a:gd name="adj1" fmla="val 115223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1185333</xdr:colOff>
      <xdr:row>41</xdr:row>
      <xdr:rowOff>107576</xdr:rowOff>
    </xdr:from>
    <xdr:to>
      <xdr:col>15</xdr:col>
      <xdr:colOff>0</xdr:colOff>
      <xdr:row>78</xdr:row>
      <xdr:rowOff>33867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D6F57576-2318-4448-977E-ACBAB8BF694B}"/>
            </a:ext>
          </a:extLst>
        </xdr:cNvPr>
        <xdr:cNvCxnSpPr>
          <a:cxnSpLocks noChangeAspect="1"/>
        </xdr:cNvCxnSpPr>
      </xdr:nvCxnSpPr>
      <xdr:spPr>
        <a:xfrm>
          <a:off x="12395200" y="8379509"/>
          <a:ext cx="7433733" cy="7173758"/>
        </a:xfrm>
        <a:prstGeom prst="bentConnector3">
          <a:avLst>
            <a:gd name="adj1" fmla="val 203931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1151467</xdr:colOff>
      <xdr:row>44</xdr:row>
      <xdr:rowOff>107575</xdr:rowOff>
    </xdr:from>
    <xdr:to>
      <xdr:col>15</xdr:col>
      <xdr:colOff>0</xdr:colOff>
      <xdr:row>80</xdr:row>
      <xdr:rowOff>59266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21C329FE-7801-4B23-9816-91CEEA0A9D6C}"/>
            </a:ext>
          </a:extLst>
        </xdr:cNvPr>
        <xdr:cNvCxnSpPr>
          <a:cxnSpLocks/>
        </xdr:cNvCxnSpPr>
      </xdr:nvCxnSpPr>
      <xdr:spPr>
        <a:xfrm>
          <a:off x="12361334" y="8972175"/>
          <a:ext cx="7323666" cy="6995958"/>
        </a:xfrm>
        <a:prstGeom prst="bentConnector3">
          <a:avLst>
            <a:gd name="adj1" fmla="val 120520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1143000</xdr:colOff>
      <xdr:row>47</xdr:row>
      <xdr:rowOff>90643</xdr:rowOff>
    </xdr:from>
    <xdr:to>
      <xdr:col>15</xdr:col>
      <xdr:colOff>16933</xdr:colOff>
      <xdr:row>82</xdr:row>
      <xdr:rowOff>67734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F3B915BE-97BF-4971-ABDF-90AC9411DC94}"/>
            </a:ext>
          </a:extLst>
        </xdr:cNvPr>
        <xdr:cNvCxnSpPr>
          <a:cxnSpLocks/>
        </xdr:cNvCxnSpPr>
      </xdr:nvCxnSpPr>
      <xdr:spPr>
        <a:xfrm>
          <a:off x="12352867" y="9556376"/>
          <a:ext cx="7349066" cy="6809691"/>
        </a:xfrm>
        <a:prstGeom prst="bentConnector3">
          <a:avLst>
            <a:gd name="adj1" fmla="val 144009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1176867</xdr:colOff>
      <xdr:row>50</xdr:row>
      <xdr:rowOff>107576</xdr:rowOff>
    </xdr:from>
    <xdr:to>
      <xdr:col>16</xdr:col>
      <xdr:colOff>1049867</xdr:colOff>
      <xdr:row>86</xdr:row>
      <xdr:rowOff>42333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BA3E7FA-AA4A-407D-B37B-A9446492DB9E}"/>
            </a:ext>
          </a:extLst>
        </xdr:cNvPr>
        <xdr:cNvCxnSpPr>
          <a:cxnSpLocks/>
        </xdr:cNvCxnSpPr>
      </xdr:nvCxnSpPr>
      <xdr:spPr>
        <a:xfrm>
          <a:off x="14757400" y="10174443"/>
          <a:ext cx="7069667" cy="6945157"/>
        </a:xfrm>
        <a:prstGeom prst="bentConnector3">
          <a:avLst>
            <a:gd name="adj1" fmla="val 122695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1193797</xdr:colOff>
      <xdr:row>50</xdr:row>
      <xdr:rowOff>93135</xdr:rowOff>
    </xdr:from>
    <xdr:to>
      <xdr:col>12</xdr:col>
      <xdr:colOff>16937</xdr:colOff>
      <xdr:row>84</xdr:row>
      <xdr:rowOff>93136</xdr:rowOff>
    </xdr:to>
    <xdr:cxnSp macro="">
      <xdr:nvCxnSpPr>
        <xdr:cNvPr id="49" name="Connector: Elbow 48">
          <a:extLst>
            <a:ext uri="{FF2B5EF4-FFF2-40B4-BE49-F238E27FC236}">
              <a16:creationId xmlns:a16="http://schemas.microsoft.com/office/drawing/2014/main" id="{684003BD-2F92-4B99-B177-6277F788E1CD}"/>
            </a:ext>
          </a:extLst>
        </xdr:cNvPr>
        <xdr:cNvCxnSpPr>
          <a:cxnSpLocks/>
        </xdr:cNvCxnSpPr>
      </xdr:nvCxnSpPr>
      <xdr:spPr>
        <a:xfrm>
          <a:off x="11209864" y="10160002"/>
          <a:ext cx="6705606" cy="6620934"/>
        </a:xfrm>
        <a:prstGeom prst="bentConnector3">
          <a:avLst>
            <a:gd name="adj1" fmla="val -570276"/>
          </a:avLst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518160</xdr:colOff>
      <xdr:row>36</xdr:row>
      <xdr:rowOff>68580</xdr:rowOff>
    </xdr:from>
    <xdr:to>
      <xdr:col>22</xdr:col>
      <xdr:colOff>30480</xdr:colOff>
      <xdr:row>39</xdr:row>
      <xdr:rowOff>99060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B21A6C94-30D6-711B-63A1-D186A34796E7}"/>
            </a:ext>
          </a:extLst>
        </xdr:cNvPr>
        <xdr:cNvSpPr/>
      </xdr:nvSpPr>
      <xdr:spPr>
        <a:xfrm>
          <a:off x="13258800" y="266700"/>
          <a:ext cx="853440" cy="426720"/>
        </a:xfrm>
        <a:prstGeom prst="round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US" sz="2000">
              <a:solidFill>
                <a:schemeClr val="accent2">
                  <a:lumMod val="75000"/>
                </a:schemeClr>
              </a:solidFill>
            </a:rPr>
            <a:t>IL1</a:t>
          </a:r>
          <a:endParaRPr lang="ru-RU" sz="2000">
            <a:solidFill>
              <a:schemeClr val="accent2">
                <a:lumMod val="75000"/>
              </a:schemeClr>
            </a:solidFill>
          </a:endParaRPr>
        </a:p>
      </xdr:txBody>
    </xdr:sp>
    <xdr:clientData/>
  </xdr:twoCellAnchor>
  <xdr:twoCellAnchor>
    <xdr:from>
      <xdr:col>21</xdr:col>
      <xdr:colOff>236220</xdr:colOff>
      <xdr:row>39</xdr:row>
      <xdr:rowOff>99060</xdr:rowOff>
    </xdr:from>
    <xdr:to>
      <xdr:col>22</xdr:col>
      <xdr:colOff>22860</xdr:colOff>
      <xdr:row>60</xdr:row>
      <xdr:rowOff>68580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C97863F9-423F-4209-BB6E-47AFE6FDF448}"/>
            </a:ext>
          </a:extLst>
        </xdr:cNvPr>
        <xdr:cNvGrpSpPr/>
      </xdr:nvGrpSpPr>
      <xdr:grpSpPr>
        <a:xfrm>
          <a:off x="18981420" y="7693660"/>
          <a:ext cx="455507" cy="4058920"/>
          <a:chOff x="13106643" y="573971"/>
          <a:chExt cx="434350" cy="868680"/>
        </a:xfrm>
      </xdr:grpSpPr>
      <xdr:cxnSp macro="">
        <xdr:nvCxnSpPr>
          <xdr:cNvPr id="4" name="Straight Arrow Connector 3">
            <a:extLst>
              <a:ext uri="{FF2B5EF4-FFF2-40B4-BE49-F238E27FC236}">
                <a16:creationId xmlns:a16="http://schemas.microsoft.com/office/drawing/2014/main" id="{1481887B-3D25-E72B-0128-F24197431674}"/>
              </a:ext>
            </a:extLst>
          </xdr:cNvPr>
          <xdr:cNvCxnSpPr>
            <a:stCxn id="2" idx="2"/>
          </xdr:cNvCxnSpPr>
        </xdr:nvCxnSpPr>
        <xdr:spPr>
          <a:xfrm>
            <a:off x="13149688" y="573971"/>
            <a:ext cx="7620" cy="868680"/>
          </a:xfrm>
          <a:prstGeom prst="straightConnector1">
            <a:avLst/>
          </a:prstGeom>
          <a:ln>
            <a:tailEnd type="triangle"/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AF84168-DD58-4694-C9A4-223AFC4F069D}"/>
              </a:ext>
            </a:extLst>
          </xdr:cNvPr>
          <xdr:cNvSpPr txBox="1"/>
        </xdr:nvSpPr>
        <xdr:spPr>
          <a:xfrm>
            <a:off x="13106643" y="830166"/>
            <a:ext cx="434350" cy="45987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r>
              <a:rPr lang="en-US" sz="1100">
                <a:solidFill>
                  <a:schemeClr val="accent2">
                    <a:lumMod val="50000"/>
                  </a:schemeClr>
                </a:solidFill>
              </a:rPr>
              <a:t>0,65</a:t>
            </a:r>
            <a:endParaRPr lang="ru-RU" sz="1100">
              <a:solidFill>
                <a:schemeClr val="accent2">
                  <a:lumMod val="50000"/>
                </a:schemeClr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110067</xdr:colOff>
      <xdr:row>20</xdr:row>
      <xdr:rowOff>25400</xdr:rowOff>
    </xdr:from>
    <xdr:to>
      <xdr:col>7</xdr:col>
      <xdr:colOff>30480</xdr:colOff>
      <xdr:row>58</xdr:row>
      <xdr:rowOff>22860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19FD4D42-60E4-4364-9ACD-058D3E0F2808}"/>
            </a:ext>
          </a:extLst>
        </xdr:cNvPr>
        <xdr:cNvCxnSpPr/>
      </xdr:nvCxnSpPr>
      <xdr:spPr>
        <a:xfrm>
          <a:off x="4191000" y="3987800"/>
          <a:ext cx="2308013" cy="5356860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152400</xdr:colOff>
      <xdr:row>3</xdr:row>
      <xdr:rowOff>190500</xdr:rowOff>
    </xdr:from>
    <xdr:to>
      <xdr:col>3</xdr:col>
      <xdr:colOff>0</xdr:colOff>
      <xdr:row>7</xdr:row>
      <xdr:rowOff>68580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2D2F4E84-A221-89DC-B10B-5387633CD569}"/>
            </a:ext>
          </a:extLst>
        </xdr:cNvPr>
        <xdr:cNvCxnSpPr/>
      </xdr:nvCxnSpPr>
      <xdr:spPr>
        <a:xfrm>
          <a:off x="1493520" y="792480"/>
          <a:ext cx="594360" cy="685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525780</xdr:colOff>
      <xdr:row>3</xdr:row>
      <xdr:rowOff>190500</xdr:rowOff>
    </xdr:from>
    <xdr:to>
      <xdr:col>3</xdr:col>
      <xdr:colOff>350520</xdr:colOff>
      <xdr:row>5</xdr:row>
      <xdr:rowOff>22860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A2860644-0C41-439E-A6F1-A6232E12A154}"/>
            </a:ext>
          </a:extLst>
        </xdr:cNvPr>
        <xdr:cNvCxnSpPr/>
      </xdr:nvCxnSpPr>
      <xdr:spPr>
        <a:xfrm>
          <a:off x="1028700" y="792480"/>
          <a:ext cx="571500" cy="23622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335280</xdr:colOff>
      <xdr:row>8</xdr:row>
      <xdr:rowOff>15240</xdr:rowOff>
    </xdr:from>
    <xdr:to>
      <xdr:col>4</xdr:col>
      <xdr:colOff>106680</xdr:colOff>
      <xdr:row>17</xdr:row>
      <xdr:rowOff>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D6E70B1A-CC90-229B-0FAF-B9C300F556B9}"/>
            </a:ext>
          </a:extLst>
        </xdr:cNvPr>
        <xdr:cNvCxnSpPr/>
      </xdr:nvCxnSpPr>
      <xdr:spPr>
        <a:xfrm>
          <a:off x="1645920" y="1630680"/>
          <a:ext cx="579120" cy="14020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152400</xdr:rowOff>
    </xdr:from>
    <xdr:to>
      <xdr:col>5</xdr:col>
      <xdr:colOff>396240</xdr:colOff>
      <xdr:row>12</xdr:row>
      <xdr:rowOff>22860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21DE366B-87AE-487C-99A8-BCCC87AE1222}"/>
            </a:ext>
          </a:extLst>
        </xdr:cNvPr>
        <xdr:cNvCxnSpPr/>
      </xdr:nvCxnSpPr>
      <xdr:spPr>
        <a:xfrm>
          <a:off x="2895600" y="1158240"/>
          <a:ext cx="1592580" cy="12801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403860</xdr:colOff>
      <xdr:row>10</xdr:row>
      <xdr:rowOff>7620</xdr:rowOff>
    </xdr:from>
    <xdr:to>
      <xdr:col>6</xdr:col>
      <xdr:colOff>236220</xdr:colOff>
      <xdr:row>27</xdr:row>
      <xdr:rowOff>0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7DDC6099-EE6D-4156-BD36-BB131995CF3D}"/>
            </a:ext>
          </a:extLst>
        </xdr:cNvPr>
        <xdr:cNvCxnSpPr/>
      </xdr:nvCxnSpPr>
      <xdr:spPr>
        <a:xfrm>
          <a:off x="2522220" y="2019300"/>
          <a:ext cx="1447800" cy="3215640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609600</xdr:colOff>
      <xdr:row>7</xdr:row>
      <xdr:rowOff>190500</xdr:rowOff>
    </xdr:from>
    <xdr:to>
      <xdr:col>4</xdr:col>
      <xdr:colOff>365760</xdr:colOff>
      <xdr:row>9</xdr:row>
      <xdr:rowOff>0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F9B818FD-5FBB-474A-AF17-256515D5A09B}"/>
            </a:ext>
          </a:extLst>
        </xdr:cNvPr>
        <xdr:cNvCxnSpPr/>
      </xdr:nvCxnSpPr>
      <xdr:spPr>
        <a:xfrm>
          <a:off x="1859280" y="1600200"/>
          <a:ext cx="426720" cy="213360"/>
        </a:xfrm>
        <a:prstGeom prst="straightConnector1">
          <a:avLst/>
        </a:prstGeom>
        <a:ln cap="rnd">
          <a:prstDash val="lgDash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685800</xdr:colOff>
      <xdr:row>12</xdr:row>
      <xdr:rowOff>198120</xdr:rowOff>
    </xdr:from>
    <xdr:to>
      <xdr:col>6</xdr:col>
      <xdr:colOff>236220</xdr:colOff>
      <xdr:row>14</xdr:row>
      <xdr:rowOff>30480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B4C9BEF6-19FE-460F-AF0C-2E06E2DFAFFD}"/>
            </a:ext>
          </a:extLst>
        </xdr:cNvPr>
        <xdr:cNvCxnSpPr/>
      </xdr:nvCxnSpPr>
      <xdr:spPr>
        <a:xfrm>
          <a:off x="3611880" y="2613660"/>
          <a:ext cx="358140" cy="23622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731520</xdr:colOff>
      <xdr:row>28</xdr:row>
      <xdr:rowOff>7620</xdr:rowOff>
    </xdr:from>
    <xdr:to>
      <xdr:col>7</xdr:col>
      <xdr:colOff>91440</xdr:colOff>
      <xdr:row>29</xdr:row>
      <xdr:rowOff>7620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89C22313-2DD9-435B-85A8-4562F22B4289}"/>
            </a:ext>
          </a:extLst>
        </xdr:cNvPr>
        <xdr:cNvCxnSpPr/>
      </xdr:nvCxnSpPr>
      <xdr:spPr>
        <a:xfrm>
          <a:off x="5044440" y="3649980"/>
          <a:ext cx="472440" cy="20574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541020</xdr:colOff>
      <xdr:row>18</xdr:row>
      <xdr:rowOff>0</xdr:rowOff>
    </xdr:from>
    <xdr:to>
      <xdr:col>5</xdr:col>
      <xdr:colOff>152400</xdr:colOff>
      <xdr:row>19</xdr:row>
      <xdr:rowOff>15240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E42D28FA-6E31-46CE-B64D-039B0626046F}"/>
            </a:ext>
          </a:extLst>
        </xdr:cNvPr>
        <xdr:cNvCxnSpPr/>
      </xdr:nvCxnSpPr>
      <xdr:spPr>
        <a:xfrm>
          <a:off x="3299460" y="2636520"/>
          <a:ext cx="281940" cy="21336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4</xdr:col>
      <xdr:colOff>228600</xdr:colOff>
      <xdr:row>18</xdr:row>
      <xdr:rowOff>7620</xdr:rowOff>
    </xdr:from>
    <xdr:to>
      <xdr:col>5</xdr:col>
      <xdr:colOff>129540</xdr:colOff>
      <xdr:row>39</xdr:row>
      <xdr:rowOff>15240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40437D72-9468-4EF6-9225-8AA671934E79}"/>
            </a:ext>
          </a:extLst>
        </xdr:cNvPr>
        <xdr:cNvCxnSpPr/>
      </xdr:nvCxnSpPr>
      <xdr:spPr>
        <a:xfrm>
          <a:off x="2910840" y="2628900"/>
          <a:ext cx="571500" cy="10210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198120</xdr:colOff>
      <xdr:row>12</xdr:row>
      <xdr:rowOff>190500</xdr:rowOff>
    </xdr:from>
    <xdr:to>
      <xdr:col>6</xdr:col>
      <xdr:colOff>167640</xdr:colOff>
      <xdr:row>22</xdr:row>
      <xdr:rowOff>15240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62977D7C-E554-4ED4-8704-409D5760D5E0}"/>
            </a:ext>
          </a:extLst>
        </xdr:cNvPr>
        <xdr:cNvCxnSpPr/>
      </xdr:nvCxnSpPr>
      <xdr:spPr>
        <a:xfrm>
          <a:off x="3124200" y="2606040"/>
          <a:ext cx="777240" cy="18364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251460</xdr:colOff>
      <xdr:row>39</xdr:row>
      <xdr:rowOff>198120</xdr:rowOff>
    </xdr:from>
    <xdr:to>
      <xdr:col>6</xdr:col>
      <xdr:colOff>236220</xdr:colOff>
      <xdr:row>76</xdr:row>
      <xdr:rowOff>7620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9E49BEC7-C1E9-43C1-BC6D-5B39E583CA30}"/>
            </a:ext>
          </a:extLst>
        </xdr:cNvPr>
        <xdr:cNvCxnSpPr/>
      </xdr:nvCxnSpPr>
      <xdr:spPr>
        <a:xfrm>
          <a:off x="3604260" y="4457700"/>
          <a:ext cx="655320" cy="16383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54</xdr:row>
      <xdr:rowOff>0</xdr:rowOff>
    </xdr:from>
    <xdr:to>
      <xdr:col>7</xdr:col>
      <xdr:colOff>1501140</xdr:colOff>
      <xdr:row>55</xdr:row>
      <xdr:rowOff>99060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127817F7-B84E-4D76-8C54-35E45A51FDE3}"/>
            </a:ext>
          </a:extLst>
        </xdr:cNvPr>
        <xdr:cNvCxnSpPr/>
      </xdr:nvCxnSpPr>
      <xdr:spPr>
        <a:xfrm>
          <a:off x="5928360" y="5669280"/>
          <a:ext cx="853440" cy="29718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7</xdr:col>
      <xdr:colOff>312420</xdr:colOff>
      <xdr:row>53</xdr:row>
      <xdr:rowOff>190500</xdr:rowOff>
    </xdr:from>
    <xdr:to>
      <xdr:col>8</xdr:col>
      <xdr:colOff>335280</xdr:colOff>
      <xdr:row>84</xdr:row>
      <xdr:rowOff>0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217102E5-A5F8-4697-9D10-3FC27ED82438}"/>
            </a:ext>
          </a:extLst>
        </xdr:cNvPr>
        <xdr:cNvCxnSpPr/>
      </xdr:nvCxnSpPr>
      <xdr:spPr>
        <a:xfrm>
          <a:off x="4754880" y="5654040"/>
          <a:ext cx="929640" cy="34366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137160</xdr:colOff>
      <xdr:row>28</xdr:row>
      <xdr:rowOff>7620</xdr:rowOff>
    </xdr:from>
    <xdr:to>
      <xdr:col>7</xdr:col>
      <xdr:colOff>106680</xdr:colOff>
      <xdr:row>53</xdr:row>
      <xdr:rowOff>15240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C45DDB6F-70F6-41F5-810A-C954AE203C9E}"/>
            </a:ext>
          </a:extLst>
        </xdr:cNvPr>
        <xdr:cNvCxnSpPr/>
      </xdr:nvCxnSpPr>
      <xdr:spPr>
        <a:xfrm>
          <a:off x="4450080" y="3649980"/>
          <a:ext cx="937260" cy="1828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883920</xdr:colOff>
      <xdr:row>59</xdr:row>
      <xdr:rowOff>0</xdr:rowOff>
    </xdr:from>
    <xdr:to>
      <xdr:col>8</xdr:col>
      <xdr:colOff>327660</xdr:colOff>
      <xdr:row>60</xdr:row>
      <xdr:rowOff>30480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DB1AD083-3CBA-4536-B51B-227E5B76442E}"/>
            </a:ext>
          </a:extLst>
        </xdr:cNvPr>
        <xdr:cNvCxnSpPr/>
      </xdr:nvCxnSpPr>
      <xdr:spPr>
        <a:xfrm>
          <a:off x="5326380" y="6675120"/>
          <a:ext cx="350520" cy="22860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5</xdr:col>
      <xdr:colOff>617220</xdr:colOff>
      <xdr:row>40</xdr:row>
      <xdr:rowOff>0</xdr:rowOff>
    </xdr:from>
    <xdr:to>
      <xdr:col>6</xdr:col>
      <xdr:colOff>0</xdr:colOff>
      <xdr:row>41</xdr:row>
      <xdr:rowOff>22860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C3D4250B-D0BA-4A30-992F-65F389514640}"/>
            </a:ext>
          </a:extLst>
        </xdr:cNvPr>
        <xdr:cNvCxnSpPr/>
      </xdr:nvCxnSpPr>
      <xdr:spPr>
        <a:xfrm>
          <a:off x="4046220" y="4663440"/>
          <a:ext cx="266700" cy="22098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419100</xdr:colOff>
      <xdr:row>63</xdr:row>
      <xdr:rowOff>190500</xdr:rowOff>
    </xdr:from>
    <xdr:to>
      <xdr:col>9</xdr:col>
      <xdr:colOff>571500</xdr:colOff>
      <xdr:row>65</xdr:row>
      <xdr:rowOff>45720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987AC5F6-46C3-40E2-894B-C0FD1106B7B1}"/>
            </a:ext>
          </a:extLst>
        </xdr:cNvPr>
        <xdr:cNvCxnSpPr/>
      </xdr:nvCxnSpPr>
      <xdr:spPr>
        <a:xfrm>
          <a:off x="9296400" y="9662160"/>
          <a:ext cx="152400" cy="259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</xdr:col>
      <xdr:colOff>304800</xdr:colOff>
      <xdr:row>30</xdr:row>
      <xdr:rowOff>15240</xdr:rowOff>
    </xdr:from>
    <xdr:to>
      <xdr:col>9</xdr:col>
      <xdr:colOff>297180</xdr:colOff>
      <xdr:row>62</xdr:row>
      <xdr:rowOff>190500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C7F18CA2-FB43-456E-9440-0DE6FBB76D3A}"/>
            </a:ext>
          </a:extLst>
        </xdr:cNvPr>
        <xdr:cNvCxnSpPr/>
      </xdr:nvCxnSpPr>
      <xdr:spPr>
        <a:xfrm>
          <a:off x="6492240" y="4069080"/>
          <a:ext cx="1005840" cy="3390900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358140</xdr:colOff>
      <xdr:row>64</xdr:row>
      <xdr:rowOff>15240</xdr:rowOff>
    </xdr:from>
    <xdr:to>
      <xdr:col>10</xdr:col>
      <xdr:colOff>106680</xdr:colOff>
      <xdr:row>98</xdr:row>
      <xdr:rowOff>190500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32D93036-24B2-47F3-97CF-5232330DA7A1}"/>
            </a:ext>
          </a:extLst>
        </xdr:cNvPr>
        <xdr:cNvCxnSpPr/>
      </xdr:nvCxnSpPr>
      <xdr:spPr>
        <a:xfrm>
          <a:off x="7559040" y="7696200"/>
          <a:ext cx="914400" cy="44272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38100</xdr:colOff>
      <xdr:row>114</xdr:row>
      <xdr:rowOff>0</xdr:rowOff>
    </xdr:from>
    <xdr:to>
      <xdr:col>16</xdr:col>
      <xdr:colOff>533400</xdr:colOff>
      <xdr:row>143</xdr:row>
      <xdr:rowOff>0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40799B8D-3B1D-40F5-9AD5-0D80BFB220E8}"/>
            </a:ext>
          </a:extLst>
        </xdr:cNvPr>
        <xdr:cNvCxnSpPr/>
      </xdr:nvCxnSpPr>
      <xdr:spPr>
        <a:xfrm>
          <a:off x="11026140" y="12954000"/>
          <a:ext cx="1836420" cy="4556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685800</xdr:colOff>
      <xdr:row>87</xdr:row>
      <xdr:rowOff>190500</xdr:rowOff>
    </xdr:from>
    <xdr:to>
      <xdr:col>12</xdr:col>
      <xdr:colOff>22860</xdr:colOff>
      <xdr:row>128</xdr:row>
      <xdr:rowOff>83820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1CBE3198-4A09-4A07-9346-B2E7C56E303A}"/>
            </a:ext>
          </a:extLst>
        </xdr:cNvPr>
        <xdr:cNvCxnSpPr/>
      </xdr:nvCxnSpPr>
      <xdr:spPr>
        <a:xfrm>
          <a:off x="7650480" y="10652760"/>
          <a:ext cx="952500" cy="4648200"/>
        </a:xfrm>
        <a:prstGeom prst="straightConnector1">
          <a:avLst/>
        </a:prstGeom>
        <a:ln cap="rnd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220980</xdr:colOff>
      <xdr:row>59</xdr:row>
      <xdr:rowOff>7620</xdr:rowOff>
    </xdr:from>
    <xdr:to>
      <xdr:col>8</xdr:col>
      <xdr:colOff>45720</xdr:colOff>
      <xdr:row>86</xdr:row>
      <xdr:rowOff>182880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96DFAAE9-52A4-44E2-BA47-8C64A870162E}"/>
            </a:ext>
          </a:extLst>
        </xdr:cNvPr>
        <xdr:cNvCxnSpPr/>
      </xdr:nvCxnSpPr>
      <xdr:spPr>
        <a:xfrm>
          <a:off x="5501640" y="6682740"/>
          <a:ext cx="1341120" cy="299466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678180</xdr:colOff>
      <xdr:row>41</xdr:row>
      <xdr:rowOff>167640</xdr:rowOff>
    </xdr:from>
    <xdr:to>
      <xdr:col>9</xdr:col>
      <xdr:colOff>381000</xdr:colOff>
      <xdr:row>89</xdr:row>
      <xdr:rowOff>190500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E16D1939-E575-41A2-AB5C-52E17A03FDAE}"/>
            </a:ext>
          </a:extLst>
        </xdr:cNvPr>
        <xdr:cNvCxnSpPr/>
      </xdr:nvCxnSpPr>
      <xdr:spPr>
        <a:xfrm>
          <a:off x="5219700" y="5829300"/>
          <a:ext cx="1318260" cy="5219700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312420</xdr:colOff>
      <xdr:row>65</xdr:row>
      <xdr:rowOff>167640</xdr:rowOff>
    </xdr:from>
    <xdr:to>
      <xdr:col>13</xdr:col>
      <xdr:colOff>182880</xdr:colOff>
      <xdr:row>113</xdr:row>
      <xdr:rowOff>45720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9CD4806F-B188-475D-AC3B-94582DE1A06C}"/>
            </a:ext>
          </a:extLst>
        </xdr:cNvPr>
        <xdr:cNvCxnSpPr/>
      </xdr:nvCxnSpPr>
      <xdr:spPr>
        <a:xfrm>
          <a:off x="8084820" y="8846820"/>
          <a:ext cx="1485900" cy="4632960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55</xdr:row>
      <xdr:rowOff>182880</xdr:rowOff>
    </xdr:from>
    <xdr:to>
      <xdr:col>10</xdr:col>
      <xdr:colOff>297180</xdr:colOff>
      <xdr:row>93</xdr:row>
      <xdr:rowOff>0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7D972A88-D956-4C3C-A93D-28816E776B6A}"/>
            </a:ext>
          </a:extLst>
        </xdr:cNvPr>
        <xdr:cNvCxnSpPr/>
      </xdr:nvCxnSpPr>
      <xdr:spPr>
        <a:xfrm>
          <a:off x="9098280" y="8046720"/>
          <a:ext cx="1272540" cy="4800600"/>
        </a:xfrm>
        <a:prstGeom prst="straightConnector1">
          <a:avLst/>
        </a:prstGeom>
        <a:ln>
          <a:prstDash val="solid"/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647700</xdr:colOff>
      <xdr:row>60</xdr:row>
      <xdr:rowOff>160020</xdr:rowOff>
    </xdr:from>
    <xdr:to>
      <xdr:col>10</xdr:col>
      <xdr:colOff>609600</xdr:colOff>
      <xdr:row>96</xdr:row>
      <xdr:rowOff>15240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18628778-1F91-4005-8B2C-8B73BCBB296A}"/>
            </a:ext>
          </a:extLst>
        </xdr:cNvPr>
        <xdr:cNvCxnSpPr/>
      </xdr:nvCxnSpPr>
      <xdr:spPr>
        <a:xfrm>
          <a:off x="6804660" y="7833360"/>
          <a:ext cx="769620" cy="4427220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396240</xdr:colOff>
      <xdr:row>77</xdr:row>
      <xdr:rowOff>15240</xdr:rowOff>
    </xdr:from>
    <xdr:to>
      <xdr:col>9</xdr:col>
      <xdr:colOff>304800</xdr:colOff>
      <xdr:row>121</xdr:row>
      <xdr:rowOff>190500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656C23CD-804F-49E7-9EE6-B62936CBC96F}"/>
            </a:ext>
          </a:extLst>
        </xdr:cNvPr>
        <xdr:cNvCxnSpPr/>
      </xdr:nvCxnSpPr>
      <xdr:spPr>
        <a:xfrm>
          <a:off x="6583680" y="8702040"/>
          <a:ext cx="922020" cy="46405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464820</xdr:colOff>
      <xdr:row>84</xdr:row>
      <xdr:rowOff>175260</xdr:rowOff>
    </xdr:from>
    <xdr:to>
      <xdr:col>11</xdr:col>
      <xdr:colOff>510540</xdr:colOff>
      <xdr:row>124</xdr:row>
      <xdr:rowOff>175260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259973EE-729F-4B84-965D-A3901DCD9B27}"/>
            </a:ext>
          </a:extLst>
        </xdr:cNvPr>
        <xdr:cNvCxnSpPr/>
      </xdr:nvCxnSpPr>
      <xdr:spPr>
        <a:xfrm>
          <a:off x="7429500" y="10043160"/>
          <a:ext cx="853440" cy="45567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533400</xdr:colOff>
      <xdr:row>90</xdr:row>
      <xdr:rowOff>182880</xdr:rowOff>
    </xdr:from>
    <xdr:to>
      <xdr:col>13</xdr:col>
      <xdr:colOff>213360</xdr:colOff>
      <xdr:row>130</xdr:row>
      <xdr:rowOff>190500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4D7877D4-FA6A-41AD-BD93-DF1DC733324D}"/>
            </a:ext>
          </a:extLst>
        </xdr:cNvPr>
        <xdr:cNvCxnSpPr/>
      </xdr:nvCxnSpPr>
      <xdr:spPr>
        <a:xfrm>
          <a:off x="9509760" y="10492740"/>
          <a:ext cx="1021080" cy="46329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335280</xdr:colOff>
      <xdr:row>93</xdr:row>
      <xdr:rowOff>182880</xdr:rowOff>
    </xdr:from>
    <xdr:to>
      <xdr:col>13</xdr:col>
      <xdr:colOff>22860</xdr:colOff>
      <xdr:row>134</xdr:row>
      <xdr:rowOff>30480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8CA837E9-D6A9-476A-A415-4C0E7D2419CD}"/>
            </a:ext>
          </a:extLst>
        </xdr:cNvPr>
        <xdr:cNvCxnSpPr/>
      </xdr:nvCxnSpPr>
      <xdr:spPr>
        <a:xfrm>
          <a:off x="9311640" y="11102340"/>
          <a:ext cx="1028700" cy="4655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571500</xdr:colOff>
      <xdr:row>96</xdr:row>
      <xdr:rowOff>190500</xdr:rowOff>
    </xdr:from>
    <xdr:to>
      <xdr:col>13</xdr:col>
      <xdr:colOff>259080</xdr:colOff>
      <xdr:row>137</xdr:row>
      <xdr:rowOff>53340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8E5EF717-1137-45EE-92D3-06EB4F44A38E}"/>
            </a:ext>
          </a:extLst>
        </xdr:cNvPr>
        <xdr:cNvCxnSpPr/>
      </xdr:nvCxnSpPr>
      <xdr:spPr>
        <a:xfrm>
          <a:off x="9547860" y="11719560"/>
          <a:ext cx="1028700" cy="4655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129540</xdr:colOff>
      <xdr:row>99</xdr:row>
      <xdr:rowOff>144780</xdr:rowOff>
    </xdr:from>
    <xdr:to>
      <xdr:col>13</xdr:col>
      <xdr:colOff>487680</xdr:colOff>
      <xdr:row>140</xdr:row>
      <xdr:rowOff>22860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6B8723AF-0DD1-4C95-85BF-1652BF9C508F}"/>
            </a:ext>
          </a:extLst>
        </xdr:cNvPr>
        <xdr:cNvCxnSpPr/>
      </xdr:nvCxnSpPr>
      <xdr:spPr>
        <a:xfrm>
          <a:off x="9776460" y="12283440"/>
          <a:ext cx="1028700" cy="46558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778934</xdr:colOff>
      <xdr:row>23</xdr:row>
      <xdr:rowOff>0</xdr:rowOff>
    </xdr:from>
    <xdr:to>
      <xdr:col>7</xdr:col>
      <xdr:colOff>68580</xdr:colOff>
      <xdr:row>24</xdr:row>
      <xdr:rowOff>30480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4AE9875F-8BD6-4EB3-9568-714959E924A0}"/>
            </a:ext>
          </a:extLst>
        </xdr:cNvPr>
        <xdr:cNvCxnSpPr/>
      </xdr:nvCxnSpPr>
      <xdr:spPr>
        <a:xfrm>
          <a:off x="6053667" y="4563533"/>
          <a:ext cx="483446" cy="225214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990600</xdr:colOff>
      <xdr:row>14</xdr:row>
      <xdr:rowOff>114300</xdr:rowOff>
    </xdr:from>
    <xdr:to>
      <xdr:col>8</xdr:col>
      <xdr:colOff>694267</xdr:colOff>
      <xdr:row>33</xdr:row>
      <xdr:rowOff>59266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E53B0AE3-DC1B-423B-B2F0-80A0D909E370}"/>
            </a:ext>
          </a:extLst>
        </xdr:cNvPr>
        <xdr:cNvCxnSpPr/>
      </xdr:nvCxnSpPr>
      <xdr:spPr>
        <a:xfrm>
          <a:off x="7459133" y="2891367"/>
          <a:ext cx="897467" cy="3704166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342900</xdr:colOff>
      <xdr:row>22</xdr:row>
      <xdr:rowOff>190500</xdr:rowOff>
    </xdr:from>
    <xdr:to>
      <xdr:col>7</xdr:col>
      <xdr:colOff>144780</xdr:colOff>
      <xdr:row>47</xdr:row>
      <xdr:rowOff>182880</xdr:rowOff>
    </xdr:to>
    <xdr:cxnSp macro="">
      <xdr:nvCxnSpPr>
        <xdr:cNvPr id="309" name="Straight Arrow Connector 308">
          <a:extLst>
            <a:ext uri="{FF2B5EF4-FFF2-40B4-BE49-F238E27FC236}">
              <a16:creationId xmlns:a16="http://schemas.microsoft.com/office/drawing/2014/main" id="{D11D5E28-B400-4508-8E4A-3CDEBBEBD56A}"/>
            </a:ext>
          </a:extLst>
        </xdr:cNvPr>
        <xdr:cNvCxnSpPr/>
      </xdr:nvCxnSpPr>
      <xdr:spPr>
        <a:xfrm>
          <a:off x="5631180" y="4617720"/>
          <a:ext cx="998220" cy="2811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8</xdr:col>
      <xdr:colOff>1021080</xdr:colOff>
      <xdr:row>24</xdr:row>
      <xdr:rowOff>91440</xdr:rowOff>
    </xdr:from>
    <xdr:to>
      <xdr:col>9</xdr:col>
      <xdr:colOff>482600</xdr:colOff>
      <xdr:row>44</xdr:row>
      <xdr:rowOff>25400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14A18EA3-0763-4702-A9C8-241EDE01DA35}"/>
            </a:ext>
          </a:extLst>
        </xdr:cNvPr>
        <xdr:cNvCxnSpPr/>
      </xdr:nvCxnSpPr>
      <xdr:spPr>
        <a:xfrm>
          <a:off x="8683413" y="4849707"/>
          <a:ext cx="655320" cy="2507826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647700</xdr:colOff>
      <xdr:row>49</xdr:row>
      <xdr:rowOff>0</xdr:rowOff>
    </xdr:from>
    <xdr:to>
      <xdr:col>7</xdr:col>
      <xdr:colOff>1501140</xdr:colOff>
      <xdr:row>50</xdr:row>
      <xdr:rowOff>99060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605CA47C-E9FB-4C3C-8434-F542B9262EC3}"/>
            </a:ext>
          </a:extLst>
        </xdr:cNvPr>
        <xdr:cNvCxnSpPr/>
      </xdr:nvCxnSpPr>
      <xdr:spPr>
        <a:xfrm>
          <a:off x="7132320" y="8663940"/>
          <a:ext cx="548640" cy="29718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1120140</xdr:colOff>
      <xdr:row>50</xdr:row>
      <xdr:rowOff>106680</xdr:rowOff>
    </xdr:from>
    <xdr:to>
      <xdr:col>12</xdr:col>
      <xdr:colOff>609600</xdr:colOff>
      <xdr:row>102</xdr:row>
      <xdr:rowOff>25400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D57C98B8-34B8-4068-BE92-BEDDFEB885CD}"/>
            </a:ext>
          </a:extLst>
        </xdr:cNvPr>
        <xdr:cNvCxnSpPr/>
      </xdr:nvCxnSpPr>
      <xdr:spPr>
        <a:xfrm>
          <a:off x="9976273" y="7845213"/>
          <a:ext cx="3070860" cy="8537787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426720</xdr:colOff>
      <xdr:row>48</xdr:row>
      <xdr:rowOff>198120</xdr:rowOff>
    </xdr:from>
    <xdr:to>
      <xdr:col>8</xdr:col>
      <xdr:colOff>251460</xdr:colOff>
      <xdr:row>79</xdr:row>
      <xdr:rowOff>38100</xdr:rowOff>
    </xdr:to>
    <xdr:cxnSp macro="">
      <xdr:nvCxnSpPr>
        <xdr:cNvPr id="314" name="Straight Arrow Connector 313">
          <a:extLst>
            <a:ext uri="{FF2B5EF4-FFF2-40B4-BE49-F238E27FC236}">
              <a16:creationId xmlns:a16="http://schemas.microsoft.com/office/drawing/2014/main" id="{27820115-254B-4D83-B5A0-8D49FFD20E03}"/>
            </a:ext>
          </a:extLst>
        </xdr:cNvPr>
        <xdr:cNvCxnSpPr/>
      </xdr:nvCxnSpPr>
      <xdr:spPr>
        <a:xfrm>
          <a:off x="6911340" y="7650480"/>
          <a:ext cx="1021080" cy="44500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618067</xdr:colOff>
      <xdr:row>5</xdr:row>
      <xdr:rowOff>16936</xdr:rowOff>
    </xdr:from>
    <xdr:to>
      <xdr:col>5</xdr:col>
      <xdr:colOff>1151467</xdr:colOff>
      <xdr:row>12</xdr:row>
      <xdr:rowOff>135467</xdr:rowOff>
    </xdr:to>
    <xdr:cxnSp macro="">
      <xdr:nvCxnSpPr>
        <xdr:cNvPr id="322" name="Connector: Elbow 321">
          <a:extLst>
            <a:ext uri="{FF2B5EF4-FFF2-40B4-BE49-F238E27FC236}">
              <a16:creationId xmlns:a16="http://schemas.microsoft.com/office/drawing/2014/main" id="{4ED31B49-7EDE-D839-38AB-35A6F68E6673}"/>
            </a:ext>
          </a:extLst>
        </xdr:cNvPr>
        <xdr:cNvCxnSpPr/>
      </xdr:nvCxnSpPr>
      <xdr:spPr>
        <a:xfrm>
          <a:off x="3505200" y="1007536"/>
          <a:ext cx="1727200" cy="1507064"/>
        </a:xfrm>
        <a:prstGeom prst="bentConnector3">
          <a:avLst>
            <a:gd name="adj1" fmla="val 159804"/>
          </a:avLst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731520</xdr:colOff>
      <xdr:row>45</xdr:row>
      <xdr:rowOff>7620</xdr:rowOff>
    </xdr:from>
    <xdr:to>
      <xdr:col>10</xdr:col>
      <xdr:colOff>91440</xdr:colOff>
      <xdr:row>46</xdr:row>
      <xdr:rowOff>7620</xdr:rowOff>
    </xdr:to>
    <xdr:cxnSp macro="">
      <xdr:nvCxnSpPr>
        <xdr:cNvPr id="352" name="Straight Arrow Connector 351">
          <a:extLst>
            <a:ext uri="{FF2B5EF4-FFF2-40B4-BE49-F238E27FC236}">
              <a16:creationId xmlns:a16="http://schemas.microsoft.com/office/drawing/2014/main" id="{BA7F815C-A29B-4C72-97AD-3C2A9BF19304}"/>
            </a:ext>
          </a:extLst>
        </xdr:cNvPr>
        <xdr:cNvCxnSpPr/>
      </xdr:nvCxnSpPr>
      <xdr:spPr>
        <a:xfrm>
          <a:off x="6006253" y="5553287"/>
          <a:ext cx="553720" cy="20320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301414</xdr:colOff>
      <xdr:row>44</xdr:row>
      <xdr:rowOff>187114</xdr:rowOff>
    </xdr:from>
    <xdr:to>
      <xdr:col>10</xdr:col>
      <xdr:colOff>1049867</xdr:colOff>
      <xdr:row>104</xdr:row>
      <xdr:rowOff>0</xdr:rowOff>
    </xdr:to>
    <xdr:cxnSp macro="">
      <xdr:nvCxnSpPr>
        <xdr:cNvPr id="354" name="Straight Arrow Connector 353">
          <a:extLst>
            <a:ext uri="{FF2B5EF4-FFF2-40B4-BE49-F238E27FC236}">
              <a16:creationId xmlns:a16="http://schemas.microsoft.com/office/drawing/2014/main" id="{C8ACD9D4-F3F6-4A67-8108-60200D1D7CBE}"/>
            </a:ext>
          </a:extLst>
        </xdr:cNvPr>
        <xdr:cNvCxnSpPr/>
      </xdr:nvCxnSpPr>
      <xdr:spPr>
        <a:xfrm>
          <a:off x="9157547" y="7519247"/>
          <a:ext cx="1942253" cy="1001522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558800</xdr:colOff>
      <xdr:row>46</xdr:row>
      <xdr:rowOff>160866</xdr:rowOff>
    </xdr:from>
    <xdr:to>
      <xdr:col>13</xdr:col>
      <xdr:colOff>635000</xdr:colOff>
      <xdr:row>115</xdr:row>
      <xdr:rowOff>16933</xdr:rowOff>
    </xdr:to>
    <xdr:cxnSp macro="">
      <xdr:nvCxnSpPr>
        <xdr:cNvPr id="355" name="Straight Arrow Connector 354">
          <a:extLst>
            <a:ext uri="{FF2B5EF4-FFF2-40B4-BE49-F238E27FC236}">
              <a16:creationId xmlns:a16="http://schemas.microsoft.com/office/drawing/2014/main" id="{F5438B71-AC76-49AE-AE56-B6C45ED5EC57}"/>
            </a:ext>
          </a:extLst>
        </xdr:cNvPr>
        <xdr:cNvCxnSpPr/>
      </xdr:nvCxnSpPr>
      <xdr:spPr>
        <a:xfrm>
          <a:off x="11802533" y="7890933"/>
          <a:ext cx="2463800" cy="10439400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731520</xdr:colOff>
      <xdr:row>34</xdr:row>
      <xdr:rowOff>7620</xdr:rowOff>
    </xdr:from>
    <xdr:to>
      <xdr:col>9</xdr:col>
      <xdr:colOff>91440</xdr:colOff>
      <xdr:row>35</xdr:row>
      <xdr:rowOff>7620</xdr:rowOff>
    </xdr:to>
    <xdr:cxnSp macro="">
      <xdr:nvCxnSpPr>
        <xdr:cNvPr id="363" name="Straight Arrow Connector 362">
          <a:extLst>
            <a:ext uri="{FF2B5EF4-FFF2-40B4-BE49-F238E27FC236}">
              <a16:creationId xmlns:a16="http://schemas.microsoft.com/office/drawing/2014/main" id="{4373D9F0-3225-4F44-92D9-3F45F469E4EA}"/>
            </a:ext>
          </a:extLst>
        </xdr:cNvPr>
        <xdr:cNvCxnSpPr/>
      </xdr:nvCxnSpPr>
      <xdr:spPr>
        <a:xfrm>
          <a:off x="6006253" y="5553287"/>
          <a:ext cx="553720" cy="20320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245534</xdr:colOff>
      <xdr:row>35</xdr:row>
      <xdr:rowOff>93133</xdr:rowOff>
    </xdr:from>
    <xdr:to>
      <xdr:col>11</xdr:col>
      <xdr:colOff>355600</xdr:colOff>
      <xdr:row>73</xdr:row>
      <xdr:rowOff>25400</xdr:rowOff>
    </xdr:to>
    <xdr:cxnSp macro="">
      <xdr:nvCxnSpPr>
        <xdr:cNvPr id="365" name="Straight Arrow Connector 364">
          <a:extLst>
            <a:ext uri="{FF2B5EF4-FFF2-40B4-BE49-F238E27FC236}">
              <a16:creationId xmlns:a16="http://schemas.microsoft.com/office/drawing/2014/main" id="{CDC2AD59-5E2C-417B-978A-ECC51F12466A}"/>
            </a:ext>
          </a:extLst>
        </xdr:cNvPr>
        <xdr:cNvCxnSpPr/>
      </xdr:nvCxnSpPr>
      <xdr:spPr>
        <a:xfrm>
          <a:off x="10295467" y="7027333"/>
          <a:ext cx="1303866" cy="7061200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195580</xdr:colOff>
      <xdr:row>33</xdr:row>
      <xdr:rowOff>181186</xdr:rowOff>
    </xdr:from>
    <xdr:to>
      <xdr:col>9</xdr:col>
      <xdr:colOff>93134</xdr:colOff>
      <xdr:row>67</xdr:row>
      <xdr:rowOff>169334</xdr:rowOff>
    </xdr:to>
    <xdr:cxnSp macro="">
      <xdr:nvCxnSpPr>
        <xdr:cNvPr id="369" name="Straight Arrow Connector 368">
          <a:extLst>
            <a:ext uri="{FF2B5EF4-FFF2-40B4-BE49-F238E27FC236}">
              <a16:creationId xmlns:a16="http://schemas.microsoft.com/office/drawing/2014/main" id="{34AA213D-457E-42AA-9999-81B15411D5C6}"/>
            </a:ext>
          </a:extLst>
        </xdr:cNvPr>
        <xdr:cNvCxnSpPr/>
      </xdr:nvCxnSpPr>
      <xdr:spPr>
        <a:xfrm>
          <a:off x="7857913" y="6717453"/>
          <a:ext cx="1091354" cy="63212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1066800</xdr:colOff>
      <xdr:row>69</xdr:row>
      <xdr:rowOff>16934</xdr:rowOff>
    </xdr:from>
    <xdr:to>
      <xdr:col>10</xdr:col>
      <xdr:colOff>2540</xdr:colOff>
      <xdr:row>70</xdr:row>
      <xdr:rowOff>99060</xdr:rowOff>
    </xdr:to>
    <xdr:cxnSp macro="">
      <xdr:nvCxnSpPr>
        <xdr:cNvPr id="371" name="Straight Arrow Connector 370">
          <a:extLst>
            <a:ext uri="{FF2B5EF4-FFF2-40B4-BE49-F238E27FC236}">
              <a16:creationId xmlns:a16="http://schemas.microsoft.com/office/drawing/2014/main" id="{6659BB54-4DD1-4D93-9264-CCB73F5FEA9E}"/>
            </a:ext>
          </a:extLst>
        </xdr:cNvPr>
        <xdr:cNvCxnSpPr/>
      </xdr:nvCxnSpPr>
      <xdr:spPr>
        <a:xfrm>
          <a:off x="9922933" y="13292667"/>
          <a:ext cx="129540" cy="276860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143934</xdr:colOff>
      <xdr:row>69</xdr:row>
      <xdr:rowOff>0</xdr:rowOff>
    </xdr:from>
    <xdr:to>
      <xdr:col>10</xdr:col>
      <xdr:colOff>84667</xdr:colOff>
      <xdr:row>107</xdr:row>
      <xdr:rowOff>33866</xdr:rowOff>
    </xdr:to>
    <xdr:cxnSp macro="">
      <xdr:nvCxnSpPr>
        <xdr:cNvPr id="374" name="Straight Arrow Connector 373">
          <a:extLst>
            <a:ext uri="{FF2B5EF4-FFF2-40B4-BE49-F238E27FC236}">
              <a16:creationId xmlns:a16="http://schemas.microsoft.com/office/drawing/2014/main" id="{DF37C89E-0427-4B65-9665-794B12649B56}"/>
            </a:ext>
          </a:extLst>
        </xdr:cNvPr>
        <xdr:cNvCxnSpPr/>
      </xdr:nvCxnSpPr>
      <xdr:spPr>
        <a:xfrm>
          <a:off x="9000067" y="13275733"/>
          <a:ext cx="1134533" cy="66548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508000</xdr:colOff>
      <xdr:row>71</xdr:row>
      <xdr:rowOff>16933</xdr:rowOff>
    </xdr:from>
    <xdr:to>
      <xdr:col>12</xdr:col>
      <xdr:colOff>1126067</xdr:colOff>
      <xdr:row>117</xdr:row>
      <xdr:rowOff>8467</xdr:rowOff>
    </xdr:to>
    <xdr:cxnSp macro="">
      <xdr:nvCxnSpPr>
        <xdr:cNvPr id="382" name="Straight Arrow Connector 381">
          <a:extLst>
            <a:ext uri="{FF2B5EF4-FFF2-40B4-BE49-F238E27FC236}">
              <a16:creationId xmlns:a16="http://schemas.microsoft.com/office/drawing/2014/main" id="{40D50AF8-CA0D-47D6-9B4E-1057DAE4E298}"/>
            </a:ext>
          </a:extLst>
        </xdr:cNvPr>
        <xdr:cNvCxnSpPr/>
      </xdr:nvCxnSpPr>
      <xdr:spPr>
        <a:xfrm>
          <a:off x="10557933" y="13682133"/>
          <a:ext cx="3005667" cy="8382001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905933</xdr:colOff>
      <xdr:row>73</xdr:row>
      <xdr:rowOff>194734</xdr:rowOff>
    </xdr:from>
    <xdr:to>
      <xdr:col>12</xdr:col>
      <xdr:colOff>237067</xdr:colOff>
      <xdr:row>74</xdr:row>
      <xdr:rowOff>186267</xdr:rowOff>
    </xdr:to>
    <xdr:cxnSp macro="">
      <xdr:nvCxnSpPr>
        <xdr:cNvPr id="390" name="Straight Arrow Connector 389">
          <a:extLst>
            <a:ext uri="{FF2B5EF4-FFF2-40B4-BE49-F238E27FC236}">
              <a16:creationId xmlns:a16="http://schemas.microsoft.com/office/drawing/2014/main" id="{EB56952B-9446-4A85-A896-68DCCD5F6E94}"/>
            </a:ext>
          </a:extLst>
        </xdr:cNvPr>
        <xdr:cNvCxnSpPr/>
      </xdr:nvCxnSpPr>
      <xdr:spPr>
        <a:xfrm>
          <a:off x="12149666" y="14257867"/>
          <a:ext cx="524934" cy="194733"/>
        </a:xfrm>
        <a:prstGeom prst="straightConnector1">
          <a:avLst/>
        </a:prstGeom>
        <a:ln>
          <a:prstDash val="sysDash"/>
          <a:tailEnd type="triangle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245534</xdr:colOff>
      <xdr:row>74</xdr:row>
      <xdr:rowOff>8467</xdr:rowOff>
    </xdr:from>
    <xdr:to>
      <xdr:col>13</xdr:col>
      <xdr:colOff>42334</xdr:colOff>
      <xdr:row>111</xdr:row>
      <xdr:rowOff>16933</xdr:rowOff>
    </xdr:to>
    <xdr:cxnSp macro="">
      <xdr:nvCxnSpPr>
        <xdr:cNvPr id="392" name="Straight Arrow Connector 391">
          <a:extLst>
            <a:ext uri="{FF2B5EF4-FFF2-40B4-BE49-F238E27FC236}">
              <a16:creationId xmlns:a16="http://schemas.microsoft.com/office/drawing/2014/main" id="{AA0B5139-06D5-47E3-973B-9ED537BED653}"/>
            </a:ext>
          </a:extLst>
        </xdr:cNvPr>
        <xdr:cNvCxnSpPr/>
      </xdr:nvCxnSpPr>
      <xdr:spPr>
        <a:xfrm>
          <a:off x="11489267" y="14274800"/>
          <a:ext cx="2184400" cy="7213600"/>
        </a:xfrm>
        <a:prstGeom prst="straightConnector1">
          <a:avLst/>
        </a:prstGeom>
        <a:ln>
          <a:tailEnd type="triangle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135467</xdr:colOff>
      <xdr:row>76</xdr:row>
      <xdr:rowOff>8467</xdr:rowOff>
    </xdr:from>
    <xdr:to>
      <xdr:col>15</xdr:col>
      <xdr:colOff>414867</xdr:colOff>
      <xdr:row>119</xdr:row>
      <xdr:rowOff>0</xdr:rowOff>
    </xdr:to>
    <xdr:cxnSp macro="">
      <xdr:nvCxnSpPr>
        <xdr:cNvPr id="397" name="Straight Arrow Connector 396">
          <a:extLst>
            <a:ext uri="{FF2B5EF4-FFF2-40B4-BE49-F238E27FC236}">
              <a16:creationId xmlns:a16="http://schemas.microsoft.com/office/drawing/2014/main" id="{3DA22163-5372-4E8F-8C11-285CA7AE37FF}"/>
            </a:ext>
          </a:extLst>
        </xdr:cNvPr>
        <xdr:cNvCxnSpPr/>
      </xdr:nvCxnSpPr>
      <xdr:spPr>
        <a:xfrm>
          <a:off x="13766800" y="14664267"/>
          <a:ext cx="1888067" cy="8365066"/>
        </a:xfrm>
        <a:prstGeom prst="straightConnector1">
          <a:avLst/>
        </a:prstGeom>
        <a:ln>
          <a:headEnd type="oval"/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ECE46-215E-432E-A6F1-EBA87A54E1EA}">
  <sheetPr>
    <tabColor rgb="FF00FFCC"/>
  </sheetPr>
  <dimension ref="A1:V262"/>
  <sheetViews>
    <sheetView tabSelected="1" zoomScale="90" zoomScaleNormal="90" workbookViewId="0">
      <pane xSplit="6" ySplit="2" topLeftCell="G3" activePane="bottomRight" state="frozen"/>
      <selection pane="topRight" activeCell="F1" sqref="F1"/>
      <selection pane="bottomLeft" activeCell="A2" sqref="A2"/>
      <selection pane="bottomRight" activeCell="E20" sqref="E20"/>
    </sheetView>
  </sheetViews>
  <sheetFormatPr defaultRowHeight="15.6" x14ac:dyDescent="0.3"/>
  <cols>
    <col min="2" max="2" width="18" customWidth="1"/>
    <col min="3" max="4" width="16.09765625" customWidth="1"/>
    <col min="5" max="6" width="13.8984375" customWidth="1"/>
    <col min="7" max="7" width="8.8984375" bestFit="1" customWidth="1"/>
    <col min="8" max="11" width="10.19921875" bestFit="1" customWidth="1"/>
    <col min="12" max="12" width="8.8984375" bestFit="1" customWidth="1"/>
    <col min="13" max="13" width="11.59765625" customWidth="1"/>
    <col min="14" max="14" width="8.8984375" bestFit="1" customWidth="1"/>
    <col min="15" max="15" width="10.09765625" customWidth="1"/>
    <col min="16" max="19" width="8.8984375" bestFit="1" customWidth="1"/>
    <col min="20" max="20" width="8.8984375" customWidth="1"/>
    <col min="21" max="21" width="10.09765625" customWidth="1"/>
    <col min="22" max="22" width="6.8984375" bestFit="1" customWidth="1"/>
  </cols>
  <sheetData>
    <row r="1" spans="2:22" x14ac:dyDescent="0.3">
      <c r="F1" t="s">
        <v>366</v>
      </c>
    </row>
    <row r="2" spans="2:22" x14ac:dyDescent="0.3">
      <c r="F2" t="s">
        <v>365</v>
      </c>
      <c r="G2">
        <v>0</v>
      </c>
      <c r="H2">
        <v>2</v>
      </c>
      <c r="I2">
        <v>3</v>
      </c>
      <c r="J2">
        <v>4</v>
      </c>
      <c r="K2">
        <v>5</v>
      </c>
      <c r="L2">
        <v>6</v>
      </c>
      <c r="M2">
        <v>7</v>
      </c>
      <c r="N2">
        <v>8</v>
      </c>
      <c r="O2">
        <v>9</v>
      </c>
      <c r="P2">
        <v>10</v>
      </c>
      <c r="Q2">
        <v>11</v>
      </c>
      <c r="R2">
        <v>12</v>
      </c>
      <c r="S2">
        <v>13</v>
      </c>
      <c r="T2">
        <v>14</v>
      </c>
      <c r="U2">
        <v>15</v>
      </c>
      <c r="V2">
        <v>16</v>
      </c>
    </row>
    <row r="3" spans="2:22" x14ac:dyDescent="0.3">
      <c r="B3" t="str">
        <f>'Model500-600'!E3</f>
        <v>Additional Cash Issued Total, $</v>
      </c>
      <c r="F3" s="8">
        <f ca="1">SUM(G3:V3)</f>
        <v>2492900.7499840008</v>
      </c>
      <c r="G3" s="6">
        <f>'Model500-600'!H3</f>
        <v>320512.8205128205</v>
      </c>
      <c r="H3" s="6">
        <f>'Model500-600'!I3</f>
        <v>225000</v>
      </c>
      <c r="I3" s="6">
        <f>'Model500-600'!J3</f>
        <v>181687.5</v>
      </c>
      <c r="J3" s="6">
        <f>'Model500-600'!K3</f>
        <v>170057.56583653844</v>
      </c>
      <c r="K3" s="6">
        <f>'Model500-600'!L3</f>
        <v>153961.61807849479</v>
      </c>
      <c r="L3" s="6">
        <f ca="1">'Model500-600'!M3</f>
        <v>250392.5869716419</v>
      </c>
      <c r="M3" s="6">
        <f ca="1">'Model500-600'!N3</f>
        <v>206629.07448347891</v>
      </c>
      <c r="N3" s="6">
        <f ca="1">'Model500-600'!O3</f>
        <v>165376.20955942333</v>
      </c>
      <c r="O3" s="6">
        <f ca="1">'Model500-600'!P3</f>
        <v>137269.52704915268</v>
      </c>
      <c r="P3" s="6">
        <f ca="1">'Model500-600'!Q3</f>
        <v>114664.83398308692</v>
      </c>
      <c r="Q3" s="6">
        <f ca="1">'Model500-600'!R3</f>
        <v>148830.65491876999</v>
      </c>
      <c r="R3" s="6">
        <f ca="1">'Model500-600'!S3</f>
        <v>128459.09652365322</v>
      </c>
      <c r="S3" s="6">
        <f ca="1">'Model500-600'!T3</f>
        <v>111057.52472931636</v>
      </c>
      <c r="T3" s="6">
        <f ca="1">'Model500-600'!U3</f>
        <v>96005.222492691595</v>
      </c>
      <c r="U3" s="6">
        <f ca="1">'Model500-600'!V3</f>
        <v>82996.514844931895</v>
      </c>
      <c r="V3" s="6">
        <f>'Model500-600'!W3</f>
        <v>0</v>
      </c>
    </row>
    <row r="5" spans="2:22" x14ac:dyDescent="0.3">
      <c r="B5" t="str">
        <f>'Model500-600'!E6</f>
        <v>Amount of Loans Disbursed Total, $</v>
      </c>
      <c r="F5" s="8">
        <f ca="1">SUM(G5:V5)</f>
        <v>2991480.8999808007</v>
      </c>
      <c r="G5" s="6">
        <f>'Model500-600'!H6</f>
        <v>384615.38461538462</v>
      </c>
      <c r="H5" s="6">
        <f>'Model500-600'!I6</f>
        <v>270000</v>
      </c>
      <c r="I5" s="6">
        <f>'Model500-600'!J6</f>
        <v>218024.99999999997</v>
      </c>
      <c r="J5" s="6">
        <f>'Model500-600'!K6</f>
        <v>204069.0790038461</v>
      </c>
      <c r="K5" s="6">
        <f>'Model500-600'!L6</f>
        <v>184753.94169419372</v>
      </c>
      <c r="L5" s="6">
        <f ca="1">'Model500-600'!M6</f>
        <v>300471.10436597024</v>
      </c>
      <c r="M5" s="6">
        <f ca="1">'Model500-600'!N6</f>
        <v>247954.88938017466</v>
      </c>
      <c r="N5" s="6">
        <f ca="1">'Model500-600'!O6</f>
        <v>198451.45147130798</v>
      </c>
      <c r="O5" s="6">
        <f ca="1">'Model500-600'!P6</f>
        <v>164723.43245898321</v>
      </c>
      <c r="P5" s="6">
        <f ca="1">'Model500-600'!Q6</f>
        <v>137597.80077970432</v>
      </c>
      <c r="Q5" s="6">
        <f ca="1">'Model500-600'!R6</f>
        <v>178596.78590252396</v>
      </c>
      <c r="R5" s="6">
        <f ca="1">'Model500-600'!S6</f>
        <v>154150.91582838385</v>
      </c>
      <c r="S5" s="6">
        <f ca="1">'Model500-600'!T6</f>
        <v>133269.02967517963</v>
      </c>
      <c r="T5" s="6">
        <f ca="1">'Model500-600'!U6</f>
        <v>115206.26699122992</v>
      </c>
      <c r="U5" s="6">
        <f ca="1">'Model500-600'!V6</f>
        <v>99595.817813918271</v>
      </c>
      <c r="V5" s="6">
        <f>'Model500-600'!W6</f>
        <v>0</v>
      </c>
    </row>
    <row r="6" spans="2:22" x14ac:dyDescent="0.3"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2:22" x14ac:dyDescent="0.3">
      <c r="B7" t="str">
        <f>'Model500-600'!E12</f>
        <v>Loan Repaid  TOTAL, $</v>
      </c>
      <c r="F7" s="8">
        <f ca="1">SUM(G7:V7)</f>
        <v>2685476.2618643264</v>
      </c>
      <c r="G7" s="6">
        <f>'Model500-600'!H12</f>
        <v>0</v>
      </c>
      <c r="H7" s="6">
        <f>'Model500-600'!I12</f>
        <v>280000</v>
      </c>
      <c r="I7" s="6">
        <f>'Model500-600'!J12</f>
        <v>241932.05128205125</v>
      </c>
      <c r="J7" s="6">
        <f>'Model500-600'!K12</f>
        <v>226129.59658630122</v>
      </c>
      <c r="K7" s="6">
        <f>'Model500-600'!L12</f>
        <v>165348.07416142532</v>
      </c>
      <c r="L7" s="6">
        <f>'Model500-600'!M12</f>
        <v>172193.50610380791</v>
      </c>
      <c r="M7" s="6">
        <f ca="1">'Model500-600'!N12</f>
        <v>261818.81699030616</v>
      </c>
      <c r="N7" s="6">
        <f ca="1">'Model500-600'!O12</f>
        <v>231349.52989801631</v>
      </c>
      <c r="O7" s="6">
        <f ca="1">'Model500-600'!P12</f>
        <v>187732.69923558124</v>
      </c>
      <c r="P7" s="6">
        <f ca="1">'Model500-600'!Q12</f>
        <v>155390.41791162826</v>
      </c>
      <c r="Q7" s="6">
        <f ca="1">'Model500-600'!R12</f>
        <v>129557.38586853658</v>
      </c>
      <c r="R7" s="6">
        <f ca="1">'Model500-600'!S12</f>
        <v>164197.62004144362</v>
      </c>
      <c r="S7" s="6">
        <f ca="1">'Model500-600'!T12</f>
        <v>143225.41933171669</v>
      </c>
      <c r="T7" s="6">
        <f ca="1">'Model500-600'!U12</f>
        <v>125050.21062784019</v>
      </c>
      <c r="U7" s="6">
        <f ca="1">'Model500-600'!V12</f>
        <v>108099.19946298313</v>
      </c>
      <c r="V7" s="6">
        <f ca="1">'Model500-600'!W12</f>
        <v>93451.73436268793</v>
      </c>
    </row>
    <row r="8" spans="2:22" x14ac:dyDescent="0.3"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2:22" x14ac:dyDescent="0.3">
      <c r="B9" t="str">
        <f>'Model500-600'!E24</f>
        <v>Surplus Cumulative, %</v>
      </c>
      <c r="F9" s="90">
        <f ca="1">V9</f>
        <v>1.0772495703575691</v>
      </c>
      <c r="G9" s="22">
        <f>'Model500-600'!H24</f>
        <v>0</v>
      </c>
      <c r="H9" s="22">
        <f>'Model500-600'!I24</f>
        <v>0.51327849588719154</v>
      </c>
      <c r="I9" s="22">
        <f>'Model500-600'!J24</f>
        <v>0.71772802700909921</v>
      </c>
      <c r="J9" s="22">
        <f>'Model500-600'!K24</f>
        <v>0.83371978028743121</v>
      </c>
      <c r="K9" s="22">
        <f>'Model500-600'!L24</f>
        <v>0.86890484640210175</v>
      </c>
      <c r="L9" s="22">
        <f ca="1">'Model500-600'!M24</f>
        <v>0.83404513165388861</v>
      </c>
      <c r="M9" s="22">
        <f ca="1">'Model500-600'!N24</f>
        <v>0.89337307295618484</v>
      </c>
      <c r="N9" s="22">
        <f ca="1">'Model500-600'!O24</f>
        <v>0.94332886249139314</v>
      </c>
      <c r="O9" s="22">
        <f ca="1">'Model500-600'!P24</f>
        <v>0.97549122025622015</v>
      </c>
      <c r="P9" s="22">
        <f ca="1">'Model500-600'!Q24</f>
        <v>0.99810078107160327</v>
      </c>
      <c r="Q9" s="22">
        <f ca="1">'Model500-600'!R24</f>
        <v>0.98894595642014171</v>
      </c>
      <c r="R9" s="22">
        <f ca="1">'Model500-600'!S24</f>
        <v>1.0058144039107182</v>
      </c>
      <c r="S9" s="22">
        <f ca="1">'Model500-600'!T24</f>
        <v>1.0194373671965049</v>
      </c>
      <c r="T9" s="22">
        <f ca="1">'Model500-600'!U24</f>
        <v>1.0307153669512161</v>
      </c>
      <c r="U9" s="22">
        <f ca="1">'Model500-600'!V24</f>
        <v>1.0397624243637753</v>
      </c>
      <c r="V9" s="22">
        <f ca="1">'Model500-600'!W24</f>
        <v>1.0772495703575691</v>
      </c>
    </row>
    <row r="10" spans="2:22" x14ac:dyDescent="0.3">
      <c r="F10">
        <f ca="1">F7/F3</f>
        <v>1.0772495703575691</v>
      </c>
    </row>
    <row r="11" spans="2:22" x14ac:dyDescent="0.3">
      <c r="B11" s="11" t="s">
        <v>124</v>
      </c>
      <c r="C11" s="113">
        <v>10000</v>
      </c>
      <c r="F11" s="7">
        <f ca="1">F7-F3</f>
        <v>192575.51188032562</v>
      </c>
      <c r="J11" s="22"/>
    </row>
    <row r="12" spans="2:22" x14ac:dyDescent="0.3">
      <c r="B12" s="11"/>
      <c r="C12" s="113"/>
    </row>
    <row r="13" spans="2:22" x14ac:dyDescent="0.3">
      <c r="B13" s="70" t="s">
        <v>126</v>
      </c>
      <c r="C13" s="111">
        <v>0.2</v>
      </c>
    </row>
    <row r="14" spans="2:22" x14ac:dyDescent="0.3">
      <c r="B14" s="11"/>
      <c r="C14" s="113"/>
    </row>
    <row r="15" spans="2:22" x14ac:dyDescent="0.3">
      <c r="B15" t="s">
        <v>280</v>
      </c>
      <c r="C15" s="113">
        <v>15600</v>
      </c>
    </row>
    <row r="16" spans="2:22" x14ac:dyDescent="0.3">
      <c r="B16" t="s">
        <v>135</v>
      </c>
      <c r="C16" s="113">
        <f>D16/$C$15</f>
        <v>32.051282051282051</v>
      </c>
      <c r="D16" s="113">
        <v>500000</v>
      </c>
    </row>
    <row r="18" spans="2:4" x14ac:dyDescent="0.3">
      <c r="B18" s="121" t="s">
        <v>304</v>
      </c>
      <c r="C18" s="116" t="s">
        <v>281</v>
      </c>
      <c r="D18" s="62" t="s">
        <v>282</v>
      </c>
    </row>
    <row r="19" spans="2:4" x14ac:dyDescent="0.3">
      <c r="B19" s="115" t="s">
        <v>274</v>
      </c>
      <c r="C19" s="120">
        <f t="shared" ref="C19:C23" si="0">D19/$C$15</f>
        <v>32.051282051282051</v>
      </c>
      <c r="D19" s="113">
        <f>D16</f>
        <v>500000</v>
      </c>
    </row>
    <row r="20" spans="2:4" x14ac:dyDescent="0.3">
      <c r="B20" s="115" t="s">
        <v>275</v>
      </c>
      <c r="C20" s="120">
        <f t="shared" si="0"/>
        <v>32.051282051282051</v>
      </c>
      <c r="D20" s="113">
        <f>D19</f>
        <v>500000</v>
      </c>
    </row>
    <row r="21" spans="2:4" x14ac:dyDescent="0.3">
      <c r="B21" s="115" t="s">
        <v>276</v>
      </c>
      <c r="C21" s="120">
        <f t="shared" si="0"/>
        <v>32.051282051282051</v>
      </c>
      <c r="D21" s="113">
        <f t="shared" ref="D21" si="1">D20</f>
        <v>500000</v>
      </c>
    </row>
    <row r="22" spans="2:4" x14ac:dyDescent="0.3">
      <c r="B22" s="115" t="s">
        <v>277</v>
      </c>
      <c r="C22" s="120">
        <f t="shared" si="0"/>
        <v>32.051282051282051</v>
      </c>
      <c r="D22" s="113">
        <f>D21</f>
        <v>500000</v>
      </c>
    </row>
    <row r="23" spans="2:4" x14ac:dyDescent="0.3">
      <c r="B23" s="115" t="s">
        <v>278</v>
      </c>
      <c r="C23" s="120">
        <f t="shared" si="0"/>
        <v>32.051282051282051</v>
      </c>
      <c r="D23" s="113">
        <f>D22</f>
        <v>500000</v>
      </c>
    </row>
    <row r="24" spans="2:4" x14ac:dyDescent="0.3">
      <c r="B24" s="115" t="s">
        <v>279</v>
      </c>
      <c r="C24" s="120">
        <f t="shared" ref="C24:C27" si="2">D24/$C$15</f>
        <v>64.102564102564102</v>
      </c>
      <c r="D24" s="113">
        <v>1000000</v>
      </c>
    </row>
    <row r="25" spans="2:4" x14ac:dyDescent="0.3">
      <c r="B25" s="115" t="s">
        <v>340</v>
      </c>
      <c r="C25" s="120">
        <f t="shared" si="2"/>
        <v>64.102564102564102</v>
      </c>
      <c r="D25" s="113">
        <f>D24</f>
        <v>1000000</v>
      </c>
    </row>
    <row r="26" spans="2:4" x14ac:dyDescent="0.3">
      <c r="B26" s="115" t="s">
        <v>341</v>
      </c>
      <c r="C26" s="120">
        <f t="shared" si="2"/>
        <v>64.102564102564102</v>
      </c>
      <c r="D26" s="113">
        <f>D25</f>
        <v>1000000</v>
      </c>
    </row>
    <row r="27" spans="2:4" x14ac:dyDescent="0.3">
      <c r="B27" s="115" t="s">
        <v>342</v>
      </c>
      <c r="C27" s="120">
        <f t="shared" si="2"/>
        <v>64.102564102564102</v>
      </c>
      <c r="D27" s="113">
        <f t="shared" ref="D27:D28" si="3">D26</f>
        <v>1000000</v>
      </c>
    </row>
    <row r="28" spans="2:4" x14ac:dyDescent="0.3">
      <c r="B28" s="115" t="s">
        <v>343</v>
      </c>
      <c r="C28" s="120">
        <f t="shared" ref="C28:C33" si="4">D28/$C$15</f>
        <v>64.102564102564102</v>
      </c>
      <c r="D28" s="113">
        <f t="shared" si="3"/>
        <v>1000000</v>
      </c>
    </row>
    <row r="29" spans="2:4" x14ac:dyDescent="0.3">
      <c r="B29" s="115" t="s">
        <v>344</v>
      </c>
      <c r="C29" s="120">
        <f t="shared" si="4"/>
        <v>96.15384615384616</v>
      </c>
      <c r="D29" s="113">
        <v>1500000</v>
      </c>
    </row>
    <row r="30" spans="2:4" x14ac:dyDescent="0.3">
      <c r="B30" s="115" t="s">
        <v>345</v>
      </c>
      <c r="C30" s="120">
        <f t="shared" si="4"/>
        <v>96.15384615384616</v>
      </c>
      <c r="D30" s="113">
        <f t="shared" ref="D30:D33" si="5">D29</f>
        <v>1500000</v>
      </c>
    </row>
    <row r="31" spans="2:4" x14ac:dyDescent="0.3">
      <c r="B31" s="115" t="s">
        <v>346</v>
      </c>
      <c r="C31" s="120">
        <f t="shared" si="4"/>
        <v>96.15384615384616</v>
      </c>
      <c r="D31" s="113">
        <f t="shared" si="5"/>
        <v>1500000</v>
      </c>
    </row>
    <row r="32" spans="2:4" x14ac:dyDescent="0.3">
      <c r="B32" s="115" t="s">
        <v>347</v>
      </c>
      <c r="C32" s="120">
        <f t="shared" si="4"/>
        <v>96.15384615384616</v>
      </c>
      <c r="D32" s="113">
        <f t="shared" si="5"/>
        <v>1500000</v>
      </c>
    </row>
    <row r="33" spans="1:15" x14ac:dyDescent="0.3">
      <c r="B33" s="115" t="s">
        <v>348</v>
      </c>
      <c r="C33" s="120">
        <f t="shared" si="4"/>
        <v>96.15384615384616</v>
      </c>
      <c r="D33" s="113">
        <f t="shared" si="5"/>
        <v>1500000</v>
      </c>
    </row>
    <row r="34" spans="1:15" x14ac:dyDescent="0.3">
      <c r="B34" s="31"/>
      <c r="C34" s="140"/>
      <c r="D34" s="113"/>
    </row>
    <row r="35" spans="1:15" x14ac:dyDescent="0.3">
      <c r="F35" s="74"/>
      <c r="O35" s="142"/>
    </row>
    <row r="36" spans="1:15" x14ac:dyDescent="0.3">
      <c r="B36" s="115"/>
      <c r="C36" s="148" t="s">
        <v>305</v>
      </c>
      <c r="D36" s="149"/>
      <c r="E36" s="150" t="s">
        <v>306</v>
      </c>
      <c r="F36" s="151"/>
      <c r="G36" s="111"/>
    </row>
    <row r="37" spans="1:15" ht="33.75" customHeight="1" x14ac:dyDescent="0.3">
      <c r="B37" s="125" t="s">
        <v>316</v>
      </c>
      <c r="C37" s="117" t="s">
        <v>128</v>
      </c>
      <c r="D37" s="118" t="s">
        <v>129</v>
      </c>
      <c r="E37" s="119" t="s">
        <v>128</v>
      </c>
      <c r="F37" s="119" t="s">
        <v>129</v>
      </c>
      <c r="G37" s="62"/>
      <c r="J37" s="111"/>
      <c r="O37" s="141"/>
    </row>
    <row r="38" spans="1:15" x14ac:dyDescent="0.3">
      <c r="A38" t="s">
        <v>356</v>
      </c>
      <c r="B38" s="115" t="s">
        <v>274</v>
      </c>
      <c r="C38" s="114">
        <v>0.9</v>
      </c>
      <c r="D38" s="114">
        <f>1-C38</f>
        <v>9.9999999999999978E-2</v>
      </c>
      <c r="E38" s="114" t="s">
        <v>314</v>
      </c>
      <c r="F38" s="114" t="s">
        <v>314</v>
      </c>
      <c r="I38" s="111"/>
      <c r="J38" s="111"/>
      <c r="K38" s="111"/>
    </row>
    <row r="39" spans="1:15" x14ac:dyDescent="0.3">
      <c r="A39" t="s">
        <v>357</v>
      </c>
      <c r="B39" s="115" t="s">
        <v>275</v>
      </c>
      <c r="C39" s="114">
        <v>0.95</v>
      </c>
      <c r="D39" s="145">
        <f t="shared" ref="D39:D42" si="6">1-C39</f>
        <v>5.0000000000000044E-2</v>
      </c>
      <c r="E39" s="145">
        <f t="shared" ref="E39:E41" si="7">C39</f>
        <v>0.95</v>
      </c>
      <c r="F39" s="114">
        <f t="shared" ref="F39:F42" si="8">1-E39</f>
        <v>5.0000000000000044E-2</v>
      </c>
      <c r="I39" s="111"/>
      <c r="J39" s="111"/>
    </row>
    <row r="40" spans="1:15" x14ac:dyDescent="0.3">
      <c r="A40" t="s">
        <v>358</v>
      </c>
      <c r="B40" s="115" t="s">
        <v>276</v>
      </c>
      <c r="C40" s="114">
        <f>C39</f>
        <v>0.95</v>
      </c>
      <c r="D40" s="145">
        <f t="shared" si="6"/>
        <v>5.0000000000000044E-2</v>
      </c>
      <c r="E40" s="145">
        <f t="shared" si="7"/>
        <v>0.95</v>
      </c>
      <c r="F40" s="114">
        <f t="shared" si="8"/>
        <v>5.0000000000000044E-2</v>
      </c>
    </row>
    <row r="41" spans="1:15" x14ac:dyDescent="0.3">
      <c r="A41" t="s">
        <v>356</v>
      </c>
      <c r="B41" s="115" t="s">
        <v>277</v>
      </c>
      <c r="C41" s="114">
        <f t="shared" ref="C41:C52" si="9">C40</f>
        <v>0.95</v>
      </c>
      <c r="D41" s="145">
        <f t="shared" si="6"/>
        <v>5.0000000000000044E-2</v>
      </c>
      <c r="E41" s="145">
        <f t="shared" si="7"/>
        <v>0.95</v>
      </c>
      <c r="F41" s="114">
        <f t="shared" si="8"/>
        <v>5.0000000000000044E-2</v>
      </c>
    </row>
    <row r="42" spans="1:15" x14ac:dyDescent="0.3">
      <c r="A42" t="s">
        <v>357</v>
      </c>
      <c r="B42" s="115" t="s">
        <v>278</v>
      </c>
      <c r="C42" s="114">
        <f t="shared" si="9"/>
        <v>0.95</v>
      </c>
      <c r="D42" s="145">
        <f t="shared" si="6"/>
        <v>5.0000000000000044E-2</v>
      </c>
      <c r="E42" s="145">
        <f>C42</f>
        <v>0.95</v>
      </c>
      <c r="F42" s="114">
        <f t="shared" si="8"/>
        <v>5.0000000000000044E-2</v>
      </c>
      <c r="L42" s="10"/>
    </row>
    <row r="43" spans="1:15" x14ac:dyDescent="0.3">
      <c r="A43" t="s">
        <v>358</v>
      </c>
      <c r="B43" s="115" t="s">
        <v>279</v>
      </c>
      <c r="C43" s="114">
        <f t="shared" si="9"/>
        <v>0.95</v>
      </c>
      <c r="D43" s="145">
        <f t="shared" ref="D43" si="10">1-C43</f>
        <v>5.0000000000000044E-2</v>
      </c>
      <c r="E43" s="145">
        <f>C43</f>
        <v>0.95</v>
      </c>
      <c r="F43" s="114">
        <f t="shared" ref="F43" si="11">1-E43</f>
        <v>5.0000000000000044E-2</v>
      </c>
    </row>
    <row r="44" spans="1:15" x14ac:dyDescent="0.3">
      <c r="A44" t="s">
        <v>356</v>
      </c>
      <c r="B44" s="115" t="s">
        <v>340</v>
      </c>
      <c r="C44" s="114">
        <f t="shared" si="9"/>
        <v>0.95</v>
      </c>
      <c r="D44" s="145">
        <f t="shared" ref="D44:D46" si="12">1-C44</f>
        <v>5.0000000000000044E-2</v>
      </c>
      <c r="E44" s="145">
        <f t="shared" ref="E44:E46" si="13">C44</f>
        <v>0.95</v>
      </c>
      <c r="F44" s="114">
        <f t="shared" ref="F44:F46" si="14">1-E44</f>
        <v>5.0000000000000044E-2</v>
      </c>
    </row>
    <row r="45" spans="1:15" x14ac:dyDescent="0.3">
      <c r="A45" t="s">
        <v>357</v>
      </c>
      <c r="B45" s="115" t="s">
        <v>341</v>
      </c>
      <c r="C45" s="114">
        <f t="shared" si="9"/>
        <v>0.95</v>
      </c>
      <c r="D45" s="145">
        <f t="shared" si="12"/>
        <v>5.0000000000000044E-2</v>
      </c>
      <c r="E45" s="145">
        <f t="shared" si="13"/>
        <v>0.95</v>
      </c>
      <c r="F45" s="114">
        <f t="shared" si="14"/>
        <v>5.0000000000000044E-2</v>
      </c>
    </row>
    <row r="46" spans="1:15" x14ac:dyDescent="0.3">
      <c r="A46" t="s">
        <v>358</v>
      </c>
      <c r="B46" s="115" t="s">
        <v>342</v>
      </c>
      <c r="C46" s="114">
        <f t="shared" si="9"/>
        <v>0.95</v>
      </c>
      <c r="D46" s="145">
        <f t="shared" si="12"/>
        <v>5.0000000000000044E-2</v>
      </c>
      <c r="E46" s="145">
        <f t="shared" si="13"/>
        <v>0.95</v>
      </c>
      <c r="F46" s="114">
        <f t="shared" si="14"/>
        <v>5.0000000000000044E-2</v>
      </c>
    </row>
    <row r="47" spans="1:15" x14ac:dyDescent="0.3">
      <c r="A47" t="s">
        <v>356</v>
      </c>
      <c r="B47" s="115" t="s">
        <v>343</v>
      </c>
      <c r="C47" s="114">
        <f t="shared" si="9"/>
        <v>0.95</v>
      </c>
      <c r="D47" s="114">
        <f t="shared" ref="D47:D50" si="15">1-C47</f>
        <v>5.0000000000000044E-2</v>
      </c>
      <c r="E47" s="114">
        <f t="shared" ref="E47:E50" si="16">C47</f>
        <v>0.95</v>
      </c>
      <c r="F47" s="114">
        <f t="shared" ref="F47:F50" si="17">1-E47</f>
        <v>5.0000000000000044E-2</v>
      </c>
    </row>
    <row r="48" spans="1:15" x14ac:dyDescent="0.3">
      <c r="A48" t="s">
        <v>357</v>
      </c>
      <c r="B48" s="115" t="s">
        <v>344</v>
      </c>
      <c r="C48" s="114">
        <f t="shared" si="9"/>
        <v>0.95</v>
      </c>
      <c r="D48" s="114">
        <f t="shared" si="15"/>
        <v>5.0000000000000044E-2</v>
      </c>
      <c r="E48" s="114">
        <f t="shared" si="16"/>
        <v>0.95</v>
      </c>
      <c r="F48" s="114">
        <f t="shared" si="17"/>
        <v>5.0000000000000044E-2</v>
      </c>
    </row>
    <row r="49" spans="1:6" x14ac:dyDescent="0.3">
      <c r="A49" t="s">
        <v>358</v>
      </c>
      <c r="B49" s="115" t="s">
        <v>345</v>
      </c>
      <c r="C49" s="114">
        <f t="shared" si="9"/>
        <v>0.95</v>
      </c>
      <c r="D49" s="114">
        <f t="shared" si="15"/>
        <v>5.0000000000000044E-2</v>
      </c>
      <c r="E49" s="114">
        <f t="shared" si="16"/>
        <v>0.95</v>
      </c>
      <c r="F49" s="114">
        <f t="shared" si="17"/>
        <v>5.0000000000000044E-2</v>
      </c>
    </row>
    <row r="50" spans="1:6" x14ac:dyDescent="0.3">
      <c r="A50" t="s">
        <v>356</v>
      </c>
      <c r="B50" s="115" t="s">
        <v>346</v>
      </c>
      <c r="C50" s="114">
        <f t="shared" si="9"/>
        <v>0.95</v>
      </c>
      <c r="D50" s="114">
        <f t="shared" si="15"/>
        <v>5.0000000000000044E-2</v>
      </c>
      <c r="E50" s="114">
        <f t="shared" si="16"/>
        <v>0.95</v>
      </c>
      <c r="F50" s="114">
        <f t="shared" si="17"/>
        <v>5.0000000000000044E-2</v>
      </c>
    </row>
    <row r="51" spans="1:6" x14ac:dyDescent="0.3">
      <c r="A51" t="s">
        <v>357</v>
      </c>
      <c r="B51" s="115" t="s">
        <v>347</v>
      </c>
      <c r="C51" s="114">
        <f t="shared" si="9"/>
        <v>0.95</v>
      </c>
      <c r="D51" s="114">
        <f t="shared" ref="D51:D52" si="18">1-C51</f>
        <v>5.0000000000000044E-2</v>
      </c>
      <c r="E51" s="114">
        <f t="shared" ref="E51:E52" si="19">C51</f>
        <v>0.95</v>
      </c>
      <c r="F51" s="114">
        <f t="shared" ref="F51:F52" si="20">1-E51</f>
        <v>5.0000000000000044E-2</v>
      </c>
    </row>
    <row r="52" spans="1:6" x14ac:dyDescent="0.3">
      <c r="A52" t="s">
        <v>358</v>
      </c>
      <c r="B52" s="115" t="s">
        <v>348</v>
      </c>
      <c r="C52" s="114">
        <f t="shared" si="9"/>
        <v>0.95</v>
      </c>
      <c r="D52" s="114">
        <f t="shared" si="18"/>
        <v>5.0000000000000044E-2</v>
      </c>
      <c r="E52" s="114">
        <f t="shared" si="19"/>
        <v>0.95</v>
      </c>
      <c r="F52" s="114">
        <f t="shared" si="20"/>
        <v>5.0000000000000044E-2</v>
      </c>
    </row>
    <row r="55" spans="1:6" ht="31.2" x14ac:dyDescent="0.3">
      <c r="B55" s="124" t="s">
        <v>16</v>
      </c>
      <c r="C55" s="122" t="s">
        <v>305</v>
      </c>
      <c r="D55" s="123" t="s">
        <v>306</v>
      </c>
    </row>
    <row r="57" spans="1:6" x14ac:dyDescent="0.3">
      <c r="B57" s="11" t="s">
        <v>274</v>
      </c>
    </row>
    <row r="58" spans="1:6" x14ac:dyDescent="0.3">
      <c r="A58" t="s">
        <v>274</v>
      </c>
      <c r="B58" t="s">
        <v>311</v>
      </c>
      <c r="C58" s="146">
        <v>0.22</v>
      </c>
      <c r="D58" s="147"/>
      <c r="F58" s="127">
        <v>0.2</v>
      </c>
    </row>
    <row r="59" spans="1:6" x14ac:dyDescent="0.3">
      <c r="A59" t="s">
        <v>274</v>
      </c>
      <c r="B59" t="s">
        <v>312</v>
      </c>
      <c r="C59" s="146">
        <v>0.12</v>
      </c>
      <c r="D59" s="147" t="s">
        <v>314</v>
      </c>
      <c r="F59" s="127">
        <v>0.25</v>
      </c>
    </row>
    <row r="60" spans="1:6" x14ac:dyDescent="0.3">
      <c r="A60" t="s">
        <v>274</v>
      </c>
      <c r="B60" t="s">
        <v>313</v>
      </c>
      <c r="C60" s="146">
        <v>0.05</v>
      </c>
      <c r="D60" s="147" t="s">
        <v>314</v>
      </c>
      <c r="F60" s="127">
        <v>0.13</v>
      </c>
    </row>
    <row r="61" spans="1:6" x14ac:dyDescent="0.3">
      <c r="A61" t="s">
        <v>274</v>
      </c>
      <c r="B61" t="s">
        <v>18</v>
      </c>
      <c r="C61" s="146">
        <v>0.8</v>
      </c>
      <c r="D61" s="147" t="s">
        <v>314</v>
      </c>
      <c r="F61" s="127">
        <v>0.8</v>
      </c>
    </row>
    <row r="62" spans="1:6" x14ac:dyDescent="0.3">
      <c r="A62" t="s">
        <v>274</v>
      </c>
      <c r="B62" t="s">
        <v>299</v>
      </c>
      <c r="C62" s="146">
        <v>1</v>
      </c>
      <c r="D62" s="147" t="s">
        <v>314</v>
      </c>
      <c r="F62" s="127">
        <v>1</v>
      </c>
    </row>
    <row r="63" spans="1:6" x14ac:dyDescent="0.3">
      <c r="F63" s="31"/>
    </row>
    <row r="64" spans="1:6" x14ac:dyDescent="0.3">
      <c r="B64" s="11" t="s">
        <v>275</v>
      </c>
    </row>
    <row r="65" spans="1:4" x14ac:dyDescent="0.3">
      <c r="A65" t="s">
        <v>275</v>
      </c>
      <c r="B65" t="s">
        <v>311</v>
      </c>
      <c r="C65" s="114">
        <v>0.15</v>
      </c>
      <c r="D65" s="111">
        <f t="shared" ref="D65:D69" si="21">C65</f>
        <v>0.15</v>
      </c>
    </row>
    <row r="66" spans="1:4" x14ac:dyDescent="0.3">
      <c r="A66" t="s">
        <v>275</v>
      </c>
      <c r="B66" t="s">
        <v>312</v>
      </c>
      <c r="C66" s="114">
        <v>7.0000000000000007E-2</v>
      </c>
      <c r="D66" s="111">
        <f t="shared" si="21"/>
        <v>7.0000000000000007E-2</v>
      </c>
    </row>
    <row r="67" spans="1:4" x14ac:dyDescent="0.3">
      <c r="A67" t="s">
        <v>275</v>
      </c>
      <c r="B67" t="s">
        <v>313</v>
      </c>
      <c r="C67" s="114">
        <f t="shared" ref="C67:C68" si="22">C60</f>
        <v>0.05</v>
      </c>
      <c r="D67" s="111">
        <f t="shared" si="21"/>
        <v>0.05</v>
      </c>
    </row>
    <row r="68" spans="1:4" x14ac:dyDescent="0.3">
      <c r="A68" t="s">
        <v>275</v>
      </c>
      <c r="B68" t="s">
        <v>18</v>
      </c>
      <c r="C68" s="114">
        <f t="shared" si="22"/>
        <v>0.8</v>
      </c>
      <c r="D68" s="111">
        <f t="shared" si="21"/>
        <v>0.8</v>
      </c>
    </row>
    <row r="69" spans="1:4" x14ac:dyDescent="0.3">
      <c r="A69" t="s">
        <v>275</v>
      </c>
      <c r="B69" t="s">
        <v>299</v>
      </c>
      <c r="C69" s="114">
        <v>1</v>
      </c>
      <c r="D69" s="111">
        <f t="shared" si="21"/>
        <v>1</v>
      </c>
    </row>
    <row r="71" spans="1:4" x14ac:dyDescent="0.3">
      <c r="B71" s="11" t="s">
        <v>276</v>
      </c>
    </row>
    <row r="72" spans="1:4" x14ac:dyDescent="0.3">
      <c r="A72" t="s">
        <v>276</v>
      </c>
      <c r="B72" t="s">
        <v>311</v>
      </c>
      <c r="C72" s="114">
        <v>0.13</v>
      </c>
      <c r="D72" s="111">
        <f t="shared" ref="D72:D76" si="23">C72</f>
        <v>0.13</v>
      </c>
    </row>
    <row r="73" spans="1:4" x14ac:dyDescent="0.3">
      <c r="A73" t="s">
        <v>276</v>
      </c>
      <c r="B73" t="s">
        <v>312</v>
      </c>
      <c r="C73" s="114">
        <v>0.04</v>
      </c>
      <c r="D73" s="111">
        <f t="shared" si="23"/>
        <v>0.04</v>
      </c>
    </row>
    <row r="74" spans="1:4" x14ac:dyDescent="0.3">
      <c r="A74" t="s">
        <v>276</v>
      </c>
      <c r="B74" t="s">
        <v>313</v>
      </c>
      <c r="C74" s="114">
        <v>0.03</v>
      </c>
      <c r="D74" s="111">
        <f t="shared" si="23"/>
        <v>0.03</v>
      </c>
    </row>
    <row r="75" spans="1:4" x14ac:dyDescent="0.3">
      <c r="A75" t="s">
        <v>276</v>
      </c>
      <c r="B75" t="s">
        <v>18</v>
      </c>
      <c r="C75" s="114">
        <f t="shared" ref="C75" si="24">C68</f>
        <v>0.8</v>
      </c>
      <c r="D75" s="111">
        <f t="shared" si="23"/>
        <v>0.8</v>
      </c>
    </row>
    <row r="76" spans="1:4" x14ac:dyDescent="0.3">
      <c r="A76" t="s">
        <v>276</v>
      </c>
      <c r="B76" t="s">
        <v>299</v>
      </c>
      <c r="C76" s="114">
        <v>1</v>
      </c>
      <c r="D76" s="111">
        <f t="shared" si="23"/>
        <v>1</v>
      </c>
    </row>
    <row r="78" spans="1:4" x14ac:dyDescent="0.3">
      <c r="B78" s="11" t="s">
        <v>277</v>
      </c>
    </row>
    <row r="79" spans="1:4" x14ac:dyDescent="0.3">
      <c r="A79" t="s">
        <v>277</v>
      </c>
      <c r="B79" t="s">
        <v>311</v>
      </c>
      <c r="C79" s="114">
        <f>C72</f>
        <v>0.13</v>
      </c>
      <c r="D79" s="111">
        <f t="shared" ref="D79:D83" si="25">C79</f>
        <v>0.13</v>
      </c>
    </row>
    <row r="80" spans="1:4" x14ac:dyDescent="0.3">
      <c r="A80" t="s">
        <v>277</v>
      </c>
      <c r="B80" t="s">
        <v>312</v>
      </c>
      <c r="C80" s="114">
        <f t="shared" ref="C80:C82" si="26">C73</f>
        <v>0.04</v>
      </c>
      <c r="D80" s="111">
        <f t="shared" si="25"/>
        <v>0.04</v>
      </c>
    </row>
    <row r="81" spans="1:4" x14ac:dyDescent="0.3">
      <c r="A81" t="s">
        <v>277</v>
      </c>
      <c r="B81" t="s">
        <v>313</v>
      </c>
      <c r="C81" s="114">
        <f t="shared" si="26"/>
        <v>0.03</v>
      </c>
      <c r="D81" s="111">
        <f t="shared" si="25"/>
        <v>0.03</v>
      </c>
    </row>
    <row r="82" spans="1:4" x14ac:dyDescent="0.3">
      <c r="A82" t="s">
        <v>277</v>
      </c>
      <c r="B82" t="s">
        <v>18</v>
      </c>
      <c r="C82" s="114">
        <f t="shared" si="26"/>
        <v>0.8</v>
      </c>
      <c r="D82" s="111">
        <f t="shared" si="25"/>
        <v>0.8</v>
      </c>
    </row>
    <row r="83" spans="1:4" x14ac:dyDescent="0.3">
      <c r="A83" t="s">
        <v>277</v>
      </c>
      <c r="B83" t="s">
        <v>299</v>
      </c>
      <c r="C83" s="114">
        <v>1</v>
      </c>
      <c r="D83" s="111">
        <f t="shared" si="25"/>
        <v>1</v>
      </c>
    </row>
    <row r="85" spans="1:4" x14ac:dyDescent="0.3">
      <c r="B85" s="11" t="s">
        <v>278</v>
      </c>
    </row>
    <row r="86" spans="1:4" x14ac:dyDescent="0.3">
      <c r="A86" t="s">
        <v>278</v>
      </c>
      <c r="B86" t="s">
        <v>311</v>
      </c>
      <c r="C86" s="114">
        <v>0.09</v>
      </c>
      <c r="D86" s="111">
        <f t="shared" ref="D86:D90" si="27">C86</f>
        <v>0.09</v>
      </c>
    </row>
    <row r="87" spans="1:4" x14ac:dyDescent="0.3">
      <c r="A87" t="s">
        <v>278</v>
      </c>
      <c r="B87" t="s">
        <v>312</v>
      </c>
      <c r="C87" s="114">
        <v>0.03</v>
      </c>
      <c r="D87" s="111">
        <f t="shared" si="27"/>
        <v>0.03</v>
      </c>
    </row>
    <row r="88" spans="1:4" x14ac:dyDescent="0.3">
      <c r="A88" t="s">
        <v>278</v>
      </c>
      <c r="B88" t="s">
        <v>313</v>
      </c>
      <c r="C88" s="114">
        <v>0.01</v>
      </c>
      <c r="D88" s="111">
        <f t="shared" si="27"/>
        <v>0.01</v>
      </c>
    </row>
    <row r="89" spans="1:4" x14ac:dyDescent="0.3">
      <c r="A89" t="s">
        <v>278</v>
      </c>
      <c r="B89" t="s">
        <v>18</v>
      </c>
      <c r="C89" s="114">
        <v>0.8</v>
      </c>
      <c r="D89" s="111">
        <f t="shared" si="27"/>
        <v>0.8</v>
      </c>
    </row>
    <row r="90" spans="1:4" x14ac:dyDescent="0.3">
      <c r="A90" t="s">
        <v>278</v>
      </c>
      <c r="B90" t="s">
        <v>299</v>
      </c>
      <c r="C90" s="114">
        <v>1</v>
      </c>
      <c r="D90" s="111">
        <f t="shared" si="27"/>
        <v>1</v>
      </c>
    </row>
    <row r="92" spans="1:4" x14ac:dyDescent="0.3">
      <c r="B92" s="11" t="s">
        <v>279</v>
      </c>
    </row>
    <row r="93" spans="1:4" x14ac:dyDescent="0.3">
      <c r="A93" t="s">
        <v>279</v>
      </c>
      <c r="B93" t="s">
        <v>311</v>
      </c>
      <c r="C93" s="114">
        <f>C79</f>
        <v>0.13</v>
      </c>
      <c r="D93" s="111">
        <f t="shared" ref="D93:D97" si="28">C93</f>
        <v>0.13</v>
      </c>
    </row>
    <row r="94" spans="1:4" x14ac:dyDescent="0.3">
      <c r="A94" t="s">
        <v>279</v>
      </c>
      <c r="B94" t="s">
        <v>312</v>
      </c>
      <c r="C94" s="114">
        <f t="shared" ref="C94:C97" si="29">C80</f>
        <v>0.04</v>
      </c>
      <c r="D94" s="111">
        <f t="shared" si="28"/>
        <v>0.04</v>
      </c>
    </row>
    <row r="95" spans="1:4" x14ac:dyDescent="0.3">
      <c r="A95" t="s">
        <v>279</v>
      </c>
      <c r="B95" t="s">
        <v>313</v>
      </c>
      <c r="C95" s="114">
        <f t="shared" si="29"/>
        <v>0.03</v>
      </c>
      <c r="D95" s="111">
        <f t="shared" si="28"/>
        <v>0.03</v>
      </c>
    </row>
    <row r="96" spans="1:4" x14ac:dyDescent="0.3">
      <c r="A96" t="s">
        <v>279</v>
      </c>
      <c r="B96" t="s">
        <v>18</v>
      </c>
      <c r="C96" s="114">
        <f t="shared" si="29"/>
        <v>0.8</v>
      </c>
      <c r="D96" s="111">
        <f t="shared" si="28"/>
        <v>0.8</v>
      </c>
    </row>
    <row r="97" spans="1:4" x14ac:dyDescent="0.3">
      <c r="A97" t="s">
        <v>279</v>
      </c>
      <c r="B97" t="s">
        <v>299</v>
      </c>
      <c r="C97" s="114">
        <f t="shared" si="29"/>
        <v>1</v>
      </c>
      <c r="D97" s="111">
        <f t="shared" si="28"/>
        <v>1</v>
      </c>
    </row>
    <row r="99" spans="1:4" x14ac:dyDescent="0.3">
      <c r="B99" s="11" t="s">
        <v>340</v>
      </c>
    </row>
    <row r="100" spans="1:4" x14ac:dyDescent="0.3">
      <c r="A100" t="s">
        <v>340</v>
      </c>
      <c r="B100" t="s">
        <v>311</v>
      </c>
      <c r="C100" s="114">
        <f>C86</f>
        <v>0.09</v>
      </c>
      <c r="D100" s="111">
        <f t="shared" ref="D100:D104" si="30">C100</f>
        <v>0.09</v>
      </c>
    </row>
    <row r="101" spans="1:4" x14ac:dyDescent="0.3">
      <c r="A101" t="s">
        <v>340</v>
      </c>
      <c r="B101" t="s">
        <v>312</v>
      </c>
      <c r="C101" s="114">
        <f t="shared" ref="C101:C104" si="31">C87</f>
        <v>0.03</v>
      </c>
      <c r="D101" s="111">
        <f t="shared" si="30"/>
        <v>0.03</v>
      </c>
    </row>
    <row r="102" spans="1:4" x14ac:dyDescent="0.3">
      <c r="A102" t="s">
        <v>340</v>
      </c>
      <c r="B102" t="s">
        <v>313</v>
      </c>
      <c r="C102" s="114">
        <f t="shared" si="31"/>
        <v>0.01</v>
      </c>
      <c r="D102" s="111">
        <f t="shared" si="30"/>
        <v>0.01</v>
      </c>
    </row>
    <row r="103" spans="1:4" x14ac:dyDescent="0.3">
      <c r="A103" t="s">
        <v>340</v>
      </c>
      <c r="B103" t="s">
        <v>18</v>
      </c>
      <c r="C103" s="114">
        <f t="shared" si="31"/>
        <v>0.8</v>
      </c>
      <c r="D103" s="111">
        <f t="shared" si="30"/>
        <v>0.8</v>
      </c>
    </row>
    <row r="104" spans="1:4" x14ac:dyDescent="0.3">
      <c r="A104" t="s">
        <v>340</v>
      </c>
      <c r="B104" t="s">
        <v>299</v>
      </c>
      <c r="C104" s="114">
        <f t="shared" si="31"/>
        <v>1</v>
      </c>
      <c r="D104" s="111">
        <f t="shared" si="30"/>
        <v>1</v>
      </c>
    </row>
    <row r="106" spans="1:4" x14ac:dyDescent="0.3">
      <c r="B106" s="11" t="s">
        <v>341</v>
      </c>
    </row>
    <row r="107" spans="1:4" x14ac:dyDescent="0.3">
      <c r="A107" t="s">
        <v>341</v>
      </c>
      <c r="B107" t="s">
        <v>311</v>
      </c>
      <c r="C107" s="114">
        <f>C100</f>
        <v>0.09</v>
      </c>
      <c r="D107" s="111">
        <f t="shared" ref="D107:D111" si="32">C107</f>
        <v>0.09</v>
      </c>
    </row>
    <row r="108" spans="1:4" x14ac:dyDescent="0.3">
      <c r="A108" t="s">
        <v>341</v>
      </c>
      <c r="B108" t="s">
        <v>312</v>
      </c>
      <c r="C108" s="114">
        <f t="shared" ref="C108:C111" si="33">C101</f>
        <v>0.03</v>
      </c>
      <c r="D108" s="111">
        <f t="shared" si="32"/>
        <v>0.03</v>
      </c>
    </row>
    <row r="109" spans="1:4" x14ac:dyDescent="0.3">
      <c r="A109" t="s">
        <v>341</v>
      </c>
      <c r="B109" t="s">
        <v>313</v>
      </c>
      <c r="C109" s="114">
        <f t="shared" si="33"/>
        <v>0.01</v>
      </c>
      <c r="D109" s="111">
        <f t="shared" si="32"/>
        <v>0.01</v>
      </c>
    </row>
    <row r="110" spans="1:4" x14ac:dyDescent="0.3">
      <c r="A110" t="s">
        <v>341</v>
      </c>
      <c r="B110" t="s">
        <v>18</v>
      </c>
      <c r="C110" s="114">
        <f t="shared" si="33"/>
        <v>0.8</v>
      </c>
      <c r="D110" s="111">
        <f t="shared" si="32"/>
        <v>0.8</v>
      </c>
    </row>
    <row r="111" spans="1:4" x14ac:dyDescent="0.3">
      <c r="A111" t="s">
        <v>341</v>
      </c>
      <c r="B111" t="s">
        <v>299</v>
      </c>
      <c r="C111" s="114">
        <f t="shared" si="33"/>
        <v>1</v>
      </c>
      <c r="D111" s="111">
        <f t="shared" si="32"/>
        <v>1</v>
      </c>
    </row>
    <row r="112" spans="1:4" x14ac:dyDescent="0.3">
      <c r="C112" s="137"/>
      <c r="D112" s="111"/>
    </row>
    <row r="113" spans="1:4" x14ac:dyDescent="0.3">
      <c r="B113" s="11" t="s">
        <v>342</v>
      </c>
    </row>
    <row r="114" spans="1:4" x14ac:dyDescent="0.3">
      <c r="A114" t="s">
        <v>342</v>
      </c>
      <c r="B114" t="s">
        <v>311</v>
      </c>
      <c r="C114" s="114">
        <f t="shared" ref="C114:C118" si="34">C107</f>
        <v>0.09</v>
      </c>
      <c r="D114" s="111">
        <f t="shared" ref="D114:D118" si="35">C114</f>
        <v>0.09</v>
      </c>
    </row>
    <row r="115" spans="1:4" x14ac:dyDescent="0.3">
      <c r="A115" t="s">
        <v>342</v>
      </c>
      <c r="B115" t="s">
        <v>312</v>
      </c>
      <c r="C115" s="114">
        <f t="shared" si="34"/>
        <v>0.03</v>
      </c>
      <c r="D115" s="111">
        <f t="shared" si="35"/>
        <v>0.03</v>
      </c>
    </row>
    <row r="116" spans="1:4" x14ac:dyDescent="0.3">
      <c r="A116" t="s">
        <v>342</v>
      </c>
      <c r="B116" t="s">
        <v>313</v>
      </c>
      <c r="C116" s="114">
        <f t="shared" si="34"/>
        <v>0.01</v>
      </c>
      <c r="D116" s="111">
        <f t="shared" si="35"/>
        <v>0.01</v>
      </c>
    </row>
    <row r="117" spans="1:4" x14ac:dyDescent="0.3">
      <c r="A117" t="s">
        <v>342</v>
      </c>
      <c r="B117" t="s">
        <v>18</v>
      </c>
      <c r="C117" s="114">
        <f t="shared" si="34"/>
        <v>0.8</v>
      </c>
      <c r="D117" s="111">
        <f t="shared" si="35"/>
        <v>0.8</v>
      </c>
    </row>
    <row r="118" spans="1:4" x14ac:dyDescent="0.3">
      <c r="A118" t="s">
        <v>342</v>
      </c>
      <c r="B118" t="s">
        <v>299</v>
      </c>
      <c r="C118" s="114">
        <f t="shared" si="34"/>
        <v>1</v>
      </c>
      <c r="D118" s="111">
        <f t="shared" si="35"/>
        <v>1</v>
      </c>
    </row>
    <row r="119" spans="1:4" x14ac:dyDescent="0.3">
      <c r="C119" s="137"/>
      <c r="D119" s="111"/>
    </row>
    <row r="120" spans="1:4" x14ac:dyDescent="0.3">
      <c r="B120" s="11" t="s">
        <v>343</v>
      </c>
    </row>
    <row r="121" spans="1:4" x14ac:dyDescent="0.3">
      <c r="A121" t="s">
        <v>343</v>
      </c>
      <c r="B121" t="s">
        <v>311</v>
      </c>
      <c r="C121" s="114">
        <f t="shared" ref="C121:C125" si="36">C114</f>
        <v>0.09</v>
      </c>
      <c r="D121" s="111">
        <f t="shared" ref="D121:D125" si="37">C121</f>
        <v>0.09</v>
      </c>
    </row>
    <row r="122" spans="1:4" x14ac:dyDescent="0.3">
      <c r="A122" t="s">
        <v>343</v>
      </c>
      <c r="B122" t="s">
        <v>312</v>
      </c>
      <c r="C122" s="114">
        <f t="shared" si="36"/>
        <v>0.03</v>
      </c>
      <c r="D122" s="111">
        <f t="shared" si="37"/>
        <v>0.03</v>
      </c>
    </row>
    <row r="123" spans="1:4" x14ac:dyDescent="0.3">
      <c r="A123" t="s">
        <v>343</v>
      </c>
      <c r="B123" t="s">
        <v>313</v>
      </c>
      <c r="C123" s="114">
        <f t="shared" si="36"/>
        <v>0.01</v>
      </c>
      <c r="D123" s="111">
        <f t="shared" si="37"/>
        <v>0.01</v>
      </c>
    </row>
    <row r="124" spans="1:4" x14ac:dyDescent="0.3">
      <c r="A124" t="s">
        <v>343</v>
      </c>
      <c r="B124" t="s">
        <v>18</v>
      </c>
      <c r="C124" s="114">
        <f t="shared" si="36"/>
        <v>0.8</v>
      </c>
      <c r="D124" s="111">
        <f t="shared" si="37"/>
        <v>0.8</v>
      </c>
    </row>
    <row r="125" spans="1:4" x14ac:dyDescent="0.3">
      <c r="A125" t="s">
        <v>343</v>
      </c>
      <c r="B125" t="s">
        <v>299</v>
      </c>
      <c r="C125" s="114">
        <f t="shared" si="36"/>
        <v>1</v>
      </c>
      <c r="D125" s="111">
        <f t="shared" si="37"/>
        <v>1</v>
      </c>
    </row>
    <row r="126" spans="1:4" x14ac:dyDescent="0.3">
      <c r="C126" s="137"/>
      <c r="D126" s="111"/>
    </row>
    <row r="127" spans="1:4" x14ac:dyDescent="0.3">
      <c r="B127" s="11" t="s">
        <v>344</v>
      </c>
    </row>
    <row r="128" spans="1:4" x14ac:dyDescent="0.3">
      <c r="A128" t="s">
        <v>344</v>
      </c>
      <c r="B128" t="s">
        <v>311</v>
      </c>
      <c r="C128" s="114">
        <f t="shared" ref="C128:C132" si="38">C121</f>
        <v>0.09</v>
      </c>
      <c r="D128" s="111">
        <f t="shared" ref="D128:D132" si="39">C128</f>
        <v>0.09</v>
      </c>
    </row>
    <row r="129" spans="1:4" x14ac:dyDescent="0.3">
      <c r="A129" t="s">
        <v>344</v>
      </c>
      <c r="B129" t="s">
        <v>312</v>
      </c>
      <c r="C129" s="114">
        <f t="shared" si="38"/>
        <v>0.03</v>
      </c>
      <c r="D129" s="111">
        <f t="shared" si="39"/>
        <v>0.03</v>
      </c>
    </row>
    <row r="130" spans="1:4" x14ac:dyDescent="0.3">
      <c r="A130" t="s">
        <v>344</v>
      </c>
      <c r="B130" t="s">
        <v>313</v>
      </c>
      <c r="C130" s="114">
        <f t="shared" si="38"/>
        <v>0.01</v>
      </c>
      <c r="D130" s="111">
        <f t="shared" si="39"/>
        <v>0.01</v>
      </c>
    </row>
    <row r="131" spans="1:4" x14ac:dyDescent="0.3">
      <c r="A131" t="s">
        <v>344</v>
      </c>
      <c r="B131" t="s">
        <v>18</v>
      </c>
      <c r="C131" s="114">
        <f t="shared" si="38"/>
        <v>0.8</v>
      </c>
      <c r="D131" s="111">
        <f t="shared" si="39"/>
        <v>0.8</v>
      </c>
    </row>
    <row r="132" spans="1:4" x14ac:dyDescent="0.3">
      <c r="A132" t="s">
        <v>344</v>
      </c>
      <c r="B132" t="s">
        <v>299</v>
      </c>
      <c r="C132" s="114">
        <f t="shared" si="38"/>
        <v>1</v>
      </c>
      <c r="D132" s="111">
        <f t="shared" si="39"/>
        <v>1</v>
      </c>
    </row>
    <row r="133" spans="1:4" x14ac:dyDescent="0.3">
      <c r="C133" s="137"/>
      <c r="D133" s="111"/>
    </row>
    <row r="134" spans="1:4" x14ac:dyDescent="0.3">
      <c r="B134" s="11" t="s">
        <v>345</v>
      </c>
    </row>
    <row r="135" spans="1:4" x14ac:dyDescent="0.3">
      <c r="A135" t="s">
        <v>345</v>
      </c>
      <c r="B135" t="s">
        <v>311</v>
      </c>
      <c r="C135" s="114">
        <f>C128</f>
        <v>0.09</v>
      </c>
      <c r="D135" s="111">
        <f t="shared" ref="D135:D139" si="40">C135</f>
        <v>0.09</v>
      </c>
    </row>
    <row r="136" spans="1:4" x14ac:dyDescent="0.3">
      <c r="A136" t="s">
        <v>345</v>
      </c>
      <c r="B136" t="s">
        <v>312</v>
      </c>
      <c r="C136" s="114">
        <f t="shared" ref="C136:C139" si="41">C129</f>
        <v>0.03</v>
      </c>
      <c r="D136" s="111">
        <f t="shared" si="40"/>
        <v>0.03</v>
      </c>
    </row>
    <row r="137" spans="1:4" x14ac:dyDescent="0.3">
      <c r="A137" t="s">
        <v>345</v>
      </c>
      <c r="B137" t="s">
        <v>313</v>
      </c>
      <c r="C137" s="114">
        <f t="shared" si="41"/>
        <v>0.01</v>
      </c>
      <c r="D137" s="111">
        <f t="shared" si="40"/>
        <v>0.01</v>
      </c>
    </row>
    <row r="138" spans="1:4" x14ac:dyDescent="0.3">
      <c r="A138" t="s">
        <v>345</v>
      </c>
      <c r="B138" t="s">
        <v>18</v>
      </c>
      <c r="C138" s="114">
        <f t="shared" si="41"/>
        <v>0.8</v>
      </c>
      <c r="D138" s="111">
        <f t="shared" si="40"/>
        <v>0.8</v>
      </c>
    </row>
    <row r="139" spans="1:4" x14ac:dyDescent="0.3">
      <c r="A139" t="s">
        <v>345</v>
      </c>
      <c r="B139" t="s">
        <v>299</v>
      </c>
      <c r="C139" s="114">
        <f t="shared" si="41"/>
        <v>1</v>
      </c>
      <c r="D139" s="111">
        <f t="shared" si="40"/>
        <v>1</v>
      </c>
    </row>
    <row r="140" spans="1:4" x14ac:dyDescent="0.3">
      <c r="C140" s="137"/>
      <c r="D140" s="111"/>
    </row>
    <row r="141" spans="1:4" x14ac:dyDescent="0.3">
      <c r="B141" s="11" t="s">
        <v>346</v>
      </c>
    </row>
    <row r="142" spans="1:4" x14ac:dyDescent="0.3">
      <c r="A142" t="s">
        <v>346</v>
      </c>
      <c r="B142" t="s">
        <v>311</v>
      </c>
      <c r="C142" s="114">
        <f>C135</f>
        <v>0.09</v>
      </c>
      <c r="D142" s="111">
        <f t="shared" ref="D142:D146" si="42">C142</f>
        <v>0.09</v>
      </c>
    </row>
    <row r="143" spans="1:4" x14ac:dyDescent="0.3">
      <c r="A143" t="s">
        <v>346</v>
      </c>
      <c r="B143" t="s">
        <v>312</v>
      </c>
      <c r="C143" s="114">
        <f t="shared" ref="C143:C146" si="43">C136</f>
        <v>0.03</v>
      </c>
      <c r="D143" s="111">
        <f t="shared" si="42"/>
        <v>0.03</v>
      </c>
    </row>
    <row r="144" spans="1:4" x14ac:dyDescent="0.3">
      <c r="A144" t="s">
        <v>346</v>
      </c>
      <c r="B144" t="s">
        <v>313</v>
      </c>
      <c r="C144" s="114">
        <f t="shared" si="43"/>
        <v>0.01</v>
      </c>
      <c r="D144" s="111">
        <f t="shared" si="42"/>
        <v>0.01</v>
      </c>
    </row>
    <row r="145" spans="1:4" x14ac:dyDescent="0.3">
      <c r="A145" t="s">
        <v>346</v>
      </c>
      <c r="B145" t="s">
        <v>18</v>
      </c>
      <c r="C145" s="114">
        <f t="shared" si="43"/>
        <v>0.8</v>
      </c>
      <c r="D145" s="111">
        <f t="shared" si="42"/>
        <v>0.8</v>
      </c>
    </row>
    <row r="146" spans="1:4" x14ac:dyDescent="0.3">
      <c r="A146" t="s">
        <v>346</v>
      </c>
      <c r="B146" t="s">
        <v>299</v>
      </c>
      <c r="C146" s="114">
        <f t="shared" si="43"/>
        <v>1</v>
      </c>
      <c r="D146" s="111">
        <f t="shared" si="42"/>
        <v>1</v>
      </c>
    </row>
    <row r="147" spans="1:4" x14ac:dyDescent="0.3">
      <c r="C147" s="137"/>
      <c r="D147" s="111"/>
    </row>
    <row r="148" spans="1:4" x14ac:dyDescent="0.3">
      <c r="B148" s="11" t="s">
        <v>347</v>
      </c>
    </row>
    <row r="149" spans="1:4" x14ac:dyDescent="0.3">
      <c r="A149" t="s">
        <v>347</v>
      </c>
      <c r="B149" t="s">
        <v>311</v>
      </c>
      <c r="C149" s="114">
        <f>C142</f>
        <v>0.09</v>
      </c>
      <c r="D149" s="111">
        <f t="shared" ref="D149:D153" si="44">C149</f>
        <v>0.09</v>
      </c>
    </row>
    <row r="150" spans="1:4" x14ac:dyDescent="0.3">
      <c r="A150" t="s">
        <v>347</v>
      </c>
      <c r="B150" t="s">
        <v>312</v>
      </c>
      <c r="C150" s="114">
        <f t="shared" ref="C150:C153" si="45">C143</f>
        <v>0.03</v>
      </c>
      <c r="D150" s="111">
        <f t="shared" si="44"/>
        <v>0.03</v>
      </c>
    </row>
    <row r="151" spans="1:4" x14ac:dyDescent="0.3">
      <c r="A151" t="s">
        <v>347</v>
      </c>
      <c r="B151" t="s">
        <v>313</v>
      </c>
      <c r="C151" s="114">
        <f t="shared" si="45"/>
        <v>0.01</v>
      </c>
      <c r="D151" s="111">
        <f t="shared" si="44"/>
        <v>0.01</v>
      </c>
    </row>
    <row r="152" spans="1:4" x14ac:dyDescent="0.3">
      <c r="A152" t="s">
        <v>347</v>
      </c>
      <c r="B152" t="s">
        <v>18</v>
      </c>
      <c r="C152" s="114">
        <f t="shared" si="45"/>
        <v>0.8</v>
      </c>
      <c r="D152" s="111">
        <f t="shared" si="44"/>
        <v>0.8</v>
      </c>
    </row>
    <row r="153" spans="1:4" x14ac:dyDescent="0.3">
      <c r="A153" t="s">
        <v>347</v>
      </c>
      <c r="B153" t="s">
        <v>299</v>
      </c>
      <c r="C153" s="114">
        <f t="shared" si="45"/>
        <v>1</v>
      </c>
      <c r="D153" s="111">
        <f t="shared" si="44"/>
        <v>1</v>
      </c>
    </row>
    <row r="154" spans="1:4" x14ac:dyDescent="0.3">
      <c r="C154" s="137"/>
      <c r="D154" s="111"/>
    </row>
    <row r="155" spans="1:4" x14ac:dyDescent="0.3">
      <c r="B155" s="11" t="s">
        <v>348</v>
      </c>
    </row>
    <row r="156" spans="1:4" x14ac:dyDescent="0.3">
      <c r="A156" t="s">
        <v>348</v>
      </c>
      <c r="B156" t="s">
        <v>311</v>
      </c>
      <c r="C156" s="114">
        <f>C149</f>
        <v>0.09</v>
      </c>
      <c r="D156" s="111">
        <f t="shared" ref="D156:D160" si="46">C156</f>
        <v>0.09</v>
      </c>
    </row>
    <row r="157" spans="1:4" x14ac:dyDescent="0.3">
      <c r="A157" t="s">
        <v>348</v>
      </c>
      <c r="B157" t="s">
        <v>312</v>
      </c>
      <c r="C157" s="114">
        <f t="shared" ref="C157:C160" si="47">C150</f>
        <v>0.03</v>
      </c>
      <c r="D157" s="111">
        <f t="shared" si="46"/>
        <v>0.03</v>
      </c>
    </row>
    <row r="158" spans="1:4" x14ac:dyDescent="0.3">
      <c r="A158" t="s">
        <v>348</v>
      </c>
      <c r="B158" t="s">
        <v>313</v>
      </c>
      <c r="C158" s="114">
        <f t="shared" si="47"/>
        <v>0.01</v>
      </c>
      <c r="D158" s="111">
        <f t="shared" si="46"/>
        <v>0.01</v>
      </c>
    </row>
    <row r="159" spans="1:4" x14ac:dyDescent="0.3">
      <c r="A159" t="s">
        <v>348</v>
      </c>
      <c r="B159" t="s">
        <v>18</v>
      </c>
      <c r="C159" s="114">
        <f t="shared" si="47"/>
        <v>0.8</v>
      </c>
      <c r="D159" s="111">
        <f t="shared" si="46"/>
        <v>0.8</v>
      </c>
    </row>
    <row r="160" spans="1:4" x14ac:dyDescent="0.3">
      <c r="A160" t="s">
        <v>348</v>
      </c>
      <c r="B160" t="s">
        <v>299</v>
      </c>
      <c r="C160" s="114">
        <f t="shared" si="47"/>
        <v>1</v>
      </c>
      <c r="D160" s="111">
        <f t="shared" si="46"/>
        <v>1</v>
      </c>
    </row>
    <row r="163" spans="1:3" x14ac:dyDescent="0.3">
      <c r="B163" s="11" t="s">
        <v>38</v>
      </c>
    </row>
    <row r="164" spans="1:3" x14ac:dyDescent="0.3">
      <c r="B164" s="11"/>
    </row>
    <row r="165" spans="1:3" x14ac:dyDescent="0.3">
      <c r="B165" s="11"/>
    </row>
    <row r="166" spans="1:3" x14ac:dyDescent="0.3">
      <c r="B166" s="11"/>
    </row>
    <row r="167" spans="1:3" x14ac:dyDescent="0.3">
      <c r="B167" s="11"/>
    </row>
    <row r="168" spans="1:3" x14ac:dyDescent="0.3">
      <c r="B168" s="11"/>
    </row>
    <row r="169" spans="1:3" x14ac:dyDescent="0.3">
      <c r="B169" s="11" t="s">
        <v>278</v>
      </c>
      <c r="C169" s="90">
        <f>C170*C171*C172*C173</f>
        <v>1</v>
      </c>
    </row>
    <row r="170" spans="1:3" x14ac:dyDescent="0.3">
      <c r="A170" t="s">
        <v>278</v>
      </c>
      <c r="B170" t="s">
        <v>35</v>
      </c>
      <c r="C170" s="137">
        <v>1</v>
      </c>
    </row>
    <row r="171" spans="1:3" x14ac:dyDescent="0.3">
      <c r="A171" t="s">
        <v>278</v>
      </c>
      <c r="B171" t="s">
        <v>36</v>
      </c>
      <c r="C171" s="137">
        <v>1</v>
      </c>
    </row>
    <row r="172" spans="1:3" x14ac:dyDescent="0.3">
      <c r="A172" t="s">
        <v>278</v>
      </c>
      <c r="B172" t="s">
        <v>142</v>
      </c>
      <c r="C172" s="137">
        <v>1</v>
      </c>
    </row>
    <row r="173" spans="1:3" x14ac:dyDescent="0.3">
      <c r="A173" t="s">
        <v>278</v>
      </c>
      <c r="B173" t="s">
        <v>37</v>
      </c>
      <c r="C173" s="137">
        <v>1</v>
      </c>
    </row>
    <row r="174" spans="1:3" x14ac:dyDescent="0.3">
      <c r="B174" s="11"/>
    </row>
    <row r="175" spans="1:3" x14ac:dyDescent="0.3">
      <c r="B175" s="11" t="s">
        <v>279</v>
      </c>
      <c r="C175" s="90">
        <f>C176*C177*C178*C179</f>
        <v>1</v>
      </c>
    </row>
    <row r="176" spans="1:3" x14ac:dyDescent="0.3">
      <c r="A176" t="s">
        <v>279</v>
      </c>
      <c r="B176" t="s">
        <v>35</v>
      </c>
      <c r="C176" s="137">
        <v>1</v>
      </c>
    </row>
    <row r="177" spans="1:3" x14ac:dyDescent="0.3">
      <c r="A177" t="s">
        <v>279</v>
      </c>
      <c r="B177" t="s">
        <v>36</v>
      </c>
      <c r="C177" s="137">
        <v>1</v>
      </c>
    </row>
    <row r="178" spans="1:3" x14ac:dyDescent="0.3">
      <c r="A178" t="s">
        <v>279</v>
      </c>
      <c r="B178" t="s">
        <v>142</v>
      </c>
      <c r="C178" s="137">
        <v>1</v>
      </c>
    </row>
    <row r="179" spans="1:3" x14ac:dyDescent="0.3">
      <c r="A179" t="s">
        <v>279</v>
      </c>
      <c r="B179" t="s">
        <v>37</v>
      </c>
      <c r="C179" s="137">
        <v>1</v>
      </c>
    </row>
    <row r="181" spans="1:3" x14ac:dyDescent="0.3">
      <c r="B181" s="11" t="s">
        <v>340</v>
      </c>
      <c r="C181" s="90">
        <f>C182*C183*C184*C185</f>
        <v>1</v>
      </c>
    </row>
    <row r="182" spans="1:3" x14ac:dyDescent="0.3">
      <c r="A182" t="s">
        <v>340</v>
      </c>
      <c r="B182" t="s">
        <v>35</v>
      </c>
      <c r="C182" s="137">
        <f>C176</f>
        <v>1</v>
      </c>
    </row>
    <row r="183" spans="1:3" x14ac:dyDescent="0.3">
      <c r="A183" t="s">
        <v>340</v>
      </c>
      <c r="B183" t="s">
        <v>36</v>
      </c>
      <c r="C183" s="137">
        <f t="shared" ref="C183:C185" si="48">C177</f>
        <v>1</v>
      </c>
    </row>
    <row r="184" spans="1:3" x14ac:dyDescent="0.3">
      <c r="A184" t="s">
        <v>340</v>
      </c>
      <c r="B184" t="s">
        <v>142</v>
      </c>
      <c r="C184" s="137">
        <f t="shared" si="48"/>
        <v>1</v>
      </c>
    </row>
    <row r="185" spans="1:3" x14ac:dyDescent="0.3">
      <c r="A185" t="s">
        <v>340</v>
      </c>
      <c r="B185" t="s">
        <v>37</v>
      </c>
      <c r="C185" s="137">
        <f t="shared" si="48"/>
        <v>1</v>
      </c>
    </row>
    <row r="187" spans="1:3" x14ac:dyDescent="0.3">
      <c r="B187" s="11" t="s">
        <v>341</v>
      </c>
      <c r="C187" s="90">
        <f>C188*C189*C190*C191</f>
        <v>1</v>
      </c>
    </row>
    <row r="188" spans="1:3" x14ac:dyDescent="0.3">
      <c r="A188" t="s">
        <v>341</v>
      </c>
      <c r="B188" t="s">
        <v>35</v>
      </c>
      <c r="C188" s="137">
        <f>C176</f>
        <v>1</v>
      </c>
    </row>
    <row r="189" spans="1:3" x14ac:dyDescent="0.3">
      <c r="A189" t="s">
        <v>341</v>
      </c>
      <c r="B189" t="s">
        <v>36</v>
      </c>
      <c r="C189" s="137">
        <f t="shared" ref="C189:C191" si="49">C177</f>
        <v>1</v>
      </c>
    </row>
    <row r="190" spans="1:3" x14ac:dyDescent="0.3">
      <c r="A190" t="s">
        <v>341</v>
      </c>
      <c r="B190" t="s">
        <v>142</v>
      </c>
      <c r="C190" s="137">
        <f t="shared" si="49"/>
        <v>1</v>
      </c>
    </row>
    <row r="191" spans="1:3" x14ac:dyDescent="0.3">
      <c r="A191" t="s">
        <v>341</v>
      </c>
      <c r="B191" t="s">
        <v>37</v>
      </c>
      <c r="C191" s="137">
        <f t="shared" si="49"/>
        <v>1</v>
      </c>
    </row>
    <row r="192" spans="1:3" x14ac:dyDescent="0.3">
      <c r="C192" s="137"/>
    </row>
    <row r="193" spans="1:3" x14ac:dyDescent="0.3">
      <c r="B193" s="11" t="s">
        <v>342</v>
      </c>
      <c r="C193" s="90">
        <f>C194*C195*C196*C197</f>
        <v>1</v>
      </c>
    </row>
    <row r="194" spans="1:3" x14ac:dyDescent="0.3">
      <c r="A194" t="s">
        <v>342</v>
      </c>
      <c r="B194" t="s">
        <v>35</v>
      </c>
      <c r="C194" s="137">
        <f>C182</f>
        <v>1</v>
      </c>
    </row>
    <row r="195" spans="1:3" x14ac:dyDescent="0.3">
      <c r="A195" t="s">
        <v>342</v>
      </c>
      <c r="B195" t="s">
        <v>36</v>
      </c>
      <c r="C195" s="137">
        <f t="shared" ref="C195:C197" si="50">C183</f>
        <v>1</v>
      </c>
    </row>
    <row r="196" spans="1:3" x14ac:dyDescent="0.3">
      <c r="A196" t="s">
        <v>342</v>
      </c>
      <c r="B196" t="s">
        <v>142</v>
      </c>
      <c r="C196" s="137">
        <f t="shared" si="50"/>
        <v>1</v>
      </c>
    </row>
    <row r="197" spans="1:3" x14ac:dyDescent="0.3">
      <c r="A197" t="s">
        <v>342</v>
      </c>
      <c r="B197" t="s">
        <v>37</v>
      </c>
      <c r="C197" s="137">
        <f t="shared" si="50"/>
        <v>1</v>
      </c>
    </row>
    <row r="198" spans="1:3" x14ac:dyDescent="0.3">
      <c r="C198" s="137"/>
    </row>
    <row r="199" spans="1:3" x14ac:dyDescent="0.3">
      <c r="B199" s="11" t="s">
        <v>343</v>
      </c>
      <c r="C199" s="90">
        <f>C200*C201*C202*C203</f>
        <v>1</v>
      </c>
    </row>
    <row r="200" spans="1:3" x14ac:dyDescent="0.3">
      <c r="A200" t="s">
        <v>343</v>
      </c>
      <c r="B200" t="s">
        <v>35</v>
      </c>
      <c r="C200" s="137">
        <f>C188</f>
        <v>1</v>
      </c>
    </row>
    <row r="201" spans="1:3" x14ac:dyDescent="0.3">
      <c r="A201" t="s">
        <v>343</v>
      </c>
      <c r="B201" t="s">
        <v>36</v>
      </c>
      <c r="C201" s="137">
        <f t="shared" ref="C201:C203" si="51">C189</f>
        <v>1</v>
      </c>
    </row>
    <row r="202" spans="1:3" x14ac:dyDescent="0.3">
      <c r="A202" t="s">
        <v>343</v>
      </c>
      <c r="B202" t="s">
        <v>142</v>
      </c>
      <c r="C202" s="137">
        <f t="shared" si="51"/>
        <v>1</v>
      </c>
    </row>
    <row r="203" spans="1:3" x14ac:dyDescent="0.3">
      <c r="A203" t="s">
        <v>343</v>
      </c>
      <c r="B203" t="s">
        <v>37</v>
      </c>
      <c r="C203" s="137">
        <f t="shared" si="51"/>
        <v>1</v>
      </c>
    </row>
    <row r="204" spans="1:3" x14ac:dyDescent="0.3">
      <c r="C204" s="137"/>
    </row>
    <row r="205" spans="1:3" x14ac:dyDescent="0.3">
      <c r="B205" s="11" t="s">
        <v>344</v>
      </c>
      <c r="C205" s="90">
        <f>C206*C207*C208*C209</f>
        <v>1</v>
      </c>
    </row>
    <row r="206" spans="1:3" x14ac:dyDescent="0.3">
      <c r="A206" t="s">
        <v>344</v>
      </c>
      <c r="B206" t="s">
        <v>35</v>
      </c>
      <c r="C206" s="137">
        <f>C194</f>
        <v>1</v>
      </c>
    </row>
    <row r="207" spans="1:3" x14ac:dyDescent="0.3">
      <c r="A207" t="s">
        <v>344</v>
      </c>
      <c r="B207" t="s">
        <v>36</v>
      </c>
      <c r="C207" s="137">
        <f t="shared" ref="C207:C209" si="52">C195</f>
        <v>1</v>
      </c>
    </row>
    <row r="208" spans="1:3" x14ac:dyDescent="0.3">
      <c r="A208" t="s">
        <v>344</v>
      </c>
      <c r="B208" t="s">
        <v>142</v>
      </c>
      <c r="C208" s="137">
        <f t="shared" si="52"/>
        <v>1</v>
      </c>
    </row>
    <row r="209" spans="1:3" x14ac:dyDescent="0.3">
      <c r="A209" t="s">
        <v>344</v>
      </c>
      <c r="B209" t="s">
        <v>37</v>
      </c>
      <c r="C209" s="137">
        <f t="shared" si="52"/>
        <v>1</v>
      </c>
    </row>
    <row r="210" spans="1:3" x14ac:dyDescent="0.3">
      <c r="C210" s="137"/>
    </row>
    <row r="211" spans="1:3" x14ac:dyDescent="0.3">
      <c r="B211" s="11" t="s">
        <v>345</v>
      </c>
      <c r="C211" s="90">
        <f>C212*C213*C214*C215</f>
        <v>1</v>
      </c>
    </row>
    <row r="212" spans="1:3" x14ac:dyDescent="0.3">
      <c r="A212" t="s">
        <v>345</v>
      </c>
      <c r="B212" t="s">
        <v>35</v>
      </c>
      <c r="C212" s="137">
        <f>C200</f>
        <v>1</v>
      </c>
    </row>
    <row r="213" spans="1:3" x14ac:dyDescent="0.3">
      <c r="A213" t="s">
        <v>345</v>
      </c>
      <c r="B213" t="s">
        <v>36</v>
      </c>
      <c r="C213" s="137">
        <f t="shared" ref="C213:C215" si="53">C201</f>
        <v>1</v>
      </c>
    </row>
    <row r="214" spans="1:3" x14ac:dyDescent="0.3">
      <c r="A214" t="s">
        <v>345</v>
      </c>
      <c r="B214" t="s">
        <v>142</v>
      </c>
      <c r="C214" s="137">
        <f t="shared" si="53"/>
        <v>1</v>
      </c>
    </row>
    <row r="215" spans="1:3" x14ac:dyDescent="0.3">
      <c r="A215" t="s">
        <v>345</v>
      </c>
      <c r="B215" t="s">
        <v>37</v>
      </c>
      <c r="C215" s="137">
        <f t="shared" si="53"/>
        <v>1</v>
      </c>
    </row>
    <row r="216" spans="1:3" x14ac:dyDescent="0.3">
      <c r="C216" s="137"/>
    </row>
    <row r="217" spans="1:3" x14ac:dyDescent="0.3">
      <c r="B217" s="11" t="s">
        <v>346</v>
      </c>
      <c r="C217" s="90">
        <f>C218*C219*C220*C221</f>
        <v>1</v>
      </c>
    </row>
    <row r="218" spans="1:3" x14ac:dyDescent="0.3">
      <c r="A218" t="s">
        <v>346</v>
      </c>
      <c r="B218" t="s">
        <v>35</v>
      </c>
      <c r="C218" s="137">
        <f>C206</f>
        <v>1</v>
      </c>
    </row>
    <row r="219" spans="1:3" x14ac:dyDescent="0.3">
      <c r="A219" t="s">
        <v>346</v>
      </c>
      <c r="B219" t="s">
        <v>36</v>
      </c>
      <c r="C219" s="137">
        <f t="shared" ref="C219:C221" si="54">C207</f>
        <v>1</v>
      </c>
    </row>
    <row r="220" spans="1:3" x14ac:dyDescent="0.3">
      <c r="A220" t="s">
        <v>346</v>
      </c>
      <c r="B220" t="s">
        <v>142</v>
      </c>
      <c r="C220" s="137">
        <f t="shared" si="54"/>
        <v>1</v>
      </c>
    </row>
    <row r="221" spans="1:3" x14ac:dyDescent="0.3">
      <c r="A221" t="s">
        <v>346</v>
      </c>
      <c r="B221" t="s">
        <v>37</v>
      </c>
      <c r="C221" s="137">
        <f t="shared" si="54"/>
        <v>1</v>
      </c>
    </row>
    <row r="222" spans="1:3" x14ac:dyDescent="0.3">
      <c r="C222" s="137"/>
    </row>
    <row r="223" spans="1:3" x14ac:dyDescent="0.3">
      <c r="B223" s="11" t="s">
        <v>347</v>
      </c>
      <c r="C223" s="90">
        <f>C224*C225*C226*C227</f>
        <v>1</v>
      </c>
    </row>
    <row r="224" spans="1:3" x14ac:dyDescent="0.3">
      <c r="A224" t="s">
        <v>347</v>
      </c>
      <c r="B224" t="s">
        <v>35</v>
      </c>
      <c r="C224" s="137">
        <f>C212</f>
        <v>1</v>
      </c>
    </row>
    <row r="225" spans="1:3" x14ac:dyDescent="0.3">
      <c r="A225" t="s">
        <v>347</v>
      </c>
      <c r="B225" t="s">
        <v>36</v>
      </c>
      <c r="C225" s="137">
        <f t="shared" ref="C225:C227" si="55">C213</f>
        <v>1</v>
      </c>
    </row>
    <row r="226" spans="1:3" x14ac:dyDescent="0.3">
      <c r="A226" t="s">
        <v>347</v>
      </c>
      <c r="B226" t="s">
        <v>142</v>
      </c>
      <c r="C226" s="137">
        <f t="shared" si="55"/>
        <v>1</v>
      </c>
    </row>
    <row r="227" spans="1:3" x14ac:dyDescent="0.3">
      <c r="A227" t="s">
        <v>347</v>
      </c>
      <c r="B227" t="s">
        <v>37</v>
      </c>
      <c r="C227" s="137">
        <f t="shared" si="55"/>
        <v>1</v>
      </c>
    </row>
    <row r="228" spans="1:3" x14ac:dyDescent="0.3">
      <c r="C228" s="137"/>
    </row>
    <row r="229" spans="1:3" x14ac:dyDescent="0.3">
      <c r="B229" s="11" t="s">
        <v>348</v>
      </c>
      <c r="C229" s="90">
        <f>C230*C231*C232*C233</f>
        <v>1</v>
      </c>
    </row>
    <row r="230" spans="1:3" x14ac:dyDescent="0.3">
      <c r="A230" t="s">
        <v>348</v>
      </c>
      <c r="B230" t="s">
        <v>35</v>
      </c>
      <c r="C230" s="137">
        <f>C218</f>
        <v>1</v>
      </c>
    </row>
    <row r="231" spans="1:3" x14ac:dyDescent="0.3">
      <c r="A231" t="s">
        <v>348</v>
      </c>
      <c r="B231" t="s">
        <v>36</v>
      </c>
      <c r="C231" s="137">
        <f t="shared" ref="C231:C233" si="56">C219</f>
        <v>1</v>
      </c>
    </row>
    <row r="232" spans="1:3" x14ac:dyDescent="0.3">
      <c r="A232" t="s">
        <v>348</v>
      </c>
      <c r="B232" t="s">
        <v>142</v>
      </c>
      <c r="C232" s="137">
        <f t="shared" si="56"/>
        <v>1</v>
      </c>
    </row>
    <row r="233" spans="1:3" x14ac:dyDescent="0.3">
      <c r="A233" t="s">
        <v>348</v>
      </c>
      <c r="B233" t="s">
        <v>37</v>
      </c>
      <c r="C233" s="137">
        <f t="shared" si="56"/>
        <v>1</v>
      </c>
    </row>
    <row r="234" spans="1:3" x14ac:dyDescent="0.3">
      <c r="C234" s="137"/>
    </row>
    <row r="235" spans="1:3" x14ac:dyDescent="0.3">
      <c r="C235" s="137"/>
    </row>
    <row r="236" spans="1:3" x14ac:dyDescent="0.3">
      <c r="C236" s="137"/>
    </row>
    <row r="237" spans="1:3" x14ac:dyDescent="0.3">
      <c r="C237" s="137"/>
    </row>
    <row r="238" spans="1:3" x14ac:dyDescent="0.3">
      <c r="C238" s="137"/>
    </row>
    <row r="239" spans="1:3" x14ac:dyDescent="0.3">
      <c r="C239" s="137"/>
    </row>
    <row r="240" spans="1:3" x14ac:dyDescent="0.3">
      <c r="C240" s="137"/>
    </row>
    <row r="241" spans="3:3" x14ac:dyDescent="0.3">
      <c r="C241" s="137"/>
    </row>
    <row r="242" spans="3:3" x14ac:dyDescent="0.3">
      <c r="C242" s="137"/>
    </row>
    <row r="243" spans="3:3" x14ac:dyDescent="0.3">
      <c r="C243" s="137"/>
    </row>
    <row r="244" spans="3:3" x14ac:dyDescent="0.3">
      <c r="C244" s="137"/>
    </row>
    <row r="245" spans="3:3" x14ac:dyDescent="0.3">
      <c r="C245" s="137"/>
    </row>
    <row r="246" spans="3:3" x14ac:dyDescent="0.3">
      <c r="C246" s="137"/>
    </row>
    <row r="247" spans="3:3" x14ac:dyDescent="0.3">
      <c r="C247" s="137"/>
    </row>
    <row r="248" spans="3:3" x14ac:dyDescent="0.3">
      <c r="C248" s="137"/>
    </row>
    <row r="249" spans="3:3" x14ac:dyDescent="0.3">
      <c r="C249" s="137"/>
    </row>
    <row r="250" spans="3:3" x14ac:dyDescent="0.3">
      <c r="C250" s="137"/>
    </row>
    <row r="251" spans="3:3" x14ac:dyDescent="0.3">
      <c r="C251" s="137"/>
    </row>
    <row r="252" spans="3:3" x14ac:dyDescent="0.3">
      <c r="C252" s="137"/>
    </row>
    <row r="253" spans="3:3" x14ac:dyDescent="0.3">
      <c r="C253" s="137"/>
    </row>
    <row r="254" spans="3:3" x14ac:dyDescent="0.3">
      <c r="C254" s="137"/>
    </row>
    <row r="255" spans="3:3" x14ac:dyDescent="0.3">
      <c r="C255" s="137"/>
    </row>
    <row r="256" spans="3:3" x14ac:dyDescent="0.3">
      <c r="C256" s="137"/>
    </row>
    <row r="257" spans="3:3" x14ac:dyDescent="0.3">
      <c r="C257" s="137"/>
    </row>
    <row r="258" spans="3:3" x14ac:dyDescent="0.3">
      <c r="C258" s="137"/>
    </row>
    <row r="259" spans="3:3" x14ac:dyDescent="0.3">
      <c r="C259" s="137"/>
    </row>
    <row r="260" spans="3:3" x14ac:dyDescent="0.3">
      <c r="C260" s="137"/>
    </row>
    <row r="261" spans="3:3" x14ac:dyDescent="0.3">
      <c r="C261" s="137"/>
    </row>
    <row r="262" spans="3:3" x14ac:dyDescent="0.3">
      <c r="C262" s="137"/>
    </row>
  </sheetData>
  <mergeCells count="7">
    <mergeCell ref="C62:D62"/>
    <mergeCell ref="C36:D36"/>
    <mergeCell ref="E36:F36"/>
    <mergeCell ref="C58:D58"/>
    <mergeCell ref="C59:D59"/>
    <mergeCell ref="C60:D60"/>
    <mergeCell ref="C61:D61"/>
  </mergeCells>
  <phoneticPr fontId="5" type="noConversion"/>
  <conditionalFormatting sqref="C11:C14 I38:K38 J37 I39:J39 G36 C38:F52">
    <cfRule type="expression" dxfId="43" priority="30">
      <formula>NOT(_xlfn.ISFORMULA(C11))</formula>
    </cfRule>
  </conditionalFormatting>
  <conditionalFormatting sqref="C13">
    <cfRule type="expression" dxfId="42" priority="29">
      <formula>NOT(_xlfn.ISFORMULA(C13))</formula>
    </cfRule>
  </conditionalFormatting>
  <conditionalFormatting sqref="D16">
    <cfRule type="expression" dxfId="41" priority="28">
      <formula>NOT(_xlfn.ISFORMULA(D16))</formula>
    </cfRule>
  </conditionalFormatting>
  <conditionalFormatting sqref="D19:D34">
    <cfRule type="expression" dxfId="40" priority="27">
      <formula>NOT(_xlfn.ISFORMULA(D19))</formula>
    </cfRule>
  </conditionalFormatting>
  <conditionalFormatting sqref="C19:C34">
    <cfRule type="expression" dxfId="39" priority="26">
      <formula>NOT(_xlfn.ISFORMULA(C19))</formula>
    </cfRule>
  </conditionalFormatting>
  <conditionalFormatting sqref="C15:C16">
    <cfRule type="expression" dxfId="38" priority="25">
      <formula>NOT(_xlfn.ISFORMULA(C15))</formula>
    </cfRule>
  </conditionalFormatting>
  <conditionalFormatting sqref="C58:C62">
    <cfRule type="expression" dxfId="37" priority="24">
      <formula>NOT(_xlfn.ISFORMULA(C58))</formula>
    </cfRule>
  </conditionalFormatting>
  <conditionalFormatting sqref="C65:C69">
    <cfRule type="expression" dxfId="36" priority="23">
      <formula>NOT(_xlfn.ISFORMULA(C65))</formula>
    </cfRule>
  </conditionalFormatting>
  <conditionalFormatting sqref="D65:D69">
    <cfRule type="expression" dxfId="35" priority="22">
      <formula>NOT(_xlfn.ISFORMULA(D65))</formula>
    </cfRule>
  </conditionalFormatting>
  <conditionalFormatting sqref="C72:C76">
    <cfRule type="expression" dxfId="34" priority="21">
      <formula>NOT(_xlfn.ISFORMULA(C72))</formula>
    </cfRule>
  </conditionalFormatting>
  <conditionalFormatting sqref="D72:D76">
    <cfRule type="expression" dxfId="33" priority="20">
      <formula>NOT(_xlfn.ISFORMULA(D72))</formula>
    </cfRule>
  </conditionalFormatting>
  <conditionalFormatting sqref="C79:C83">
    <cfRule type="expression" dxfId="32" priority="19">
      <formula>NOT(_xlfn.ISFORMULA(C79))</formula>
    </cfRule>
  </conditionalFormatting>
  <conditionalFormatting sqref="D79:D83">
    <cfRule type="expression" dxfId="31" priority="18">
      <formula>NOT(_xlfn.ISFORMULA(D79))</formula>
    </cfRule>
  </conditionalFormatting>
  <conditionalFormatting sqref="D86:D90">
    <cfRule type="expression" dxfId="30" priority="17">
      <formula>NOT(_xlfn.ISFORMULA(D86))</formula>
    </cfRule>
  </conditionalFormatting>
  <conditionalFormatting sqref="C86:C90">
    <cfRule type="expression" dxfId="29" priority="16">
      <formula>NOT(_xlfn.ISFORMULA(C86))</formula>
    </cfRule>
  </conditionalFormatting>
  <conditionalFormatting sqref="F58:F62">
    <cfRule type="expression" dxfId="28" priority="15">
      <formula>NOT(_xlfn.ISFORMULA(F58))</formula>
    </cfRule>
  </conditionalFormatting>
  <conditionalFormatting sqref="C176:C179">
    <cfRule type="expression" dxfId="27" priority="14">
      <formula>NOT(_xlfn.ISFORMULA(C176))</formula>
    </cfRule>
  </conditionalFormatting>
  <conditionalFormatting sqref="C182:C185">
    <cfRule type="expression" dxfId="26" priority="12">
      <formula>NOT(_xlfn.ISFORMULA(C182))</formula>
    </cfRule>
  </conditionalFormatting>
  <conditionalFormatting sqref="C188:C192 C194:C198 C200:C204 C206:C210 C212:C216 C218:C222 C224:C228 C230:C262">
    <cfRule type="expression" dxfId="25" priority="11">
      <formula>NOT(_xlfn.ISFORMULA(C188))</formula>
    </cfRule>
  </conditionalFormatting>
  <conditionalFormatting sqref="D93:D97">
    <cfRule type="expression" dxfId="24" priority="10">
      <formula>NOT(_xlfn.ISFORMULA(D93))</formula>
    </cfRule>
  </conditionalFormatting>
  <conditionalFormatting sqref="C93:C97">
    <cfRule type="expression" dxfId="23" priority="9">
      <formula>NOT(_xlfn.ISFORMULA(C93))</formula>
    </cfRule>
  </conditionalFormatting>
  <conditionalFormatting sqref="D100:D104">
    <cfRule type="expression" dxfId="22" priority="7">
      <formula>NOT(_xlfn.ISFORMULA(D100))</formula>
    </cfRule>
  </conditionalFormatting>
  <conditionalFormatting sqref="C100:C104">
    <cfRule type="expression" dxfId="21" priority="6">
      <formula>NOT(_xlfn.ISFORMULA(C100))</formula>
    </cfRule>
  </conditionalFormatting>
  <conditionalFormatting sqref="D107:D112 D114:D119 D121:D126 D128:D133">
    <cfRule type="expression" dxfId="20" priority="5">
      <formula>NOT(_xlfn.ISFORMULA(D107))</formula>
    </cfRule>
  </conditionalFormatting>
  <conditionalFormatting sqref="C107:C112 C114:C119 C121:C126 C128:C133">
    <cfRule type="expression" dxfId="19" priority="4">
      <formula>NOT(_xlfn.ISFORMULA(C107))</formula>
    </cfRule>
  </conditionalFormatting>
  <conditionalFormatting sqref="D135:D140 D142:D147 D149:D154 D156:D160">
    <cfRule type="expression" dxfId="18" priority="3">
      <formula>NOT(_xlfn.ISFORMULA(D135))</formula>
    </cfRule>
  </conditionalFormatting>
  <conditionalFormatting sqref="C135:C140 C142:C147 C149:C154 C156:C160">
    <cfRule type="expression" dxfId="17" priority="2">
      <formula>NOT(_xlfn.ISFORMULA(C135))</formula>
    </cfRule>
  </conditionalFormatting>
  <conditionalFormatting sqref="C170:C173">
    <cfRule type="expression" dxfId="16" priority="1">
      <formula>NOT(_xlfn.ISFORMULA(C170))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5027-7569-4151-8C88-26E763E61E4E}">
  <sheetPr codeName="Sheet5"/>
  <dimension ref="A2:K25"/>
  <sheetViews>
    <sheetView workbookViewId="0">
      <selection activeCell="A11" sqref="A11"/>
    </sheetView>
  </sheetViews>
  <sheetFormatPr defaultColWidth="10.69921875" defaultRowHeight="15.6" x14ac:dyDescent="0.3"/>
  <cols>
    <col min="1" max="1" width="47.19921875" style="1" customWidth="1"/>
    <col min="2" max="2" width="23.19921875" style="1" customWidth="1"/>
    <col min="3" max="3" width="13.19921875" style="1" bestFit="1" customWidth="1"/>
    <col min="4" max="4" width="16" style="1" bestFit="1" customWidth="1"/>
    <col min="5" max="5" width="12" style="1" bestFit="1" customWidth="1"/>
    <col min="6" max="7" width="13.19921875" style="1" customWidth="1"/>
    <col min="8" max="8" width="15" style="1" bestFit="1" customWidth="1"/>
    <col min="9" max="16384" width="10.69921875" style="1"/>
  </cols>
  <sheetData>
    <row r="2" spans="1:11" x14ac:dyDescent="0.3">
      <c r="C2" s="1" t="s">
        <v>0</v>
      </c>
      <c r="D2" s="1" t="s">
        <v>10</v>
      </c>
      <c r="E2" s="1" t="s">
        <v>2</v>
      </c>
      <c r="F2" s="1" t="s">
        <v>12</v>
      </c>
      <c r="G2" s="3" t="s">
        <v>14</v>
      </c>
      <c r="H2" s="1" t="s">
        <v>1</v>
      </c>
      <c r="J2" s="1" t="s">
        <v>15</v>
      </c>
    </row>
    <row r="3" spans="1:11" x14ac:dyDescent="0.3">
      <c r="A3" s="1" t="s">
        <v>11</v>
      </c>
      <c r="C3" s="1">
        <v>500000</v>
      </c>
      <c r="D3" s="1">
        <f>C3</f>
        <v>500000</v>
      </c>
      <c r="E3" s="1">
        <f>(C3)*C24</f>
        <v>750000</v>
      </c>
      <c r="G3" s="1">
        <f>F3-C3</f>
        <v>-500000</v>
      </c>
      <c r="H3" s="1">
        <f>C3*C24</f>
        <v>750000</v>
      </c>
      <c r="J3" s="1">
        <f>C3*(C24-1)</f>
        <v>250000</v>
      </c>
    </row>
    <row r="4" spans="1:11" x14ac:dyDescent="0.3">
      <c r="A4" s="1" t="s">
        <v>4</v>
      </c>
      <c r="F4" s="1">
        <f>H3/3</f>
        <v>250000</v>
      </c>
      <c r="G4" s="1">
        <f>G3+F4-C4</f>
        <v>-250000</v>
      </c>
      <c r="H4" s="1">
        <f>D3*$C$25-F4</f>
        <v>500000</v>
      </c>
    </row>
    <row r="5" spans="1:11" x14ac:dyDescent="0.3">
      <c r="A5" s="1" t="s">
        <v>3</v>
      </c>
      <c r="C5" s="1">
        <v>500000</v>
      </c>
      <c r="D5" s="1">
        <f>C5+H4</f>
        <v>1000000</v>
      </c>
      <c r="E5" s="4">
        <f>(C5+H4)*$C$24</f>
        <v>1500000</v>
      </c>
      <c r="G5" s="1">
        <f>G4+F5-C5</f>
        <v>-750000</v>
      </c>
      <c r="H5" s="1">
        <f>E5</f>
        <v>1500000</v>
      </c>
      <c r="J5" s="4">
        <f>(H4+C5)*(C24-1)</f>
        <v>500000</v>
      </c>
    </row>
    <row r="6" spans="1:11" x14ac:dyDescent="0.3">
      <c r="A6" s="1" t="s">
        <v>4</v>
      </c>
      <c r="F6" s="1">
        <f>H5/3</f>
        <v>500000</v>
      </c>
      <c r="G6" s="1">
        <f>G5+F6-C6</f>
        <v>-250000</v>
      </c>
      <c r="H6" s="1">
        <f>D5*$C$25-F6</f>
        <v>1000000</v>
      </c>
    </row>
    <row r="7" spans="1:11" x14ac:dyDescent="0.3">
      <c r="A7" s="1" t="s">
        <v>5</v>
      </c>
      <c r="C7" s="1">
        <v>500000</v>
      </c>
      <c r="D7" s="1">
        <f>C7+H6</f>
        <v>1500000</v>
      </c>
      <c r="E7" s="1">
        <f>(C7+H6)*$C$24</f>
        <v>2250000</v>
      </c>
      <c r="G7" s="1">
        <f>G6+F7-C7</f>
        <v>-750000</v>
      </c>
      <c r="H7" s="1">
        <f>E7</f>
        <v>2250000</v>
      </c>
    </row>
    <row r="8" spans="1:11" x14ac:dyDescent="0.3">
      <c r="A8" s="1" t="s">
        <v>4</v>
      </c>
      <c r="F8" s="1">
        <f>H7/3</f>
        <v>750000</v>
      </c>
      <c r="G8" s="1">
        <f>G7+F8-C8</f>
        <v>0</v>
      </c>
      <c r="H8" s="1">
        <f>D7*$C$25-F8</f>
        <v>1500000</v>
      </c>
    </row>
    <row r="9" spans="1:11" x14ac:dyDescent="0.3">
      <c r="A9" s="1" t="s">
        <v>8</v>
      </c>
      <c r="C9" s="1">
        <v>500000</v>
      </c>
      <c r="D9" s="1">
        <f>C9+H8</f>
        <v>2000000</v>
      </c>
      <c r="E9" s="1">
        <f>(C9+H8)*$C$24</f>
        <v>3000000</v>
      </c>
      <c r="G9" s="1">
        <f t="shared" ref="G9:G12" si="0">G8+F9-C9</f>
        <v>-500000</v>
      </c>
      <c r="H9" s="1">
        <f>E9</f>
        <v>3000000</v>
      </c>
    </row>
    <row r="10" spans="1:11" x14ac:dyDescent="0.3">
      <c r="A10" s="1" t="s">
        <v>4</v>
      </c>
      <c r="F10" s="1">
        <f>H9/3</f>
        <v>1000000</v>
      </c>
      <c r="G10" s="1">
        <f t="shared" si="0"/>
        <v>500000</v>
      </c>
      <c r="H10" s="1">
        <f>D9*$C$25-F10</f>
        <v>2000000</v>
      </c>
    </row>
    <row r="11" spans="1:11" x14ac:dyDescent="0.3">
      <c r="A11" s="1" t="s">
        <v>9</v>
      </c>
      <c r="C11" s="1">
        <v>500000</v>
      </c>
      <c r="D11" s="1">
        <f>C11+H10</f>
        <v>2500000</v>
      </c>
      <c r="E11" s="1">
        <f>(C11+H10)*$C$24</f>
        <v>3750000</v>
      </c>
      <c r="G11" s="1">
        <f t="shared" si="0"/>
        <v>0</v>
      </c>
      <c r="H11" s="1">
        <f>E11</f>
        <v>3750000</v>
      </c>
    </row>
    <row r="12" spans="1:11" x14ac:dyDescent="0.3">
      <c r="A12" s="1" t="s">
        <v>4</v>
      </c>
      <c r="F12" s="1">
        <f>H11/3</f>
        <v>1250000</v>
      </c>
      <c r="G12" s="1">
        <f t="shared" si="0"/>
        <v>1250000</v>
      </c>
      <c r="H12" s="1">
        <f>D11*$C$25-F12</f>
        <v>2500000</v>
      </c>
      <c r="J12" s="1">
        <f>750000*5</f>
        <v>3750000</v>
      </c>
      <c r="K12" s="1">
        <f>J12-2500000</f>
        <v>1250000</v>
      </c>
    </row>
    <row r="15" spans="1:11" x14ac:dyDescent="0.3">
      <c r="C15" s="1">
        <f>SUM(C3:C11)</f>
        <v>2500000</v>
      </c>
      <c r="F15" s="1">
        <f>SUM(F4:F12)</f>
        <v>3750000</v>
      </c>
      <c r="K15" s="2">
        <f>J12/C15</f>
        <v>1.5</v>
      </c>
    </row>
    <row r="16" spans="1:11" x14ac:dyDescent="0.3">
      <c r="H16" s="1">
        <f>F15+H12</f>
        <v>6250000</v>
      </c>
    </row>
    <row r="17" spans="1:9" x14ac:dyDescent="0.3">
      <c r="I17" s="2">
        <f>H16/C15</f>
        <v>2.5</v>
      </c>
    </row>
    <row r="24" spans="1:9" x14ac:dyDescent="0.3">
      <c r="A24" t="s">
        <v>6</v>
      </c>
      <c r="B24"/>
      <c r="C24">
        <v>1.5</v>
      </c>
    </row>
    <row r="25" spans="1:9" x14ac:dyDescent="0.3">
      <c r="A25" s="1" t="s">
        <v>13</v>
      </c>
      <c r="C25" s="2">
        <v>1.5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8219E-1396-4F6B-8C12-5557CAA34892}">
  <sheetPr codeName="Sheet6"/>
  <dimension ref="A1:J165"/>
  <sheetViews>
    <sheetView workbookViewId="0">
      <pane xSplit="5" ySplit="2" topLeftCell="F15" activePane="bottomRight" state="frozen"/>
      <selection pane="topRight" activeCell="F1" sqref="F1"/>
      <selection pane="bottomLeft" activeCell="A3" sqref="A3"/>
      <selection pane="bottomRight" activeCell="F131" sqref="F131"/>
    </sheetView>
  </sheetViews>
  <sheetFormatPr defaultColWidth="8.69921875" defaultRowHeight="15.6" x14ac:dyDescent="0.3"/>
  <cols>
    <col min="1" max="5" width="8.69921875" style="14"/>
    <col min="6" max="9" width="11.09765625" style="14" bestFit="1" customWidth="1"/>
    <col min="10" max="10" width="9.09765625" style="14" bestFit="1" customWidth="1"/>
    <col min="11" max="16384" width="8.69921875" style="14"/>
  </cols>
  <sheetData>
    <row r="1" spans="1:10" x14ac:dyDescent="0.3">
      <c r="J1" s="16" t="s">
        <v>102</v>
      </c>
    </row>
    <row r="2" spans="1:10" x14ac:dyDescent="0.3">
      <c r="F2" s="14" t="s">
        <v>24</v>
      </c>
      <c r="G2" s="14" t="s">
        <v>25</v>
      </c>
      <c r="H2" s="14" t="s">
        <v>26</v>
      </c>
    </row>
    <row r="3" spans="1:10" x14ac:dyDescent="0.3">
      <c r="A3" s="14" t="s">
        <v>47</v>
      </c>
      <c r="F3" s="14">
        <v>1000</v>
      </c>
      <c r="G3" s="14">
        <v>150</v>
      </c>
      <c r="H3" s="14">
        <v>200</v>
      </c>
    </row>
    <row r="5" spans="1:10" x14ac:dyDescent="0.3">
      <c r="A5" s="14" t="s">
        <v>59</v>
      </c>
      <c r="C5" s="14">
        <v>500</v>
      </c>
    </row>
    <row r="7" spans="1:10" x14ac:dyDescent="0.3">
      <c r="A7" s="14" t="s">
        <v>50</v>
      </c>
      <c r="C7" s="14">
        <f>C5+C5*D7</f>
        <v>750</v>
      </c>
      <c r="D7" s="14">
        <v>0.5</v>
      </c>
    </row>
    <row r="9" spans="1:10" x14ac:dyDescent="0.3">
      <c r="A9" s="14" t="s">
        <v>51</v>
      </c>
    </row>
    <row r="11" spans="1:10" x14ac:dyDescent="0.3">
      <c r="A11" s="14" t="s">
        <v>52</v>
      </c>
      <c r="C11" s="14">
        <v>0.38</v>
      </c>
    </row>
    <row r="13" spans="1:10" x14ac:dyDescent="0.3">
      <c r="A13" s="14" t="s">
        <v>48</v>
      </c>
      <c r="C13" s="14">
        <v>0.3</v>
      </c>
    </row>
    <row r="15" spans="1:10" x14ac:dyDescent="0.3">
      <c r="A15" s="14" t="s">
        <v>55</v>
      </c>
      <c r="C15" s="14">
        <v>0.78</v>
      </c>
    </row>
    <row r="16" spans="1:10" x14ac:dyDescent="0.3">
      <c r="A16" s="14" t="s">
        <v>56</v>
      </c>
      <c r="C16" s="14">
        <v>0.76</v>
      </c>
    </row>
    <row r="18" spans="1:6" x14ac:dyDescent="0.3">
      <c r="A18" s="14" t="s">
        <v>23</v>
      </c>
      <c r="C18" s="14">
        <f>$C$7/3</f>
        <v>250</v>
      </c>
      <c r="D18" s="14">
        <f t="shared" ref="D18:E18" si="0">$C$7/3</f>
        <v>250</v>
      </c>
      <c r="E18" s="14">
        <f t="shared" si="0"/>
        <v>250</v>
      </c>
    </row>
    <row r="21" spans="1:6" x14ac:dyDescent="0.3">
      <c r="A21" s="14" t="s">
        <v>34</v>
      </c>
      <c r="F21" s="14">
        <f>F3*(1-C11)</f>
        <v>620</v>
      </c>
    </row>
    <row r="23" spans="1:6" x14ac:dyDescent="0.3">
      <c r="A23" s="15" t="s">
        <v>53</v>
      </c>
      <c r="F23" s="18">
        <f>$C$18*F21</f>
        <v>155000</v>
      </c>
    </row>
    <row r="25" spans="1:6" x14ac:dyDescent="0.3">
      <c r="A25" s="14" t="s">
        <v>67</v>
      </c>
      <c r="F25" s="14">
        <f>C7-C18</f>
        <v>500</v>
      </c>
    </row>
    <row r="28" spans="1:6" x14ac:dyDescent="0.3">
      <c r="A28" s="14" t="s">
        <v>103</v>
      </c>
      <c r="F28" s="14">
        <f>F21*C13</f>
        <v>186</v>
      </c>
    </row>
    <row r="30" spans="1:6" x14ac:dyDescent="0.3">
      <c r="A30" s="14" t="s">
        <v>104</v>
      </c>
      <c r="F30" s="14">
        <f>F21*(1-C13)</f>
        <v>434</v>
      </c>
    </row>
    <row r="32" spans="1:6" x14ac:dyDescent="0.3">
      <c r="A32" s="14" t="s">
        <v>57</v>
      </c>
      <c r="F32" s="14">
        <f>F30</f>
        <v>434</v>
      </c>
    </row>
    <row r="34" spans="1:7" x14ac:dyDescent="0.3">
      <c r="A34" s="14" t="s">
        <v>60</v>
      </c>
      <c r="F34" s="19">
        <f>F28*C15</f>
        <v>145.08000000000001</v>
      </c>
    </row>
    <row r="36" spans="1:7" x14ac:dyDescent="0.3">
      <c r="A36" s="17" t="s">
        <v>91</v>
      </c>
    </row>
    <row r="37" spans="1:7" x14ac:dyDescent="0.3">
      <c r="A37" s="14" t="s">
        <v>62</v>
      </c>
      <c r="G37" s="18">
        <f>F34</f>
        <v>145.08000000000001</v>
      </c>
    </row>
    <row r="39" spans="1:7" x14ac:dyDescent="0.3">
      <c r="A39" s="14" t="s">
        <v>63</v>
      </c>
      <c r="G39" s="20">
        <v>0.2</v>
      </c>
    </row>
    <row r="41" spans="1:7" x14ac:dyDescent="0.3">
      <c r="A41" s="14" t="s">
        <v>64</v>
      </c>
      <c r="G41" s="18">
        <f>G37*(1-G39)</f>
        <v>116.06400000000002</v>
      </c>
    </row>
    <row r="44" spans="1:7" x14ac:dyDescent="0.3">
      <c r="A44" s="14" t="s">
        <v>65</v>
      </c>
      <c r="G44" s="18">
        <v>500</v>
      </c>
    </row>
    <row r="45" spans="1:7" x14ac:dyDescent="0.3">
      <c r="A45" s="14" t="s">
        <v>105</v>
      </c>
      <c r="G45" s="18">
        <f>G44*G37</f>
        <v>72540</v>
      </c>
    </row>
    <row r="46" spans="1:7" x14ac:dyDescent="0.3">
      <c r="G46" s="18"/>
    </row>
    <row r="47" spans="1:7" x14ac:dyDescent="0.3">
      <c r="A47" s="14" t="s">
        <v>106</v>
      </c>
      <c r="G47" s="18">
        <f>G44+F25</f>
        <v>1000</v>
      </c>
    </row>
    <row r="48" spans="1:7" x14ac:dyDescent="0.3">
      <c r="A48" s="14" t="s">
        <v>107</v>
      </c>
      <c r="G48" s="18">
        <f>G47*G37</f>
        <v>145080</v>
      </c>
    </row>
    <row r="49" spans="1:8" x14ac:dyDescent="0.3">
      <c r="G49" s="18"/>
    </row>
    <row r="50" spans="1:8" x14ac:dyDescent="0.3">
      <c r="A50" s="14" t="s">
        <v>108</v>
      </c>
      <c r="G50" s="18">
        <f>G47*(1+D7)</f>
        <v>1500</v>
      </c>
    </row>
    <row r="51" spans="1:8" x14ac:dyDescent="0.3">
      <c r="A51" s="14" t="s">
        <v>109</v>
      </c>
      <c r="G51" s="18">
        <f>G50*G37</f>
        <v>217620.00000000003</v>
      </c>
    </row>
    <row r="52" spans="1:8" x14ac:dyDescent="0.3">
      <c r="G52" s="18"/>
    </row>
    <row r="53" spans="1:8" x14ac:dyDescent="0.3">
      <c r="A53" s="14" t="s">
        <v>68</v>
      </c>
      <c r="C53" s="18">
        <f>$G$50/3</f>
        <v>500</v>
      </c>
      <c r="D53" s="18">
        <f t="shared" ref="D53:E53" si="1">$G$50/3</f>
        <v>500</v>
      </c>
      <c r="E53" s="18">
        <f t="shared" si="1"/>
        <v>500</v>
      </c>
      <c r="G53" s="18"/>
    </row>
    <row r="55" spans="1:8" x14ac:dyDescent="0.3">
      <c r="A55" s="14" t="s">
        <v>69</v>
      </c>
      <c r="G55" s="18">
        <f>C53</f>
        <v>500</v>
      </c>
    </row>
    <row r="56" spans="1:8" x14ac:dyDescent="0.3">
      <c r="G56" s="18"/>
    </row>
    <row r="57" spans="1:8" x14ac:dyDescent="0.3">
      <c r="A57" s="14" t="s">
        <v>70</v>
      </c>
      <c r="G57" s="18">
        <f>G55*G41</f>
        <v>58032.000000000007</v>
      </c>
    </row>
    <row r="58" spans="1:8" x14ac:dyDescent="0.3">
      <c r="G58" s="18"/>
    </row>
    <row r="62" spans="1:8" x14ac:dyDescent="0.3">
      <c r="A62" s="14" t="s">
        <v>71</v>
      </c>
      <c r="H62" s="18">
        <f>G41*$C$13</f>
        <v>34.819200000000002</v>
      </c>
    </row>
    <row r="64" spans="1:8" x14ac:dyDescent="0.3">
      <c r="A64" s="14" t="s">
        <v>72</v>
      </c>
      <c r="H64" s="20">
        <v>0.25</v>
      </c>
    </row>
    <row r="66" spans="1:8" x14ac:dyDescent="0.3">
      <c r="A66" s="14" t="s">
        <v>73</v>
      </c>
      <c r="H66" s="14">
        <f>H62*(1-H64)</f>
        <v>26.114400000000003</v>
      </c>
    </row>
    <row r="67" spans="1:8" x14ac:dyDescent="0.3">
      <c r="H67" s="18"/>
    </row>
    <row r="69" spans="1:8" x14ac:dyDescent="0.3">
      <c r="A69" s="14" t="s">
        <v>65</v>
      </c>
      <c r="H69" s="18">
        <v>500</v>
      </c>
    </row>
    <row r="70" spans="1:8" x14ac:dyDescent="0.3">
      <c r="A70" s="14" t="s">
        <v>77</v>
      </c>
      <c r="H70" s="18">
        <f>H62*H69</f>
        <v>17409.600000000002</v>
      </c>
    </row>
    <row r="71" spans="1:8" x14ac:dyDescent="0.3">
      <c r="A71" s="14" t="s">
        <v>110</v>
      </c>
      <c r="H71" s="18">
        <f>G50-G55+H69</f>
        <v>1500</v>
      </c>
    </row>
    <row r="72" spans="1:8" x14ac:dyDescent="0.3">
      <c r="A72" s="14" t="s">
        <v>107</v>
      </c>
      <c r="H72" s="18">
        <f>H71*H62</f>
        <v>52228.800000000003</v>
      </c>
    </row>
    <row r="73" spans="1:8" x14ac:dyDescent="0.3">
      <c r="H73" s="18"/>
    </row>
    <row r="74" spans="1:8" x14ac:dyDescent="0.3">
      <c r="A74" s="14" t="s">
        <v>111</v>
      </c>
      <c r="H74" s="18">
        <f>H71*(1+D7)</f>
        <v>2250</v>
      </c>
    </row>
    <row r="75" spans="1:8" x14ac:dyDescent="0.3">
      <c r="A75" s="14" t="s">
        <v>112</v>
      </c>
      <c r="H75" s="18">
        <f>H74*H66</f>
        <v>58757.400000000009</v>
      </c>
    </row>
    <row r="76" spans="1:8" x14ac:dyDescent="0.3">
      <c r="H76" s="18"/>
    </row>
    <row r="77" spans="1:8" x14ac:dyDescent="0.3">
      <c r="A77" s="14" t="s">
        <v>74</v>
      </c>
      <c r="C77" s="14">
        <f>$H$74/3</f>
        <v>750</v>
      </c>
      <c r="D77" s="14">
        <f t="shared" ref="D77:E77" si="2">$H$74/3</f>
        <v>750</v>
      </c>
      <c r="E77" s="14">
        <f t="shared" si="2"/>
        <v>750</v>
      </c>
    </row>
    <row r="79" spans="1:8" x14ac:dyDescent="0.3">
      <c r="A79" s="14" t="s">
        <v>75</v>
      </c>
      <c r="H79" s="18">
        <f>C77</f>
        <v>750</v>
      </c>
    </row>
    <row r="80" spans="1:8" x14ac:dyDescent="0.3">
      <c r="H80" s="18"/>
    </row>
    <row r="81" spans="1:9" x14ac:dyDescent="0.3">
      <c r="A81" s="14" t="s">
        <v>76</v>
      </c>
      <c r="H81" s="18">
        <f>H79*H66</f>
        <v>19585.800000000003</v>
      </c>
    </row>
    <row r="84" spans="1:9" x14ac:dyDescent="0.3">
      <c r="A84" s="14" t="s">
        <v>78</v>
      </c>
      <c r="I84" s="18">
        <f>H66*C13</f>
        <v>7.8343200000000008</v>
      </c>
    </row>
    <row r="86" spans="1:9" x14ac:dyDescent="0.3">
      <c r="A86" s="14" t="s">
        <v>79</v>
      </c>
      <c r="I86" s="20">
        <v>0.15</v>
      </c>
    </row>
    <row r="88" spans="1:9" x14ac:dyDescent="0.3">
      <c r="A88" s="14" t="s">
        <v>80</v>
      </c>
      <c r="I88" s="18">
        <f>I84*(1-I86)</f>
        <v>6.6591720000000008</v>
      </c>
    </row>
    <row r="89" spans="1:9" x14ac:dyDescent="0.3">
      <c r="I89" s="18"/>
    </row>
    <row r="90" spans="1:9" x14ac:dyDescent="0.3">
      <c r="I90" s="18"/>
    </row>
    <row r="91" spans="1:9" x14ac:dyDescent="0.3">
      <c r="A91" s="14" t="s">
        <v>65</v>
      </c>
      <c r="I91" s="18">
        <v>500</v>
      </c>
    </row>
    <row r="92" spans="1:9" x14ac:dyDescent="0.3">
      <c r="A92" s="14" t="s">
        <v>77</v>
      </c>
      <c r="I92" s="18">
        <f>I91*I84</f>
        <v>3917.1600000000003</v>
      </c>
    </row>
    <row r="93" spans="1:9" x14ac:dyDescent="0.3">
      <c r="A93" s="14" t="s">
        <v>66</v>
      </c>
      <c r="I93" s="18">
        <f>H74-H79+I91</f>
        <v>2000</v>
      </c>
    </row>
    <row r="94" spans="1:9" x14ac:dyDescent="0.3">
      <c r="I94" s="18"/>
    </row>
    <row r="95" spans="1:9" x14ac:dyDescent="0.3">
      <c r="A95" s="14" t="s">
        <v>81</v>
      </c>
      <c r="I95" s="18">
        <f>I93*(1+D7)</f>
        <v>3000</v>
      </c>
    </row>
    <row r="96" spans="1:9" x14ac:dyDescent="0.3">
      <c r="I96" s="18"/>
    </row>
    <row r="97" spans="1:10" x14ac:dyDescent="0.3">
      <c r="A97" s="14" t="s">
        <v>82</v>
      </c>
      <c r="C97" s="14">
        <f>$I$95/3</f>
        <v>1000</v>
      </c>
      <c r="D97" s="14">
        <f t="shared" ref="D97:E97" si="3">$I$95/3</f>
        <v>1000</v>
      </c>
      <c r="E97" s="14">
        <f t="shared" si="3"/>
        <v>1000</v>
      </c>
      <c r="I97" s="18"/>
    </row>
    <row r="98" spans="1:10" x14ac:dyDescent="0.3">
      <c r="I98" s="18"/>
    </row>
    <row r="99" spans="1:10" x14ac:dyDescent="0.3">
      <c r="A99" s="14" t="s">
        <v>83</v>
      </c>
      <c r="I99" s="18">
        <f>C97</f>
        <v>1000</v>
      </c>
    </row>
    <row r="100" spans="1:10" x14ac:dyDescent="0.3">
      <c r="I100" s="18"/>
    </row>
    <row r="101" spans="1:10" x14ac:dyDescent="0.3">
      <c r="A101" s="14" t="s">
        <v>84</v>
      </c>
      <c r="I101" s="18">
        <f>I99*I88</f>
        <v>6659.1720000000005</v>
      </c>
    </row>
    <row r="104" spans="1:10" x14ac:dyDescent="0.3">
      <c r="A104" s="14" t="s">
        <v>85</v>
      </c>
      <c r="J104" s="18">
        <f>I88*C13</f>
        <v>1.9977516000000002</v>
      </c>
    </row>
    <row r="106" spans="1:10" x14ac:dyDescent="0.3">
      <c r="A106" s="14" t="s">
        <v>86</v>
      </c>
      <c r="J106" s="20">
        <v>0.16</v>
      </c>
    </row>
    <row r="108" spans="1:10" x14ac:dyDescent="0.3">
      <c r="A108" s="14" t="s">
        <v>87</v>
      </c>
      <c r="J108" s="18">
        <f>J104*(1-J106)</f>
        <v>1.6781113440000002</v>
      </c>
    </row>
    <row r="109" spans="1:10" x14ac:dyDescent="0.3">
      <c r="J109" s="18"/>
    </row>
    <row r="110" spans="1:10" x14ac:dyDescent="0.3">
      <c r="J110" s="18"/>
    </row>
    <row r="111" spans="1:10" x14ac:dyDescent="0.3">
      <c r="A111" s="14" t="s">
        <v>65</v>
      </c>
      <c r="J111" s="18">
        <v>500</v>
      </c>
    </row>
    <row r="112" spans="1:10" x14ac:dyDescent="0.3">
      <c r="A112" s="14" t="s">
        <v>77</v>
      </c>
      <c r="J112" s="18">
        <f>J111*J104</f>
        <v>998.87580000000014</v>
      </c>
    </row>
    <row r="113" spans="1:10" x14ac:dyDescent="0.3">
      <c r="A113" s="14" t="s">
        <v>66</v>
      </c>
      <c r="J113" s="18">
        <f>I95-I99+J111</f>
        <v>2500</v>
      </c>
    </row>
    <row r="114" spans="1:10" x14ac:dyDescent="0.3">
      <c r="J114" s="18">
        <f>J113*J104</f>
        <v>4994.3790000000008</v>
      </c>
    </row>
    <row r="115" spans="1:10" x14ac:dyDescent="0.3">
      <c r="A115" s="14" t="s">
        <v>88</v>
      </c>
      <c r="J115" s="18">
        <f>J113*(1+D7)</f>
        <v>3750</v>
      </c>
    </row>
    <row r="116" spans="1:10" x14ac:dyDescent="0.3">
      <c r="J116" s="18"/>
    </row>
    <row r="117" spans="1:10" x14ac:dyDescent="0.3">
      <c r="A117" s="14" t="s">
        <v>89</v>
      </c>
      <c r="C117" s="14">
        <f>$J$115/3</f>
        <v>1250</v>
      </c>
      <c r="D117" s="14">
        <f t="shared" ref="D117:E117" si="4">$J$115/3</f>
        <v>1250</v>
      </c>
      <c r="E117" s="14">
        <f t="shared" si="4"/>
        <v>1250</v>
      </c>
      <c r="J117" s="18"/>
    </row>
    <row r="118" spans="1:10" x14ac:dyDescent="0.3">
      <c r="J118" s="18"/>
    </row>
    <row r="119" spans="1:10" x14ac:dyDescent="0.3">
      <c r="A119" s="14" t="s">
        <v>90</v>
      </c>
      <c r="J119" s="18">
        <f>C117</f>
        <v>1250</v>
      </c>
    </row>
    <row r="120" spans="1:10" x14ac:dyDescent="0.3">
      <c r="J120" s="18"/>
    </row>
    <row r="121" spans="1:10" x14ac:dyDescent="0.3">
      <c r="A121" s="14" t="s">
        <v>116</v>
      </c>
      <c r="J121" s="18">
        <f>J119*J108</f>
        <v>2097.6391800000001</v>
      </c>
    </row>
    <row r="125" spans="1:10" x14ac:dyDescent="0.3">
      <c r="A125" s="14" t="s">
        <v>92</v>
      </c>
    </row>
    <row r="127" spans="1:10" x14ac:dyDescent="0.3">
      <c r="A127" s="14" t="s">
        <v>57</v>
      </c>
      <c r="G127" s="18">
        <f>F32</f>
        <v>434</v>
      </c>
    </row>
    <row r="128" spans="1:10" x14ac:dyDescent="0.3">
      <c r="G128" s="18"/>
    </row>
    <row r="129" spans="1:8" x14ac:dyDescent="0.3">
      <c r="A129" s="14" t="s">
        <v>93</v>
      </c>
      <c r="C129" s="14">
        <f>C18</f>
        <v>250</v>
      </c>
      <c r="D129" s="14">
        <f t="shared" ref="D129:E129" si="5">D18</f>
        <v>250</v>
      </c>
      <c r="E129" s="14">
        <f t="shared" si="5"/>
        <v>250</v>
      </c>
      <c r="G129" s="18"/>
    </row>
    <row r="130" spans="1:8" x14ac:dyDescent="0.3">
      <c r="G130" s="18"/>
    </row>
    <row r="131" spans="1:8" x14ac:dyDescent="0.3">
      <c r="A131" s="14" t="s">
        <v>94</v>
      </c>
      <c r="G131" s="18">
        <f>D129</f>
        <v>250</v>
      </c>
    </row>
    <row r="133" spans="1:8" x14ac:dyDescent="0.3">
      <c r="A133" s="14" t="s">
        <v>97</v>
      </c>
      <c r="G133" s="20">
        <v>0.06</v>
      </c>
    </row>
    <row r="135" spans="1:8" x14ac:dyDescent="0.3">
      <c r="A135" s="14" t="s">
        <v>98</v>
      </c>
      <c r="G135" s="18">
        <f>G127*(1-G133)</f>
        <v>407.96</v>
      </c>
      <c r="H135" s="18"/>
    </row>
    <row r="136" spans="1:8" x14ac:dyDescent="0.3">
      <c r="G136" s="18"/>
      <c r="H136" s="18"/>
    </row>
    <row r="137" spans="1:8" x14ac:dyDescent="0.3">
      <c r="A137" s="14" t="s">
        <v>95</v>
      </c>
      <c r="G137" s="18">
        <f>G131*G135</f>
        <v>101990</v>
      </c>
      <c r="H137" s="18"/>
    </row>
    <row r="138" spans="1:8" x14ac:dyDescent="0.3">
      <c r="G138" s="18"/>
      <c r="H138" s="18"/>
    </row>
    <row r="139" spans="1:8" x14ac:dyDescent="0.3">
      <c r="A139" s="14" t="s">
        <v>96</v>
      </c>
      <c r="G139" s="18">
        <f>F25-G131</f>
        <v>250</v>
      </c>
      <c r="H139" s="18"/>
    </row>
    <row r="140" spans="1:8" x14ac:dyDescent="0.3">
      <c r="G140" s="18"/>
      <c r="H140" s="18"/>
    </row>
    <row r="141" spans="1:8" x14ac:dyDescent="0.3">
      <c r="G141" s="18"/>
      <c r="H141" s="18"/>
    </row>
    <row r="142" spans="1:8" x14ac:dyDescent="0.3">
      <c r="A142" s="14" t="s">
        <v>57</v>
      </c>
      <c r="G142" s="18"/>
      <c r="H142" s="18">
        <f>G135</f>
        <v>407.96</v>
      </c>
    </row>
    <row r="143" spans="1:8" x14ac:dyDescent="0.3">
      <c r="G143" s="18"/>
      <c r="H143" s="18"/>
    </row>
    <row r="144" spans="1:8" x14ac:dyDescent="0.3">
      <c r="G144" s="18"/>
      <c r="H144" s="18"/>
    </row>
    <row r="145" spans="1:9" x14ac:dyDescent="0.3">
      <c r="A145" s="14" t="s">
        <v>113</v>
      </c>
      <c r="G145" s="18"/>
      <c r="H145" s="18">
        <f>E129</f>
        <v>250</v>
      </c>
    </row>
    <row r="147" spans="1:9" x14ac:dyDescent="0.3">
      <c r="A147" s="14" t="s">
        <v>99</v>
      </c>
      <c r="H147" s="20">
        <v>0.03</v>
      </c>
    </row>
    <row r="149" spans="1:9" x14ac:dyDescent="0.3">
      <c r="A149" s="14" t="s">
        <v>98</v>
      </c>
      <c r="H149" s="18">
        <f>H142*(1-H147)</f>
        <v>395.72119999999995</v>
      </c>
      <c r="I149" s="18"/>
    </row>
    <row r="150" spans="1:9" x14ac:dyDescent="0.3">
      <c r="H150" s="18"/>
      <c r="I150" s="18"/>
    </row>
    <row r="151" spans="1:9" x14ac:dyDescent="0.3">
      <c r="A151" s="14" t="s">
        <v>114</v>
      </c>
      <c r="H151" s="18">
        <f>H149*H142</f>
        <v>161438.42075199998</v>
      </c>
      <c r="I151" s="18"/>
    </row>
    <row r="152" spans="1:9" x14ac:dyDescent="0.3">
      <c r="H152" s="18"/>
      <c r="I152" s="18"/>
    </row>
    <row r="153" spans="1:9" x14ac:dyDescent="0.3">
      <c r="A153" s="14" t="s">
        <v>115</v>
      </c>
      <c r="H153" s="18">
        <v>0</v>
      </c>
      <c r="I153" s="18"/>
    </row>
    <row r="154" spans="1:9" x14ac:dyDescent="0.3">
      <c r="H154" s="18"/>
      <c r="I154" s="18"/>
    </row>
    <row r="155" spans="1:9" x14ac:dyDescent="0.3">
      <c r="H155" s="18"/>
      <c r="I155" s="18"/>
    </row>
    <row r="156" spans="1:9" x14ac:dyDescent="0.3">
      <c r="A156" s="14" t="s">
        <v>100</v>
      </c>
      <c r="H156" s="18"/>
      <c r="I156" s="18"/>
    </row>
    <row r="157" spans="1:9" x14ac:dyDescent="0.3">
      <c r="H157" s="18"/>
      <c r="I157" s="18"/>
    </row>
    <row r="158" spans="1:9" x14ac:dyDescent="0.3">
      <c r="A158" s="14" t="s">
        <v>38</v>
      </c>
      <c r="H158" s="18"/>
      <c r="I158" s="18">
        <f>0.9</f>
        <v>0.9</v>
      </c>
    </row>
    <row r="159" spans="1:9" x14ac:dyDescent="0.3">
      <c r="A159" s="14" t="s">
        <v>101</v>
      </c>
      <c r="H159" s="18"/>
      <c r="I159" s="18">
        <f>H149*I158</f>
        <v>356.14907999999997</v>
      </c>
    </row>
    <row r="160" spans="1:9" x14ac:dyDescent="0.3">
      <c r="H160" s="18"/>
      <c r="I160" s="18"/>
    </row>
    <row r="161" spans="1:9" x14ac:dyDescent="0.3">
      <c r="A161" s="14" t="s">
        <v>49</v>
      </c>
      <c r="H161" s="18"/>
      <c r="I161" s="18">
        <v>1000</v>
      </c>
    </row>
    <row r="162" spans="1:9" x14ac:dyDescent="0.3">
      <c r="A162" s="14" t="s">
        <v>15</v>
      </c>
      <c r="H162" s="18"/>
      <c r="I162" s="20">
        <v>0.5</v>
      </c>
    </row>
    <row r="163" spans="1:9" x14ac:dyDescent="0.3">
      <c r="A163" s="14" t="s">
        <v>50</v>
      </c>
      <c r="H163" s="18"/>
      <c r="I163" s="18">
        <f>I161*I162</f>
        <v>500</v>
      </c>
    </row>
    <row r="164" spans="1:9" x14ac:dyDescent="0.3">
      <c r="H164" s="18"/>
      <c r="I164" s="18"/>
    </row>
    <row r="165" spans="1:9" x14ac:dyDescent="0.3">
      <c r="A165" s="14" t="s">
        <v>28</v>
      </c>
      <c r="H165" s="18"/>
      <c r="I165" s="18">
        <f>I161*I159</f>
        <v>356149.07999999996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5DC64-32F3-419D-9024-3480215E0EAF}">
  <sheetPr codeName="Sheet7"/>
  <dimension ref="A1:R45"/>
  <sheetViews>
    <sheetView workbookViewId="0">
      <pane xSplit="5" ySplit="1" topLeftCell="F23" activePane="bottomRight" state="frozen"/>
      <selection pane="topRight" activeCell="F1" sqref="F1"/>
      <selection pane="bottomLeft" activeCell="A2" sqref="A2"/>
      <selection pane="bottomRight" activeCell="I46" sqref="I46"/>
    </sheetView>
  </sheetViews>
  <sheetFormatPr defaultRowHeight="15.6" x14ac:dyDescent="0.3"/>
  <sheetData>
    <row r="1" spans="1:18" x14ac:dyDescent="0.3"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</row>
    <row r="2" spans="1:18" x14ac:dyDescent="0.3">
      <c r="A2" t="s">
        <v>43</v>
      </c>
      <c r="F2">
        <v>100</v>
      </c>
      <c r="G2">
        <v>150</v>
      </c>
      <c r="H2">
        <v>200</v>
      </c>
      <c r="I2">
        <v>250</v>
      </c>
      <c r="J2">
        <v>300</v>
      </c>
      <c r="K2">
        <v>400</v>
      </c>
      <c r="L2">
        <v>400</v>
      </c>
      <c r="M2">
        <v>400</v>
      </c>
      <c r="N2">
        <v>400</v>
      </c>
      <c r="O2">
        <v>400</v>
      </c>
      <c r="P2">
        <v>400</v>
      </c>
      <c r="Q2">
        <v>400</v>
      </c>
      <c r="R2">
        <v>400</v>
      </c>
    </row>
    <row r="3" spans="1:18" x14ac:dyDescent="0.3">
      <c r="A3" t="s">
        <v>41</v>
      </c>
      <c r="F3" s="7">
        <f>F32</f>
        <v>29.160202500000004</v>
      </c>
      <c r="G3" s="7">
        <f t="shared" ref="G3:R3" si="0">G32</f>
        <v>43.74030375000001</v>
      </c>
      <c r="H3" s="7">
        <f t="shared" si="0"/>
        <v>58.320405000000008</v>
      </c>
      <c r="I3" s="7">
        <f t="shared" si="0"/>
        <v>72.900506250000007</v>
      </c>
      <c r="J3" s="7">
        <f t="shared" si="0"/>
        <v>87.480607500000019</v>
      </c>
      <c r="K3" s="7">
        <f t="shared" si="0"/>
        <v>116.64081000000002</v>
      </c>
      <c r="L3" s="7">
        <f t="shared" si="0"/>
        <v>116.64081000000002</v>
      </c>
      <c r="M3" s="7">
        <f t="shared" si="0"/>
        <v>116.64081000000002</v>
      </c>
      <c r="N3" s="7">
        <f t="shared" si="0"/>
        <v>0</v>
      </c>
      <c r="O3" s="7">
        <f t="shared" si="0"/>
        <v>0</v>
      </c>
      <c r="P3" s="7">
        <f t="shared" si="0"/>
        <v>0</v>
      </c>
      <c r="Q3" s="7">
        <f t="shared" si="0"/>
        <v>0</v>
      </c>
      <c r="R3" s="7">
        <f t="shared" si="0"/>
        <v>0</v>
      </c>
    </row>
    <row r="4" spans="1:18" x14ac:dyDescent="0.3">
      <c r="A4" t="s">
        <v>42</v>
      </c>
      <c r="F4" s="7">
        <f>F45</f>
        <v>16.413964515073125</v>
      </c>
      <c r="G4" s="7">
        <f t="shared" ref="G4:R4" si="1">G45</f>
        <v>24.620946772609688</v>
      </c>
      <c r="H4" s="7">
        <f t="shared" si="1"/>
        <v>32.827929030146251</v>
      </c>
      <c r="I4" s="7">
        <f t="shared" si="1"/>
        <v>41.03491128768281</v>
      </c>
      <c r="J4" s="7">
        <f t="shared" si="1"/>
        <v>49.241893545219376</v>
      </c>
      <c r="K4" s="7">
        <f t="shared" si="1"/>
        <v>65.655858060292502</v>
      </c>
      <c r="L4" s="7">
        <f t="shared" si="1"/>
        <v>65.655858060292502</v>
      </c>
      <c r="M4" s="7">
        <f t="shared" si="1"/>
        <v>65.655858060292502</v>
      </c>
      <c r="N4" s="7">
        <f t="shared" si="1"/>
        <v>0</v>
      </c>
      <c r="O4" s="7">
        <f t="shared" si="1"/>
        <v>0</v>
      </c>
      <c r="P4" s="7">
        <f t="shared" si="1"/>
        <v>0</v>
      </c>
      <c r="Q4" s="7">
        <f t="shared" si="1"/>
        <v>0</v>
      </c>
      <c r="R4" s="7">
        <f t="shared" si="1"/>
        <v>0</v>
      </c>
    </row>
    <row r="5" spans="1:18" x14ac:dyDescent="0.3">
      <c r="A5" t="s">
        <v>44</v>
      </c>
    </row>
    <row r="6" spans="1:18" x14ac:dyDescent="0.3">
      <c r="A6" t="s">
        <v>45</v>
      </c>
    </row>
    <row r="8" spans="1:18" x14ac:dyDescent="0.3">
      <c r="A8" t="s">
        <v>46</v>
      </c>
    </row>
    <row r="16" spans="1:18" x14ac:dyDescent="0.3">
      <c r="A16" t="s">
        <v>16</v>
      </c>
    </row>
    <row r="17" spans="1:13" x14ac:dyDescent="0.3">
      <c r="A17" t="s">
        <v>17</v>
      </c>
      <c r="D17">
        <f>Sheet3!B33</f>
        <v>0.35</v>
      </c>
      <c r="F17">
        <f>D17</f>
        <v>0.35</v>
      </c>
      <c r="G17">
        <f t="shared" ref="G17:J17" si="2">F17</f>
        <v>0.35</v>
      </c>
      <c r="H17">
        <f t="shared" si="2"/>
        <v>0.35</v>
      </c>
      <c r="I17">
        <f t="shared" si="2"/>
        <v>0.35</v>
      </c>
      <c r="J17">
        <f t="shared" si="2"/>
        <v>0.35</v>
      </c>
      <c r="K17">
        <f t="shared" ref="K17:M17" si="3">J17</f>
        <v>0.35</v>
      </c>
      <c r="L17">
        <f t="shared" si="3"/>
        <v>0.35</v>
      </c>
      <c r="M17">
        <f t="shared" si="3"/>
        <v>0.35</v>
      </c>
    </row>
    <row r="18" spans="1:13" x14ac:dyDescent="0.3">
      <c r="A18" t="s">
        <v>18</v>
      </c>
      <c r="D18">
        <f>Sheet3!C34</f>
        <v>0.8</v>
      </c>
      <c r="F18">
        <f>D18</f>
        <v>0.8</v>
      </c>
      <c r="G18">
        <f t="shared" ref="G18:J20" si="4">F18</f>
        <v>0.8</v>
      </c>
      <c r="H18">
        <f t="shared" si="4"/>
        <v>0.8</v>
      </c>
      <c r="I18">
        <f t="shared" si="4"/>
        <v>0.8</v>
      </c>
      <c r="J18">
        <f t="shared" si="4"/>
        <v>0.8</v>
      </c>
      <c r="K18">
        <f t="shared" ref="K18:M18" si="5">J18</f>
        <v>0.8</v>
      </c>
      <c r="L18">
        <f t="shared" si="5"/>
        <v>0.8</v>
      </c>
      <c r="M18">
        <f t="shared" si="5"/>
        <v>0.8</v>
      </c>
    </row>
    <row r="19" spans="1:13" x14ac:dyDescent="0.3">
      <c r="A19" t="s">
        <v>19</v>
      </c>
      <c r="D19">
        <f>Sheet3!D35</f>
        <v>1</v>
      </c>
      <c r="F19">
        <f>D19</f>
        <v>1</v>
      </c>
      <c r="G19">
        <f t="shared" si="4"/>
        <v>1</v>
      </c>
      <c r="H19">
        <f t="shared" si="4"/>
        <v>1</v>
      </c>
      <c r="I19">
        <f t="shared" si="4"/>
        <v>1</v>
      </c>
      <c r="J19">
        <f t="shared" si="4"/>
        <v>1</v>
      </c>
      <c r="K19">
        <f t="shared" ref="K19:M19" si="6">J19</f>
        <v>1</v>
      </c>
      <c r="L19">
        <f t="shared" si="6"/>
        <v>1</v>
      </c>
      <c r="M19">
        <f t="shared" si="6"/>
        <v>1</v>
      </c>
    </row>
    <row r="20" spans="1:13" x14ac:dyDescent="0.3">
      <c r="A20" t="s">
        <v>20</v>
      </c>
      <c r="D20">
        <f>Sheet3!E36</f>
        <v>1</v>
      </c>
      <c r="F20">
        <f>D20</f>
        <v>1</v>
      </c>
      <c r="G20">
        <f t="shared" si="4"/>
        <v>1</v>
      </c>
      <c r="H20">
        <f t="shared" si="4"/>
        <v>1</v>
      </c>
      <c r="I20">
        <f t="shared" si="4"/>
        <v>1</v>
      </c>
      <c r="J20">
        <f t="shared" si="4"/>
        <v>1</v>
      </c>
      <c r="K20">
        <f t="shared" ref="K20:M20" si="7">J20</f>
        <v>1</v>
      </c>
      <c r="L20">
        <f t="shared" si="7"/>
        <v>1</v>
      </c>
      <c r="M20">
        <f t="shared" si="7"/>
        <v>1</v>
      </c>
    </row>
    <row r="23" spans="1:13" x14ac:dyDescent="0.3">
      <c r="A23" t="s">
        <v>35</v>
      </c>
      <c r="D23">
        <f>1*(1-D17)</f>
        <v>0.65</v>
      </c>
      <c r="F23">
        <f>D23</f>
        <v>0.65</v>
      </c>
      <c r="G23">
        <f t="shared" ref="G23:J23" si="8">F23</f>
        <v>0.65</v>
      </c>
      <c r="H23">
        <f t="shared" si="8"/>
        <v>0.65</v>
      </c>
      <c r="I23">
        <f t="shared" si="8"/>
        <v>0.65</v>
      </c>
      <c r="J23">
        <f t="shared" si="8"/>
        <v>0.65</v>
      </c>
      <c r="K23">
        <f t="shared" ref="K23:M23" si="9">J23</f>
        <v>0.65</v>
      </c>
      <c r="L23">
        <f t="shared" si="9"/>
        <v>0.65</v>
      </c>
      <c r="M23">
        <f t="shared" si="9"/>
        <v>0.65</v>
      </c>
    </row>
    <row r="24" spans="1:13" x14ac:dyDescent="0.3">
      <c r="A24" t="s">
        <v>39</v>
      </c>
      <c r="D24">
        <f>Sheet3!B17</f>
        <v>0.53</v>
      </c>
      <c r="F24">
        <f>D24</f>
        <v>0.53</v>
      </c>
      <c r="G24">
        <f t="shared" ref="G24:J27" si="10">F24</f>
        <v>0.53</v>
      </c>
      <c r="H24">
        <f t="shared" si="10"/>
        <v>0.53</v>
      </c>
      <c r="I24">
        <f t="shared" si="10"/>
        <v>0.53</v>
      </c>
      <c r="J24">
        <f t="shared" si="10"/>
        <v>0.53</v>
      </c>
      <c r="K24">
        <f t="shared" ref="K24:M24" si="11">J24</f>
        <v>0.53</v>
      </c>
      <c r="L24">
        <f t="shared" si="11"/>
        <v>0.53</v>
      </c>
      <c r="M24">
        <f t="shared" si="11"/>
        <v>0.53</v>
      </c>
    </row>
    <row r="25" spans="1:13" x14ac:dyDescent="0.3">
      <c r="A25" t="s">
        <v>36</v>
      </c>
      <c r="D25">
        <v>0.9</v>
      </c>
      <c r="F25">
        <f>D25</f>
        <v>0.9</v>
      </c>
      <c r="G25">
        <f t="shared" si="10"/>
        <v>0.9</v>
      </c>
      <c r="H25">
        <f t="shared" si="10"/>
        <v>0.9</v>
      </c>
      <c r="I25">
        <f t="shared" si="10"/>
        <v>0.9</v>
      </c>
      <c r="J25">
        <f t="shared" si="10"/>
        <v>0.9</v>
      </c>
      <c r="K25">
        <f t="shared" ref="K25:M25" si="12">J25</f>
        <v>0.9</v>
      </c>
      <c r="L25">
        <f t="shared" si="12"/>
        <v>0.9</v>
      </c>
      <c r="M25">
        <f t="shared" si="12"/>
        <v>0.9</v>
      </c>
    </row>
    <row r="26" spans="1:13" x14ac:dyDescent="0.3">
      <c r="A26" t="s">
        <v>40</v>
      </c>
      <c r="D26">
        <v>0.95</v>
      </c>
      <c r="F26">
        <f>D26</f>
        <v>0.95</v>
      </c>
      <c r="G26">
        <f t="shared" si="10"/>
        <v>0.95</v>
      </c>
      <c r="H26">
        <f t="shared" si="10"/>
        <v>0.95</v>
      </c>
      <c r="I26">
        <f t="shared" si="10"/>
        <v>0.95</v>
      </c>
      <c r="J26">
        <f t="shared" si="10"/>
        <v>0.95</v>
      </c>
      <c r="K26">
        <f t="shared" ref="K26:M26" si="13">J26</f>
        <v>0.95</v>
      </c>
      <c r="L26">
        <f t="shared" si="13"/>
        <v>0.95</v>
      </c>
      <c r="M26">
        <f t="shared" si="13"/>
        <v>0.95</v>
      </c>
    </row>
    <row r="27" spans="1:13" x14ac:dyDescent="0.3">
      <c r="A27" t="s">
        <v>37</v>
      </c>
      <c r="D27">
        <v>0.99</v>
      </c>
      <c r="F27">
        <f>D27</f>
        <v>0.99</v>
      </c>
      <c r="G27">
        <f t="shared" si="10"/>
        <v>0.99</v>
      </c>
      <c r="H27">
        <f t="shared" si="10"/>
        <v>0.99</v>
      </c>
      <c r="I27">
        <f t="shared" si="10"/>
        <v>0.99</v>
      </c>
      <c r="J27">
        <f t="shared" si="10"/>
        <v>0.99</v>
      </c>
      <c r="K27">
        <f t="shared" ref="K27:M27" si="14">J27</f>
        <v>0.99</v>
      </c>
      <c r="L27">
        <f t="shared" si="14"/>
        <v>0.99</v>
      </c>
      <c r="M27">
        <f t="shared" si="14"/>
        <v>0.99</v>
      </c>
    </row>
    <row r="28" spans="1:13" x14ac:dyDescent="0.3">
      <c r="A28" t="s">
        <v>38</v>
      </c>
      <c r="D28">
        <f>D23*D24*D25*D26*D27</f>
        <v>0.29160202500000004</v>
      </c>
      <c r="F28">
        <f>F23*F24*F25*F26*F27</f>
        <v>0.29160202500000004</v>
      </c>
      <c r="G28">
        <f t="shared" ref="G28:J28" si="15">G23*G24*G25*G26*G27</f>
        <v>0.29160202500000004</v>
      </c>
      <c r="H28">
        <f t="shared" si="15"/>
        <v>0.29160202500000004</v>
      </c>
      <c r="I28">
        <f t="shared" si="15"/>
        <v>0.29160202500000004</v>
      </c>
      <c r="J28">
        <f t="shared" si="15"/>
        <v>0.29160202500000004</v>
      </c>
      <c r="K28">
        <f t="shared" ref="K28" si="16">K23*K24*K25*K26*K27</f>
        <v>0.29160202500000004</v>
      </c>
      <c r="L28">
        <f t="shared" ref="L28" si="17">L23*L24*L25*L26*L27</f>
        <v>0.29160202500000004</v>
      </c>
      <c r="M28">
        <f t="shared" ref="M28" si="18">M23*M24*M25*M26*M27</f>
        <v>0.29160202500000004</v>
      </c>
    </row>
    <row r="29" spans="1:13" x14ac:dyDescent="0.3">
      <c r="B29">
        <v>0.1</v>
      </c>
      <c r="C29">
        <v>0.9</v>
      </c>
    </row>
    <row r="30" spans="1:13" x14ac:dyDescent="0.3">
      <c r="F30" s="5">
        <f>F2*F28*$B29+E2*E28*$C29</f>
        <v>2.9160202500000008</v>
      </c>
      <c r="G30" s="5">
        <f>G2*G28*$B29+F2*F28*$C29</f>
        <v>30.618212625000005</v>
      </c>
      <c r="H30" s="5">
        <f t="shared" ref="H30:J30" si="19">H2*H28*$B29+G2*G28*$C29</f>
        <v>45.198313875000011</v>
      </c>
      <c r="I30" s="5">
        <f t="shared" si="19"/>
        <v>59.778415125000009</v>
      </c>
      <c r="J30" s="5">
        <f t="shared" si="19"/>
        <v>74.358516375000022</v>
      </c>
      <c r="K30" s="5">
        <f t="shared" ref="K30" si="20">K2*K28*$B29+J2*J28*$C29</f>
        <v>90.396627750000022</v>
      </c>
      <c r="L30" s="5">
        <f t="shared" ref="L30" si="21">L2*L28*$B29+K2*K28*$C29</f>
        <v>116.64081000000002</v>
      </c>
      <c r="M30" s="5">
        <f t="shared" ref="M30" si="22">M2*M28*$B29+L2*L28*$C29</f>
        <v>116.64081000000002</v>
      </c>
    </row>
    <row r="32" spans="1:13" x14ac:dyDescent="0.3">
      <c r="A32" t="s">
        <v>41</v>
      </c>
      <c r="F32" s="6">
        <f>F2*F28</f>
        <v>29.160202500000004</v>
      </c>
      <c r="G32" s="6">
        <f t="shared" ref="G32:J32" si="23">G2*G28</f>
        <v>43.74030375000001</v>
      </c>
      <c r="H32" s="6">
        <f t="shared" si="23"/>
        <v>58.320405000000008</v>
      </c>
      <c r="I32" s="6">
        <f t="shared" si="23"/>
        <v>72.900506250000007</v>
      </c>
      <c r="J32" s="6">
        <f t="shared" si="23"/>
        <v>87.480607500000019</v>
      </c>
      <c r="K32" s="6">
        <f t="shared" ref="K32:M32" si="24">K2*K28</f>
        <v>116.64081000000002</v>
      </c>
      <c r="L32" s="6">
        <f t="shared" si="24"/>
        <v>116.64081000000002</v>
      </c>
      <c r="M32" s="6">
        <f t="shared" si="24"/>
        <v>116.64081000000002</v>
      </c>
    </row>
    <row r="35" spans="1:13" x14ac:dyDescent="0.3">
      <c r="A35" t="s">
        <v>31</v>
      </c>
      <c r="D35">
        <v>0.3</v>
      </c>
    </row>
    <row r="38" spans="1:13" x14ac:dyDescent="0.3">
      <c r="A38" s="9" t="s">
        <v>35</v>
      </c>
      <c r="D38" s="10">
        <f>1-D35</f>
        <v>0.7</v>
      </c>
      <c r="F38" s="10">
        <f>$D38</f>
        <v>0.7</v>
      </c>
      <c r="G38" s="10">
        <f t="shared" ref="G38:M38" si="25">$D38</f>
        <v>0.7</v>
      </c>
      <c r="H38" s="10">
        <f t="shared" si="25"/>
        <v>0.7</v>
      </c>
      <c r="I38" s="10">
        <f t="shared" si="25"/>
        <v>0.7</v>
      </c>
      <c r="J38" s="10">
        <f t="shared" si="25"/>
        <v>0.7</v>
      </c>
      <c r="K38" s="10">
        <f t="shared" si="25"/>
        <v>0.7</v>
      </c>
      <c r="L38" s="10">
        <f t="shared" si="25"/>
        <v>0.7</v>
      </c>
      <c r="M38" s="10">
        <f t="shared" si="25"/>
        <v>0.7</v>
      </c>
    </row>
    <row r="39" spans="1:13" x14ac:dyDescent="0.3">
      <c r="A39" t="s">
        <v>39</v>
      </c>
      <c r="D39">
        <v>0.95</v>
      </c>
      <c r="F39" s="10">
        <f t="shared" ref="F39:M42" si="26">$D39</f>
        <v>0.95</v>
      </c>
      <c r="G39" s="10">
        <f t="shared" si="26"/>
        <v>0.95</v>
      </c>
      <c r="H39" s="10">
        <f t="shared" si="26"/>
        <v>0.95</v>
      </c>
      <c r="I39" s="10">
        <f t="shared" si="26"/>
        <v>0.95</v>
      </c>
      <c r="J39" s="10">
        <f t="shared" si="26"/>
        <v>0.95</v>
      </c>
      <c r="K39" s="10">
        <f t="shared" si="26"/>
        <v>0.95</v>
      </c>
      <c r="L39" s="10">
        <f t="shared" si="26"/>
        <v>0.95</v>
      </c>
      <c r="M39" s="10">
        <f t="shared" si="26"/>
        <v>0.95</v>
      </c>
    </row>
    <row r="40" spans="1:13" x14ac:dyDescent="0.3">
      <c r="A40" t="s">
        <v>36</v>
      </c>
      <c r="D40">
        <v>0.9</v>
      </c>
      <c r="F40" s="10">
        <f t="shared" si="26"/>
        <v>0.9</v>
      </c>
      <c r="G40" s="10">
        <f t="shared" si="26"/>
        <v>0.9</v>
      </c>
      <c r="H40" s="10">
        <f t="shared" si="26"/>
        <v>0.9</v>
      </c>
      <c r="I40" s="10">
        <f t="shared" si="26"/>
        <v>0.9</v>
      </c>
      <c r="J40" s="10">
        <f t="shared" si="26"/>
        <v>0.9</v>
      </c>
      <c r="K40" s="10">
        <f t="shared" si="26"/>
        <v>0.9</v>
      </c>
      <c r="L40" s="10">
        <f t="shared" si="26"/>
        <v>0.9</v>
      </c>
      <c r="M40" s="10">
        <f t="shared" si="26"/>
        <v>0.9</v>
      </c>
    </row>
    <row r="41" spans="1:13" x14ac:dyDescent="0.3">
      <c r="A41" t="s">
        <v>40</v>
      </c>
      <c r="D41">
        <v>0.95</v>
      </c>
      <c r="F41" s="10">
        <f t="shared" si="26"/>
        <v>0.95</v>
      </c>
      <c r="G41" s="10">
        <f t="shared" si="26"/>
        <v>0.95</v>
      </c>
      <c r="H41" s="10">
        <f t="shared" si="26"/>
        <v>0.95</v>
      </c>
      <c r="I41" s="10">
        <f t="shared" si="26"/>
        <v>0.95</v>
      </c>
      <c r="J41" s="10">
        <f t="shared" si="26"/>
        <v>0.95</v>
      </c>
      <c r="K41" s="10">
        <f t="shared" si="26"/>
        <v>0.95</v>
      </c>
      <c r="L41" s="10">
        <f t="shared" si="26"/>
        <v>0.95</v>
      </c>
      <c r="M41" s="10">
        <f t="shared" si="26"/>
        <v>0.95</v>
      </c>
    </row>
    <row r="42" spans="1:13" x14ac:dyDescent="0.3">
      <c r="A42" t="s">
        <v>37</v>
      </c>
      <c r="D42">
        <v>0.99</v>
      </c>
      <c r="F42" s="10">
        <f t="shared" si="26"/>
        <v>0.99</v>
      </c>
      <c r="G42" s="10">
        <f t="shared" si="26"/>
        <v>0.99</v>
      </c>
      <c r="H42" s="10">
        <f t="shared" si="26"/>
        <v>0.99</v>
      </c>
      <c r="I42" s="10">
        <f t="shared" si="26"/>
        <v>0.99</v>
      </c>
      <c r="J42" s="10">
        <f t="shared" si="26"/>
        <v>0.99</v>
      </c>
      <c r="K42" s="10">
        <f t="shared" si="26"/>
        <v>0.99</v>
      </c>
      <c r="L42" s="10">
        <f t="shared" si="26"/>
        <v>0.99</v>
      </c>
      <c r="M42" s="10">
        <f t="shared" si="26"/>
        <v>0.99</v>
      </c>
    </row>
    <row r="43" spans="1:13" x14ac:dyDescent="0.3">
      <c r="A43" t="s">
        <v>38</v>
      </c>
      <c r="D43">
        <f>D38*D39*D40*D41*D42</f>
        <v>0.5628892499999999</v>
      </c>
      <c r="F43">
        <f>F38*F39*F40*F41*F42</f>
        <v>0.5628892499999999</v>
      </c>
      <c r="G43">
        <f t="shared" ref="G43:M43" si="27">G38*G39*G40*G41*G42</f>
        <v>0.5628892499999999</v>
      </c>
      <c r="H43">
        <f t="shared" si="27"/>
        <v>0.5628892499999999</v>
      </c>
      <c r="I43">
        <f t="shared" si="27"/>
        <v>0.5628892499999999</v>
      </c>
      <c r="J43">
        <f t="shared" si="27"/>
        <v>0.5628892499999999</v>
      </c>
      <c r="K43">
        <f t="shared" si="27"/>
        <v>0.5628892499999999</v>
      </c>
      <c r="L43">
        <f t="shared" si="27"/>
        <v>0.5628892499999999</v>
      </c>
      <c r="M43">
        <f t="shared" si="27"/>
        <v>0.5628892499999999</v>
      </c>
    </row>
    <row r="45" spans="1:13" x14ac:dyDescent="0.3">
      <c r="A45" t="s">
        <v>42</v>
      </c>
      <c r="F45" s="7">
        <f>F32*F43</f>
        <v>16.413964515073125</v>
      </c>
      <c r="G45" s="7">
        <f t="shared" ref="G45:M45" si="28">G32*G43</f>
        <v>24.620946772609688</v>
      </c>
      <c r="H45" s="7">
        <f t="shared" si="28"/>
        <v>32.827929030146251</v>
      </c>
      <c r="I45" s="7">
        <f t="shared" si="28"/>
        <v>41.03491128768281</v>
      </c>
      <c r="J45" s="7">
        <f t="shared" si="28"/>
        <v>49.241893545219376</v>
      </c>
      <c r="K45" s="7">
        <f t="shared" si="28"/>
        <v>65.655858060292502</v>
      </c>
      <c r="L45" s="7">
        <f t="shared" si="28"/>
        <v>65.655858060292502</v>
      </c>
      <c r="M45" s="7">
        <f t="shared" si="28"/>
        <v>65.655858060292502</v>
      </c>
    </row>
  </sheetData>
  <phoneticPr fontId="5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5051-D4ED-491F-B5CD-0595BBEF77FC}">
  <sheetPr codeName="Sheet8"/>
  <dimension ref="A2:R41"/>
  <sheetViews>
    <sheetView workbookViewId="0">
      <pane xSplit="5" ySplit="2" topLeftCell="F27" activePane="bottomRight" state="frozen"/>
      <selection pane="topRight" activeCell="E1" sqref="E1"/>
      <selection pane="bottomLeft" activeCell="A3" sqref="A3"/>
      <selection pane="bottomRight" activeCell="I25" sqref="I25"/>
    </sheetView>
  </sheetViews>
  <sheetFormatPr defaultRowHeight="15.6" x14ac:dyDescent="0.3"/>
  <cols>
    <col min="1" max="1" width="17.69921875" customWidth="1"/>
    <col min="6" max="17" width="9.09765625" bestFit="1" customWidth="1"/>
    <col min="18" max="18" width="8.8984375" bestFit="1" customWidth="1"/>
  </cols>
  <sheetData>
    <row r="2" spans="1:18" x14ac:dyDescent="0.3">
      <c r="F2">
        <v>1</v>
      </c>
      <c r="G2">
        <v>2</v>
      </c>
      <c r="H2">
        <v>3</v>
      </c>
      <c r="I2">
        <v>4</v>
      </c>
      <c r="J2">
        <v>5</v>
      </c>
      <c r="K2">
        <v>6</v>
      </c>
      <c r="L2">
        <v>7</v>
      </c>
      <c r="M2">
        <v>8</v>
      </c>
      <c r="N2">
        <v>9</v>
      </c>
      <c r="O2">
        <v>10</v>
      </c>
      <c r="P2">
        <v>11</v>
      </c>
      <c r="Q2">
        <v>12</v>
      </c>
      <c r="R2">
        <v>13</v>
      </c>
    </row>
    <row r="3" spans="1:18" x14ac:dyDescent="0.3">
      <c r="F3">
        <f>Sheet2!F2</f>
        <v>100</v>
      </c>
      <c r="G3">
        <f>Sheet2!G2</f>
        <v>150</v>
      </c>
      <c r="H3">
        <f>Sheet2!H2</f>
        <v>200</v>
      </c>
      <c r="I3">
        <f>Sheet2!I2</f>
        <v>250</v>
      </c>
      <c r="J3">
        <f>Sheet2!J2</f>
        <v>300</v>
      </c>
      <c r="K3">
        <f>Sheet2!K2</f>
        <v>400</v>
      </c>
      <c r="L3">
        <f>Sheet2!L2</f>
        <v>400</v>
      </c>
      <c r="M3">
        <f>Sheet2!M2</f>
        <v>400</v>
      </c>
      <c r="N3">
        <f>Sheet2!N2</f>
        <v>400</v>
      </c>
      <c r="O3">
        <f>Sheet2!O2</f>
        <v>400</v>
      </c>
      <c r="P3">
        <f>Sheet2!P2</f>
        <v>400</v>
      </c>
      <c r="Q3">
        <f>Sheet2!Q2</f>
        <v>400</v>
      </c>
    </row>
    <row r="5" spans="1:18" x14ac:dyDescent="0.3">
      <c r="B5">
        <f>500000</f>
        <v>500000</v>
      </c>
      <c r="F5">
        <f>F3*$B$16</f>
        <v>34.450000000000003</v>
      </c>
      <c r="G5">
        <f t="shared" ref="G5:Q5" si="0">G3*$B$16</f>
        <v>51.675000000000004</v>
      </c>
      <c r="H5">
        <f t="shared" si="0"/>
        <v>68.900000000000006</v>
      </c>
      <c r="I5">
        <f t="shared" si="0"/>
        <v>86.125</v>
      </c>
      <c r="J5">
        <f t="shared" si="0"/>
        <v>103.35000000000001</v>
      </c>
      <c r="K5">
        <f t="shared" si="0"/>
        <v>137.80000000000001</v>
      </c>
      <c r="L5">
        <f t="shared" si="0"/>
        <v>137.80000000000001</v>
      </c>
      <c r="M5">
        <f t="shared" si="0"/>
        <v>137.80000000000001</v>
      </c>
      <c r="N5">
        <f t="shared" si="0"/>
        <v>137.80000000000001</v>
      </c>
      <c r="O5">
        <f t="shared" si="0"/>
        <v>137.80000000000001</v>
      </c>
      <c r="P5">
        <f t="shared" si="0"/>
        <v>137.80000000000001</v>
      </c>
      <c r="Q5">
        <f t="shared" si="0"/>
        <v>137.80000000000001</v>
      </c>
    </row>
    <row r="6" spans="1:18" x14ac:dyDescent="0.3">
      <c r="B6">
        <v>15000</v>
      </c>
      <c r="F6">
        <f>F3*$B$19</f>
        <v>65.55</v>
      </c>
      <c r="G6">
        <f t="shared" ref="G6:Q6" si="1">G3*$B$19</f>
        <v>98.324999999999989</v>
      </c>
      <c r="H6">
        <f t="shared" si="1"/>
        <v>131.1</v>
      </c>
      <c r="I6">
        <f t="shared" si="1"/>
        <v>163.875</v>
      </c>
      <c r="J6">
        <f t="shared" si="1"/>
        <v>196.64999999999998</v>
      </c>
      <c r="K6">
        <f t="shared" si="1"/>
        <v>262.2</v>
      </c>
      <c r="L6">
        <f t="shared" si="1"/>
        <v>262.2</v>
      </c>
      <c r="M6">
        <f t="shared" si="1"/>
        <v>262.2</v>
      </c>
      <c r="N6">
        <f t="shared" si="1"/>
        <v>262.2</v>
      </c>
      <c r="O6">
        <f t="shared" si="1"/>
        <v>262.2</v>
      </c>
      <c r="P6">
        <f t="shared" si="1"/>
        <v>262.2</v>
      </c>
      <c r="Q6">
        <f t="shared" si="1"/>
        <v>262.2</v>
      </c>
    </row>
    <row r="7" spans="1:18" x14ac:dyDescent="0.3">
      <c r="A7" t="s">
        <v>21</v>
      </c>
      <c r="B7">
        <f>B5/B6</f>
        <v>33.333333333333336</v>
      </c>
    </row>
    <row r="9" spans="1:18" x14ac:dyDescent="0.3">
      <c r="A9" t="s">
        <v>22</v>
      </c>
      <c r="B9">
        <v>0.5</v>
      </c>
    </row>
    <row r="11" spans="1:18" x14ac:dyDescent="0.3">
      <c r="B11">
        <f>B7*(1+B9)</f>
        <v>50</v>
      </c>
    </row>
    <row r="12" spans="1:18" x14ac:dyDescent="0.3">
      <c r="A12" t="s">
        <v>23</v>
      </c>
      <c r="B12" t="s">
        <v>24</v>
      </c>
      <c r="C12" t="s">
        <v>25</v>
      </c>
      <c r="E12" t="s">
        <v>26</v>
      </c>
    </row>
    <row r="13" spans="1:18" x14ac:dyDescent="0.3">
      <c r="B13">
        <f>$B$11/3</f>
        <v>16.666666666666668</v>
      </c>
      <c r="C13">
        <f t="shared" ref="C13:E13" si="2">$B$11/3</f>
        <v>16.666666666666668</v>
      </c>
      <c r="E13">
        <f t="shared" si="2"/>
        <v>16.666666666666668</v>
      </c>
    </row>
    <row r="16" spans="1:18" x14ac:dyDescent="0.3">
      <c r="A16" t="s">
        <v>33</v>
      </c>
      <c r="B16">
        <f>B17*(1-B33)</f>
        <v>0.34450000000000003</v>
      </c>
    </row>
    <row r="17" spans="1:18" x14ac:dyDescent="0.3">
      <c r="A17" t="s">
        <v>39</v>
      </c>
      <c r="B17">
        <v>0.53</v>
      </c>
    </row>
    <row r="19" spans="1:18" x14ac:dyDescent="0.3">
      <c r="A19" t="s">
        <v>27</v>
      </c>
      <c r="B19">
        <f>1-B16</f>
        <v>0.65549999999999997</v>
      </c>
    </row>
    <row r="22" spans="1:18" x14ac:dyDescent="0.3">
      <c r="A22" t="s">
        <v>28</v>
      </c>
      <c r="F22">
        <f>$B$7*F3</f>
        <v>3333.3333333333335</v>
      </c>
      <c r="G22">
        <f t="shared" ref="G22:Q22" si="3">$B$7*G3</f>
        <v>5000</v>
      </c>
      <c r="H22">
        <f t="shared" si="3"/>
        <v>6666.666666666667</v>
      </c>
      <c r="I22">
        <f t="shared" si="3"/>
        <v>8333.3333333333339</v>
      </c>
      <c r="J22">
        <f t="shared" si="3"/>
        <v>10000</v>
      </c>
      <c r="K22">
        <f t="shared" si="3"/>
        <v>13333.333333333334</v>
      </c>
      <c r="L22">
        <f t="shared" si="3"/>
        <v>13333.333333333334</v>
      </c>
      <c r="M22">
        <f t="shared" si="3"/>
        <v>13333.333333333334</v>
      </c>
      <c r="N22">
        <f t="shared" si="3"/>
        <v>13333.333333333334</v>
      </c>
      <c r="O22">
        <f t="shared" si="3"/>
        <v>13333.333333333334</v>
      </c>
      <c r="P22">
        <f t="shared" si="3"/>
        <v>13333.333333333334</v>
      </c>
      <c r="Q22">
        <f t="shared" si="3"/>
        <v>13333.333333333334</v>
      </c>
    </row>
    <row r="24" spans="1:18" x14ac:dyDescent="0.3">
      <c r="A24" t="s">
        <v>29</v>
      </c>
      <c r="F24">
        <f>$B$11*F3</f>
        <v>5000</v>
      </c>
      <c r="G24">
        <f t="shared" ref="G24:Q24" si="4">$B$11*G3</f>
        <v>7500</v>
      </c>
      <c r="H24">
        <f t="shared" si="4"/>
        <v>10000</v>
      </c>
      <c r="I24">
        <f t="shared" si="4"/>
        <v>12500</v>
      </c>
      <c r="J24">
        <f t="shared" si="4"/>
        <v>15000</v>
      </c>
      <c r="K24">
        <f t="shared" si="4"/>
        <v>20000</v>
      </c>
      <c r="L24">
        <f t="shared" si="4"/>
        <v>20000</v>
      </c>
      <c r="M24">
        <f t="shared" si="4"/>
        <v>20000</v>
      </c>
      <c r="N24">
        <f t="shared" si="4"/>
        <v>20000</v>
      </c>
      <c r="O24">
        <f t="shared" si="4"/>
        <v>20000</v>
      </c>
      <c r="P24">
        <f t="shared" si="4"/>
        <v>20000</v>
      </c>
      <c r="Q24">
        <f t="shared" si="4"/>
        <v>20000</v>
      </c>
    </row>
    <row r="27" spans="1:18" x14ac:dyDescent="0.3">
      <c r="A27" s="6" t="s">
        <v>30</v>
      </c>
      <c r="F27" s="8">
        <f>SUM(E28:F29)</f>
        <v>1666.6666666666667</v>
      </c>
      <c r="G27" s="8">
        <f t="shared" ref="G27:Q27" si="5">SUM(F28:G29)</f>
        <v>4166.666666666667</v>
      </c>
      <c r="H27" s="8">
        <f t="shared" si="5"/>
        <v>5833.3333333333339</v>
      </c>
      <c r="I27" s="8">
        <f t="shared" si="5"/>
        <v>7500</v>
      </c>
      <c r="J27" s="8">
        <f t="shared" si="5"/>
        <v>9166.6666666666679</v>
      </c>
      <c r="K27" s="8">
        <f t="shared" si="5"/>
        <v>11666.666666666668</v>
      </c>
      <c r="L27" s="8">
        <f t="shared" si="5"/>
        <v>13333.333333333334</v>
      </c>
      <c r="M27" s="8">
        <f t="shared" si="5"/>
        <v>13333.333333333334</v>
      </c>
      <c r="N27" s="8">
        <f t="shared" si="5"/>
        <v>13333.333333333334</v>
      </c>
      <c r="O27" s="8">
        <f t="shared" si="5"/>
        <v>13333.333333333334</v>
      </c>
      <c r="P27" s="8">
        <f t="shared" si="5"/>
        <v>13333.333333333334</v>
      </c>
      <c r="Q27" s="8">
        <f t="shared" si="5"/>
        <v>13333.333333333334</v>
      </c>
    </row>
    <row r="28" spans="1:18" s="6" customFormat="1" x14ac:dyDescent="0.3">
      <c r="F28" s="6">
        <f>$B$9*$B$7*F5</f>
        <v>574.16666666666674</v>
      </c>
      <c r="G28" s="6">
        <f t="shared" ref="G28:R28" si="6">$B$9*$B$7*G5</f>
        <v>861.25000000000011</v>
      </c>
      <c r="H28" s="6">
        <f t="shared" si="6"/>
        <v>1148.3333333333335</v>
      </c>
      <c r="I28" s="6">
        <f t="shared" si="6"/>
        <v>1435.4166666666667</v>
      </c>
      <c r="J28" s="6">
        <f t="shared" si="6"/>
        <v>1722.5000000000002</v>
      </c>
      <c r="K28" s="6">
        <f t="shared" si="6"/>
        <v>2296.666666666667</v>
      </c>
      <c r="L28" s="6">
        <f t="shared" si="6"/>
        <v>2296.666666666667</v>
      </c>
      <c r="M28" s="6">
        <f t="shared" si="6"/>
        <v>2296.666666666667</v>
      </c>
      <c r="N28" s="6">
        <f t="shared" si="6"/>
        <v>2296.666666666667</v>
      </c>
      <c r="O28" s="6">
        <f t="shared" si="6"/>
        <v>2296.666666666667</v>
      </c>
      <c r="P28" s="6">
        <f t="shared" si="6"/>
        <v>2296.666666666667</v>
      </c>
      <c r="Q28" s="6">
        <f t="shared" si="6"/>
        <v>2296.666666666667</v>
      </c>
      <c r="R28" s="6">
        <f t="shared" si="6"/>
        <v>0</v>
      </c>
    </row>
    <row r="29" spans="1:18" s="6" customFormat="1" x14ac:dyDescent="0.3">
      <c r="F29" s="6">
        <f>$B$9*$B$7*F6</f>
        <v>1092.5</v>
      </c>
      <c r="G29" s="6">
        <f t="shared" ref="G29:R29" si="7">$B$9*$B$7*G6</f>
        <v>1638.75</v>
      </c>
      <c r="H29" s="6">
        <f t="shared" si="7"/>
        <v>2185</v>
      </c>
      <c r="I29" s="6">
        <f t="shared" si="7"/>
        <v>2731.25</v>
      </c>
      <c r="J29" s="6">
        <f t="shared" si="7"/>
        <v>3277.5</v>
      </c>
      <c r="K29" s="6">
        <f t="shared" si="7"/>
        <v>4370</v>
      </c>
      <c r="L29" s="6">
        <f t="shared" si="7"/>
        <v>4370</v>
      </c>
      <c r="M29" s="6">
        <f t="shared" si="7"/>
        <v>4370</v>
      </c>
      <c r="N29" s="6">
        <f t="shared" si="7"/>
        <v>4370</v>
      </c>
      <c r="O29" s="6">
        <f t="shared" si="7"/>
        <v>4370</v>
      </c>
      <c r="P29" s="6">
        <f t="shared" si="7"/>
        <v>4370</v>
      </c>
      <c r="Q29" s="6">
        <f t="shared" si="7"/>
        <v>4370</v>
      </c>
      <c r="R29" s="6">
        <f t="shared" si="7"/>
        <v>0</v>
      </c>
    </row>
    <row r="32" spans="1:18" x14ac:dyDescent="0.3">
      <c r="A32" t="s">
        <v>31</v>
      </c>
    </row>
    <row r="33" spans="1:11" x14ac:dyDescent="0.3">
      <c r="B33">
        <v>0.35</v>
      </c>
      <c r="C33">
        <v>0.05</v>
      </c>
      <c r="D33">
        <v>0.03</v>
      </c>
    </row>
    <row r="34" spans="1:11" x14ac:dyDescent="0.3">
      <c r="C34">
        <v>0.8</v>
      </c>
      <c r="D34">
        <v>0.8</v>
      </c>
      <c r="E34">
        <v>0.8</v>
      </c>
    </row>
    <row r="35" spans="1:11" x14ac:dyDescent="0.3">
      <c r="D35">
        <v>1</v>
      </c>
      <c r="E35">
        <v>1</v>
      </c>
    </row>
    <row r="36" spans="1:11" x14ac:dyDescent="0.3">
      <c r="E36">
        <v>1</v>
      </c>
    </row>
    <row r="39" spans="1:11" x14ac:dyDescent="0.3">
      <c r="A39" t="s">
        <v>34</v>
      </c>
      <c r="F39">
        <f>F3*(1-B33)</f>
        <v>65</v>
      </c>
      <c r="G39">
        <f t="shared" ref="G39:H39" si="8">G3*(1-C33)</f>
        <v>142.5</v>
      </c>
      <c r="H39">
        <f t="shared" si="8"/>
        <v>194</v>
      </c>
      <c r="K39">
        <f>0.75*0.75*0.95*0.99</f>
        <v>0.52903124999999995</v>
      </c>
    </row>
    <row r="41" spans="1:11" x14ac:dyDescent="0.3">
      <c r="F41">
        <f>F39*$B$13</f>
        <v>1083.3333333333335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EDE49-3091-4353-A3FC-BD501E7A6E28}">
  <sheetPr codeName="Sheet9"/>
  <dimension ref="A2:H36"/>
  <sheetViews>
    <sheetView topLeftCell="A13" workbookViewId="0">
      <selection activeCell="H14" sqref="H14"/>
    </sheetView>
  </sheetViews>
  <sheetFormatPr defaultColWidth="8.69921875" defaultRowHeight="15.6" x14ac:dyDescent="0.3"/>
  <cols>
    <col min="1" max="16384" width="8.69921875" style="12"/>
  </cols>
  <sheetData>
    <row r="2" spans="1:8" x14ac:dyDescent="0.3">
      <c r="F2" s="12" t="s">
        <v>24</v>
      </c>
      <c r="G2" s="12" t="s">
        <v>25</v>
      </c>
      <c r="H2" s="12" t="s">
        <v>26</v>
      </c>
    </row>
    <row r="3" spans="1:8" x14ac:dyDescent="0.3">
      <c r="A3" s="12" t="s">
        <v>47</v>
      </c>
      <c r="F3" s="12">
        <v>1000</v>
      </c>
      <c r="G3" s="12">
        <v>150</v>
      </c>
      <c r="H3" s="12">
        <v>200</v>
      </c>
    </row>
    <row r="5" spans="1:8" x14ac:dyDescent="0.3">
      <c r="A5" s="12" t="s">
        <v>59</v>
      </c>
      <c r="C5" s="12">
        <v>500</v>
      </c>
    </row>
    <row r="7" spans="1:8" x14ac:dyDescent="0.3">
      <c r="A7" s="12" t="s">
        <v>50</v>
      </c>
      <c r="C7" s="12">
        <f>C5+C5*D7</f>
        <v>750</v>
      </c>
      <c r="D7" s="12">
        <v>0.5</v>
      </c>
    </row>
    <row r="9" spans="1:8" x14ac:dyDescent="0.3">
      <c r="A9" s="12" t="s">
        <v>51</v>
      </c>
    </row>
    <row r="11" spans="1:8" x14ac:dyDescent="0.3">
      <c r="A11" s="12" t="s">
        <v>52</v>
      </c>
      <c r="C11" s="12">
        <v>0.38</v>
      </c>
    </row>
    <row r="13" spans="1:8" x14ac:dyDescent="0.3">
      <c r="A13" s="12" t="s">
        <v>48</v>
      </c>
      <c r="C13" s="12">
        <v>0.3</v>
      </c>
    </row>
    <row r="15" spans="1:8" x14ac:dyDescent="0.3">
      <c r="A15" s="12" t="s">
        <v>55</v>
      </c>
      <c r="C15" s="12">
        <v>0.78</v>
      </c>
    </row>
    <row r="16" spans="1:8" x14ac:dyDescent="0.3">
      <c r="A16" s="12" t="s">
        <v>56</v>
      </c>
      <c r="C16" s="12">
        <v>0.76</v>
      </c>
    </row>
    <row r="18" spans="1:6" x14ac:dyDescent="0.3">
      <c r="A18" s="12" t="s">
        <v>23</v>
      </c>
      <c r="C18" s="12">
        <f>$C$7/3</f>
        <v>250</v>
      </c>
      <c r="D18" s="12">
        <f t="shared" ref="D18:E18" si="0">$C$7/3</f>
        <v>250</v>
      </c>
      <c r="E18" s="12">
        <f t="shared" si="0"/>
        <v>250</v>
      </c>
    </row>
    <row r="21" spans="1:6" x14ac:dyDescent="0.3">
      <c r="A21" s="12" t="s">
        <v>34</v>
      </c>
      <c r="F21" s="12">
        <f>F3*(1-C11)</f>
        <v>620</v>
      </c>
    </row>
    <row r="23" spans="1:6" x14ac:dyDescent="0.3">
      <c r="A23" s="12" t="s">
        <v>53</v>
      </c>
      <c r="F23" s="12">
        <f>$C$18*F21</f>
        <v>155000</v>
      </c>
    </row>
    <row r="28" spans="1:6" x14ac:dyDescent="0.3">
      <c r="A28" s="12" t="s">
        <v>54</v>
      </c>
      <c r="F28" s="12">
        <f>F21*C13</f>
        <v>186</v>
      </c>
    </row>
    <row r="30" spans="1:6" x14ac:dyDescent="0.3">
      <c r="A30" s="12" t="s">
        <v>58</v>
      </c>
      <c r="F30" s="12">
        <f>F21*(1-C13)</f>
        <v>434</v>
      </c>
    </row>
    <row r="32" spans="1:6" x14ac:dyDescent="0.3">
      <c r="A32" s="12" t="s">
        <v>57</v>
      </c>
      <c r="F32" s="12">
        <f>F30</f>
        <v>434</v>
      </c>
    </row>
    <row r="34" spans="1:7" x14ac:dyDescent="0.3">
      <c r="A34" s="12" t="s">
        <v>60</v>
      </c>
      <c r="F34" s="13">
        <f>F28*C15</f>
        <v>145.08000000000001</v>
      </c>
    </row>
    <row r="36" spans="1:7" x14ac:dyDescent="0.3">
      <c r="A36" s="12" t="s">
        <v>61</v>
      </c>
      <c r="G36" s="12">
        <f>F34</f>
        <v>145.08000000000001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74748-7C9B-2A4D-8279-9907C0C6CFA7}">
  <sheetPr codeName="Sheet10"/>
  <dimension ref="A2:K25"/>
  <sheetViews>
    <sheetView workbookViewId="0">
      <selection activeCell="D16" sqref="D16"/>
    </sheetView>
  </sheetViews>
  <sheetFormatPr defaultColWidth="10.69921875" defaultRowHeight="15.6" x14ac:dyDescent="0.3"/>
  <cols>
    <col min="1" max="1" width="47.19921875" style="1" customWidth="1"/>
    <col min="2" max="2" width="23.19921875" style="1" customWidth="1"/>
    <col min="3" max="3" width="13.19921875" style="1" bestFit="1" customWidth="1"/>
    <col min="4" max="4" width="16" style="1" bestFit="1" customWidth="1"/>
    <col min="5" max="5" width="12" style="1" bestFit="1" customWidth="1"/>
    <col min="6" max="7" width="13.19921875" style="1" customWidth="1"/>
    <col min="8" max="8" width="15" style="1" bestFit="1" customWidth="1"/>
    <col min="9" max="16384" width="10.69921875" style="1"/>
  </cols>
  <sheetData>
    <row r="2" spans="1:11" x14ac:dyDescent="0.3">
      <c r="C2" s="1" t="s">
        <v>0</v>
      </c>
      <c r="D2" s="1" t="s">
        <v>10</v>
      </c>
      <c r="E2" s="1" t="s">
        <v>2</v>
      </c>
      <c r="F2" s="1" t="s">
        <v>12</v>
      </c>
      <c r="G2" s="3" t="s">
        <v>14</v>
      </c>
      <c r="H2" s="1" t="s">
        <v>1</v>
      </c>
      <c r="J2" s="1" t="s">
        <v>15</v>
      </c>
    </row>
    <row r="3" spans="1:11" x14ac:dyDescent="0.3">
      <c r="A3" s="1" t="s">
        <v>11</v>
      </c>
      <c r="C3" s="1">
        <v>500000</v>
      </c>
      <c r="D3" s="1">
        <f>C3</f>
        <v>500000</v>
      </c>
      <c r="E3" s="1">
        <f>(C3)*C24</f>
        <v>750000</v>
      </c>
      <c r="G3" s="1">
        <f>F3-C3</f>
        <v>-500000</v>
      </c>
      <c r="H3" s="1">
        <f>C3*C24</f>
        <v>750000</v>
      </c>
      <c r="J3" s="1">
        <f>C3*(C24-1)</f>
        <v>250000</v>
      </c>
    </row>
    <row r="4" spans="1:11" x14ac:dyDescent="0.3">
      <c r="A4" s="1" t="s">
        <v>4</v>
      </c>
      <c r="F4" s="1">
        <f>H3/3</f>
        <v>250000</v>
      </c>
      <c r="G4" s="1">
        <f>G3+F4-C4</f>
        <v>-250000</v>
      </c>
      <c r="H4" s="1">
        <f>D3*$C$25-F4</f>
        <v>500000</v>
      </c>
    </row>
    <row r="5" spans="1:11" x14ac:dyDescent="0.3">
      <c r="A5" s="1" t="s">
        <v>3</v>
      </c>
      <c r="C5" s="1">
        <v>500000</v>
      </c>
      <c r="D5" s="1">
        <f>C5+H4</f>
        <v>1000000</v>
      </c>
      <c r="E5" s="4">
        <f>(C5+H4)*$C$24</f>
        <v>1500000</v>
      </c>
      <c r="G5" s="1">
        <f>G4+F5-C5</f>
        <v>-750000</v>
      </c>
      <c r="H5" s="1">
        <f>E5</f>
        <v>1500000</v>
      </c>
      <c r="J5" s="4">
        <f>(H4+C5)*(C24-1)</f>
        <v>500000</v>
      </c>
    </row>
    <row r="6" spans="1:11" x14ac:dyDescent="0.3">
      <c r="A6" s="1" t="s">
        <v>4</v>
      </c>
      <c r="F6" s="1">
        <f>H5/3</f>
        <v>500000</v>
      </c>
      <c r="G6" s="1">
        <f>G5+F6-C6</f>
        <v>-250000</v>
      </c>
      <c r="H6" s="1">
        <f>D5*$C$25-F6</f>
        <v>1000000</v>
      </c>
    </row>
    <row r="7" spans="1:11" x14ac:dyDescent="0.3">
      <c r="A7" s="1" t="s">
        <v>5</v>
      </c>
      <c r="C7" s="1">
        <v>500000</v>
      </c>
      <c r="D7" s="1">
        <f>C7+H6</f>
        <v>1500000</v>
      </c>
      <c r="E7" s="1">
        <f>(C7+H6)*$C$24</f>
        <v>2250000</v>
      </c>
      <c r="G7" s="1">
        <f>G6+F7-C7</f>
        <v>-750000</v>
      </c>
      <c r="H7" s="1">
        <f>E7</f>
        <v>2250000</v>
      </c>
    </row>
    <row r="8" spans="1:11" x14ac:dyDescent="0.3">
      <c r="A8" s="1" t="s">
        <v>4</v>
      </c>
      <c r="F8" s="1">
        <f>H7/3</f>
        <v>750000</v>
      </c>
      <c r="G8" s="1">
        <f>G7+F8-C8</f>
        <v>0</v>
      </c>
      <c r="H8" s="1">
        <f>D7*$C$25-F8</f>
        <v>1500000</v>
      </c>
    </row>
    <row r="9" spans="1:11" x14ac:dyDescent="0.3">
      <c r="A9" s="1" t="s">
        <v>8</v>
      </c>
      <c r="C9" s="1">
        <v>500000</v>
      </c>
      <c r="D9" s="1">
        <f>C9+H8</f>
        <v>2000000</v>
      </c>
      <c r="E9" s="1">
        <f>(C9+H8)*$C$24</f>
        <v>3000000</v>
      </c>
      <c r="G9" s="1">
        <f t="shared" ref="G9:G12" si="0">G8+F9-C9</f>
        <v>-500000</v>
      </c>
      <c r="H9" s="1">
        <f>E9</f>
        <v>3000000</v>
      </c>
    </row>
    <row r="10" spans="1:11" x14ac:dyDescent="0.3">
      <c r="A10" s="1" t="s">
        <v>4</v>
      </c>
      <c r="F10" s="1">
        <f>H9/3</f>
        <v>1000000</v>
      </c>
      <c r="G10" s="1">
        <f t="shared" si="0"/>
        <v>500000</v>
      </c>
      <c r="H10" s="1">
        <f>D9*$C$25-F10</f>
        <v>2000000</v>
      </c>
    </row>
    <row r="11" spans="1:11" x14ac:dyDescent="0.3">
      <c r="A11" s="1" t="s">
        <v>9</v>
      </c>
      <c r="C11" s="1">
        <v>500000</v>
      </c>
      <c r="D11" s="1">
        <f>C11+H10</f>
        <v>2500000</v>
      </c>
      <c r="E11" s="1">
        <f>(C11+H10)*$C$24</f>
        <v>3750000</v>
      </c>
      <c r="G11" s="1">
        <f t="shared" si="0"/>
        <v>0</v>
      </c>
      <c r="H11" s="1">
        <f>E11</f>
        <v>3750000</v>
      </c>
    </row>
    <row r="12" spans="1:11" x14ac:dyDescent="0.3">
      <c r="A12" s="1" t="s">
        <v>4</v>
      </c>
      <c r="F12" s="1">
        <f>H11/3</f>
        <v>1250000</v>
      </c>
      <c r="G12" s="1">
        <f t="shared" si="0"/>
        <v>1250000</v>
      </c>
      <c r="H12" s="1">
        <f>D11*$C$25-F12</f>
        <v>2500000</v>
      </c>
      <c r="J12" s="1">
        <f>750000*5</f>
        <v>3750000</v>
      </c>
      <c r="K12" s="1">
        <f>J12-2500000</f>
        <v>1250000</v>
      </c>
    </row>
    <row r="15" spans="1:11" x14ac:dyDescent="0.3">
      <c r="C15" s="1">
        <f>SUM(C3:C11)</f>
        <v>2500000</v>
      </c>
      <c r="F15" s="1">
        <f>SUM(F4:F12)</f>
        <v>3750000</v>
      </c>
      <c r="K15" s="2">
        <f>J12/C15</f>
        <v>1.5</v>
      </c>
    </row>
    <row r="16" spans="1:11" x14ac:dyDescent="0.3">
      <c r="H16" s="1">
        <f>F15+H12</f>
        <v>6250000</v>
      </c>
    </row>
    <row r="17" spans="1:9" x14ac:dyDescent="0.3">
      <c r="I17" s="2">
        <f>H16/C15</f>
        <v>2.5</v>
      </c>
    </row>
    <row r="24" spans="1:9" x14ac:dyDescent="0.3">
      <c r="A24" t="s">
        <v>6</v>
      </c>
      <c r="B24"/>
      <c r="C24">
        <v>1.5</v>
      </c>
    </row>
    <row r="25" spans="1:9" x14ac:dyDescent="0.3">
      <c r="A25" s="1" t="s">
        <v>13</v>
      </c>
      <c r="C25" s="2">
        <v>1.5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F7756-EDB4-7D43-99E5-9D4BDD848599}">
  <sheetPr codeName="Sheet11"/>
  <dimension ref="A2:G25"/>
  <sheetViews>
    <sheetView topLeftCell="A19" workbookViewId="0">
      <selection activeCell="J15" sqref="J15"/>
    </sheetView>
  </sheetViews>
  <sheetFormatPr defaultColWidth="10.69921875" defaultRowHeight="15.6" x14ac:dyDescent="0.3"/>
  <cols>
    <col min="1" max="1" width="47.19921875" style="1" customWidth="1"/>
    <col min="2" max="2" width="13.19921875" style="1" bestFit="1" customWidth="1"/>
    <col min="3" max="3" width="16" style="1" bestFit="1" customWidth="1"/>
    <col min="4" max="4" width="12" style="1" bestFit="1" customWidth="1"/>
    <col min="5" max="6" width="13.19921875" style="1" customWidth="1"/>
    <col min="7" max="7" width="15" style="1" bestFit="1" customWidth="1"/>
    <col min="8" max="16384" width="10.69921875" style="1"/>
  </cols>
  <sheetData>
    <row r="2" spans="1:7" x14ac:dyDescent="0.3">
      <c r="B2" s="1" t="s">
        <v>0</v>
      </c>
      <c r="C2" s="1" t="s">
        <v>10</v>
      </c>
      <c r="D2" s="1" t="s">
        <v>2</v>
      </c>
      <c r="E2" s="1" t="s">
        <v>12</v>
      </c>
      <c r="F2" s="1" t="s">
        <v>7</v>
      </c>
      <c r="G2" s="1" t="s">
        <v>1</v>
      </c>
    </row>
    <row r="3" spans="1:7" x14ac:dyDescent="0.3">
      <c r="A3" s="1" t="s">
        <v>11</v>
      </c>
      <c r="B3" s="1">
        <v>500000</v>
      </c>
      <c r="C3" s="1">
        <f>B3</f>
        <v>500000</v>
      </c>
      <c r="D3" s="1">
        <f>(B3)*B24</f>
        <v>750000</v>
      </c>
      <c r="F3" s="1">
        <f>E3-B3</f>
        <v>-500000</v>
      </c>
      <c r="G3" s="1">
        <f>B3*B24</f>
        <v>750000</v>
      </c>
    </row>
    <row r="4" spans="1:7" x14ac:dyDescent="0.3">
      <c r="A4" s="1" t="s">
        <v>4</v>
      </c>
      <c r="E4" s="1">
        <f>G3/3</f>
        <v>250000</v>
      </c>
      <c r="F4" s="1">
        <f>F3+E4-B4</f>
        <v>-250000</v>
      </c>
      <c r="G4" s="1">
        <f>C3*$B$25-E4</f>
        <v>500000</v>
      </c>
    </row>
    <row r="5" spans="1:7" x14ac:dyDescent="0.3">
      <c r="A5" s="1" t="s">
        <v>3</v>
      </c>
      <c r="B5" s="1">
        <v>200000</v>
      </c>
      <c r="C5" s="1">
        <f>B5+G4</f>
        <v>700000</v>
      </c>
      <c r="D5" s="1">
        <f>(B5+G4)*$B$24</f>
        <v>1050000</v>
      </c>
      <c r="F5" s="1">
        <f>F4+E5-B5</f>
        <v>-450000</v>
      </c>
      <c r="G5" s="1">
        <f>D5</f>
        <v>1050000</v>
      </c>
    </row>
    <row r="6" spans="1:7" x14ac:dyDescent="0.3">
      <c r="A6" s="1" t="s">
        <v>4</v>
      </c>
      <c r="E6" s="1">
        <f>G5/3</f>
        <v>350000</v>
      </c>
      <c r="F6" s="1">
        <f>F5+E6-B6</f>
        <v>-100000</v>
      </c>
      <c r="G6" s="1">
        <f>C5*$B$25-E6</f>
        <v>700000</v>
      </c>
    </row>
    <row r="7" spans="1:7" x14ac:dyDescent="0.3">
      <c r="A7" s="1" t="s">
        <v>5</v>
      </c>
      <c r="B7" s="1">
        <v>200000</v>
      </c>
      <c r="C7" s="1">
        <f>B7+G6</f>
        <v>900000</v>
      </c>
      <c r="D7" s="1">
        <f>(B7+G6)*$B$24</f>
        <v>1350000</v>
      </c>
      <c r="F7" s="1">
        <f>F6+E7-B7</f>
        <v>-300000</v>
      </c>
      <c r="G7" s="1">
        <f>D7</f>
        <v>1350000</v>
      </c>
    </row>
    <row r="8" spans="1:7" x14ac:dyDescent="0.3">
      <c r="A8" s="1" t="s">
        <v>4</v>
      </c>
      <c r="E8" s="1">
        <f>G7/3</f>
        <v>450000</v>
      </c>
      <c r="F8" s="1">
        <f>F7+E8-B8</f>
        <v>150000</v>
      </c>
      <c r="G8" s="1">
        <f>C7*$B$25-E8</f>
        <v>900000</v>
      </c>
    </row>
    <row r="9" spans="1:7" x14ac:dyDescent="0.3">
      <c r="A9" s="1" t="s">
        <v>8</v>
      </c>
      <c r="B9" s="1">
        <v>200000</v>
      </c>
      <c r="C9" s="1">
        <f>B9+G8</f>
        <v>1100000</v>
      </c>
      <c r="D9" s="1">
        <f>(B9+G8)*$B$24</f>
        <v>1650000</v>
      </c>
      <c r="F9" s="1">
        <f t="shared" ref="F9:F12" si="0">F8+E9-B9</f>
        <v>-50000</v>
      </c>
      <c r="G9" s="1">
        <f>D9</f>
        <v>1650000</v>
      </c>
    </row>
    <row r="10" spans="1:7" x14ac:dyDescent="0.3">
      <c r="A10" s="1" t="s">
        <v>4</v>
      </c>
      <c r="E10" s="1">
        <f>G9/3</f>
        <v>550000</v>
      </c>
      <c r="F10" s="1">
        <f t="shared" si="0"/>
        <v>500000</v>
      </c>
      <c r="G10" s="1">
        <f>C9*$B$25-E10</f>
        <v>1100000</v>
      </c>
    </row>
    <row r="11" spans="1:7" x14ac:dyDescent="0.3">
      <c r="A11" s="1" t="s">
        <v>9</v>
      </c>
      <c r="B11" s="1">
        <v>200000</v>
      </c>
      <c r="C11" s="1">
        <f>B11+G10</f>
        <v>1300000</v>
      </c>
      <c r="D11" s="1">
        <f>(B11+G10)*$B$24</f>
        <v>1950000</v>
      </c>
      <c r="F11" s="1">
        <f t="shared" si="0"/>
        <v>300000</v>
      </c>
      <c r="G11" s="1">
        <f>D11</f>
        <v>1950000</v>
      </c>
    </row>
    <row r="12" spans="1:7" x14ac:dyDescent="0.3">
      <c r="A12" s="1" t="s">
        <v>4</v>
      </c>
      <c r="E12" s="1">
        <f>G11/3</f>
        <v>650000</v>
      </c>
      <c r="F12" s="1">
        <f t="shared" si="0"/>
        <v>950000</v>
      </c>
      <c r="G12" s="1">
        <f>C11*$B$25-E12</f>
        <v>1300000</v>
      </c>
    </row>
    <row r="24" spans="1:2" x14ac:dyDescent="0.3">
      <c r="A24" t="s">
        <v>6</v>
      </c>
      <c r="B24">
        <v>1.5</v>
      </c>
    </row>
    <row r="25" spans="1:2" x14ac:dyDescent="0.3">
      <c r="A25" s="1" t="s">
        <v>13</v>
      </c>
      <c r="B25" s="2">
        <v>1.5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1088F-ACD3-694D-8496-F0F652442C4F}">
  <sheetPr codeName="Sheet12"/>
  <dimension ref="A2:G25"/>
  <sheetViews>
    <sheetView topLeftCell="A16" workbookViewId="0">
      <selection activeCell="B24" sqref="B24"/>
    </sheetView>
  </sheetViews>
  <sheetFormatPr defaultColWidth="10.69921875" defaultRowHeight="15.6" x14ac:dyDescent="0.3"/>
  <cols>
    <col min="1" max="1" width="47.19921875" style="1" customWidth="1"/>
    <col min="2" max="2" width="13.19921875" style="1" bestFit="1" customWidth="1"/>
    <col min="3" max="3" width="16" style="1" bestFit="1" customWidth="1"/>
    <col min="4" max="4" width="12" style="1" bestFit="1" customWidth="1"/>
    <col min="5" max="6" width="13.19921875" style="1" customWidth="1"/>
    <col min="7" max="7" width="15" style="1" bestFit="1" customWidth="1"/>
    <col min="8" max="16384" width="10.69921875" style="1"/>
  </cols>
  <sheetData>
    <row r="2" spans="1:7" x14ac:dyDescent="0.3">
      <c r="B2" s="1" t="s">
        <v>0</v>
      </c>
      <c r="C2" s="1" t="s">
        <v>10</v>
      </c>
      <c r="D2" s="1" t="s">
        <v>2</v>
      </c>
      <c r="E2" s="1" t="s">
        <v>12</v>
      </c>
      <c r="F2" s="1" t="s">
        <v>7</v>
      </c>
      <c r="G2" s="1" t="s">
        <v>1</v>
      </c>
    </row>
    <row r="3" spans="1:7" x14ac:dyDescent="0.3">
      <c r="A3" s="1" t="s">
        <v>11</v>
      </c>
      <c r="B3" s="1">
        <v>500000</v>
      </c>
      <c r="C3" s="1">
        <f>B3</f>
        <v>500000</v>
      </c>
      <c r="D3" s="1">
        <f>(B3)*B24</f>
        <v>720000</v>
      </c>
      <c r="F3" s="1">
        <f>E3-B3</f>
        <v>-500000</v>
      </c>
      <c r="G3" s="1">
        <f>B3*B24</f>
        <v>720000</v>
      </c>
    </row>
    <row r="4" spans="1:7" x14ac:dyDescent="0.3">
      <c r="A4" s="1" t="s">
        <v>4</v>
      </c>
      <c r="E4" s="1">
        <f>G3/3</f>
        <v>240000</v>
      </c>
      <c r="F4" s="1">
        <f>F3+E4-B4</f>
        <v>-260000</v>
      </c>
      <c r="G4" s="1">
        <f>C3*$B$25-E4</f>
        <v>420000</v>
      </c>
    </row>
    <row r="5" spans="1:7" x14ac:dyDescent="0.3">
      <c r="A5" s="1" t="s">
        <v>3</v>
      </c>
      <c r="B5" s="1">
        <v>500000</v>
      </c>
      <c r="C5" s="1">
        <f>B5+G4</f>
        <v>920000</v>
      </c>
      <c r="D5" s="1">
        <f>(B5+G4)*$B$24</f>
        <v>1324800</v>
      </c>
      <c r="F5" s="1">
        <f>F4+E5-B5</f>
        <v>-760000</v>
      </c>
      <c r="G5" s="1">
        <f>D5</f>
        <v>1324800</v>
      </c>
    </row>
    <row r="6" spans="1:7" x14ac:dyDescent="0.3">
      <c r="A6" s="1" t="s">
        <v>4</v>
      </c>
      <c r="E6" s="1">
        <f>G5/3</f>
        <v>441600</v>
      </c>
      <c r="F6" s="1">
        <f>F5+E6-B6</f>
        <v>-318400</v>
      </c>
      <c r="G6" s="1">
        <f>C5*$B$25-E6</f>
        <v>772800</v>
      </c>
    </row>
    <row r="7" spans="1:7" x14ac:dyDescent="0.3">
      <c r="A7" s="1" t="s">
        <v>5</v>
      </c>
      <c r="B7" s="1">
        <v>500000</v>
      </c>
      <c r="C7" s="1">
        <f>B7+G6</f>
        <v>1272800</v>
      </c>
      <c r="D7" s="1">
        <f>(B7+G6)*$B$24</f>
        <v>1832832</v>
      </c>
      <c r="F7" s="1">
        <f>F6+E7-B7</f>
        <v>-818400</v>
      </c>
      <c r="G7" s="1">
        <f>D7</f>
        <v>1832832</v>
      </c>
    </row>
    <row r="8" spans="1:7" x14ac:dyDescent="0.3">
      <c r="A8" s="1" t="s">
        <v>4</v>
      </c>
      <c r="E8" s="1">
        <f>G7/3</f>
        <v>610944</v>
      </c>
      <c r="F8" s="1">
        <f>F7+E8-B8</f>
        <v>-207456</v>
      </c>
      <c r="G8" s="1">
        <f>C7*$B$25-E8</f>
        <v>1069152</v>
      </c>
    </row>
    <row r="9" spans="1:7" x14ac:dyDescent="0.3">
      <c r="A9" s="1" t="s">
        <v>8</v>
      </c>
      <c r="B9" s="1">
        <v>500000</v>
      </c>
      <c r="C9" s="1">
        <f>B9+G8</f>
        <v>1569152</v>
      </c>
      <c r="D9" s="1">
        <f>(B9+G8)*$B$24</f>
        <v>2259578.8799999999</v>
      </c>
      <c r="F9" s="1">
        <f t="shared" ref="F9:F12" si="0">F8+E9-B9</f>
        <v>-707456</v>
      </c>
      <c r="G9" s="1">
        <f>D9</f>
        <v>2259578.8799999999</v>
      </c>
    </row>
    <row r="10" spans="1:7" x14ac:dyDescent="0.3">
      <c r="A10" s="1" t="s">
        <v>4</v>
      </c>
      <c r="E10" s="1">
        <f>G9/3</f>
        <v>753192.95999999996</v>
      </c>
      <c r="F10" s="1">
        <f t="shared" si="0"/>
        <v>45736.959999999963</v>
      </c>
      <c r="G10" s="1">
        <f>C9*$B$25-E10</f>
        <v>1318087.6800000002</v>
      </c>
    </row>
    <row r="11" spans="1:7" x14ac:dyDescent="0.3">
      <c r="A11" s="1" t="s">
        <v>9</v>
      </c>
      <c r="B11" s="1">
        <v>500000</v>
      </c>
      <c r="C11" s="1">
        <f>B11+G10</f>
        <v>1818087.6800000002</v>
      </c>
      <c r="D11" s="1">
        <f>(B11+G10)*$B$24</f>
        <v>2618046.2592000002</v>
      </c>
      <c r="F11" s="1">
        <f t="shared" si="0"/>
        <v>-454263.04000000004</v>
      </c>
      <c r="G11" s="1">
        <f>D11</f>
        <v>2618046.2592000002</v>
      </c>
    </row>
    <row r="12" spans="1:7" x14ac:dyDescent="0.3">
      <c r="A12" s="1" t="s">
        <v>4</v>
      </c>
      <c r="E12" s="1">
        <f>G11/3</f>
        <v>872682.08640000003</v>
      </c>
      <c r="F12" s="1">
        <f t="shared" si="0"/>
        <v>418419.04639999999</v>
      </c>
      <c r="G12" s="1">
        <f>C11*$B$25-E12</f>
        <v>1527193.6512000002</v>
      </c>
    </row>
    <row r="24" spans="1:2" x14ac:dyDescent="0.3">
      <c r="A24" t="s">
        <v>6</v>
      </c>
      <c r="B24">
        <v>1.44</v>
      </c>
    </row>
    <row r="25" spans="1:2" x14ac:dyDescent="0.3">
      <c r="A25" s="1" t="s">
        <v>13</v>
      </c>
      <c r="B25" s="2">
        <v>1.32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2B60-DE1D-4048-8AC9-D50C2631EA26}">
  <sheetPr codeName="Sheet13"/>
  <dimension ref="A2:G25"/>
  <sheetViews>
    <sheetView workbookViewId="0">
      <selection activeCell="I2" sqref="I2"/>
    </sheetView>
  </sheetViews>
  <sheetFormatPr defaultColWidth="10.69921875" defaultRowHeight="15.6" x14ac:dyDescent="0.3"/>
  <cols>
    <col min="1" max="1" width="47.19921875" style="1" customWidth="1"/>
    <col min="2" max="2" width="13.19921875" style="1" bestFit="1" customWidth="1"/>
    <col min="3" max="3" width="16" style="1" bestFit="1" customWidth="1"/>
    <col min="4" max="4" width="12" style="1" bestFit="1" customWidth="1"/>
    <col min="5" max="6" width="13.19921875" style="1" customWidth="1"/>
    <col min="7" max="7" width="15" style="1" bestFit="1" customWidth="1"/>
    <col min="8" max="16384" width="10.69921875" style="1"/>
  </cols>
  <sheetData>
    <row r="2" spans="1:7" x14ac:dyDescent="0.3">
      <c r="B2" s="1" t="s">
        <v>0</v>
      </c>
      <c r="C2" s="1" t="s">
        <v>10</v>
      </c>
      <c r="D2" s="1" t="s">
        <v>2</v>
      </c>
      <c r="E2" s="1" t="s">
        <v>12</v>
      </c>
      <c r="F2" s="1" t="s">
        <v>7</v>
      </c>
      <c r="G2" s="1" t="s">
        <v>1</v>
      </c>
    </row>
    <row r="3" spans="1:7" x14ac:dyDescent="0.3">
      <c r="A3" s="1" t="s">
        <v>11</v>
      </c>
      <c r="B3" s="1">
        <v>500000</v>
      </c>
      <c r="C3" s="1">
        <f>B3</f>
        <v>500000</v>
      </c>
      <c r="D3" s="1">
        <f>(B3)*B24</f>
        <v>720000</v>
      </c>
      <c r="F3" s="1">
        <f>E3-B3</f>
        <v>-500000</v>
      </c>
      <c r="G3" s="1">
        <f>B3*B24</f>
        <v>720000</v>
      </c>
    </row>
    <row r="4" spans="1:7" x14ac:dyDescent="0.3">
      <c r="A4" s="1" t="s">
        <v>4</v>
      </c>
      <c r="E4" s="1">
        <f>G3/3</f>
        <v>240000</v>
      </c>
      <c r="F4" s="1">
        <f>F3+E4-B4</f>
        <v>-260000</v>
      </c>
      <c r="G4" s="1">
        <f>C3*$B$25-E4</f>
        <v>420000</v>
      </c>
    </row>
    <row r="5" spans="1:7" x14ac:dyDescent="0.3">
      <c r="A5" s="1" t="s">
        <v>3</v>
      </c>
      <c r="B5" s="1">
        <v>200000</v>
      </c>
      <c r="C5" s="1">
        <f>B5+G4</f>
        <v>620000</v>
      </c>
      <c r="D5" s="1">
        <f>(B5+G4)*$B$24</f>
        <v>892800</v>
      </c>
      <c r="F5" s="1">
        <f>F4+E5-B5</f>
        <v>-460000</v>
      </c>
      <c r="G5" s="1">
        <f>D5</f>
        <v>892800</v>
      </c>
    </row>
    <row r="6" spans="1:7" x14ac:dyDescent="0.3">
      <c r="A6" s="1" t="s">
        <v>4</v>
      </c>
      <c r="E6" s="1">
        <f>G5/3</f>
        <v>297600</v>
      </c>
      <c r="F6" s="1">
        <f>F5+E6-B6</f>
        <v>-162400</v>
      </c>
      <c r="G6" s="1">
        <f>C5*$B$25-E6</f>
        <v>520800</v>
      </c>
    </row>
    <row r="7" spans="1:7" x14ac:dyDescent="0.3">
      <c r="A7" s="1" t="s">
        <v>5</v>
      </c>
      <c r="B7" s="1">
        <v>200000</v>
      </c>
      <c r="C7" s="1">
        <f>B7+G6</f>
        <v>720800</v>
      </c>
      <c r="D7" s="1">
        <f>(B7+G6)*$B$24</f>
        <v>1037952</v>
      </c>
      <c r="F7" s="1">
        <f>F6+E7-B7</f>
        <v>-362400</v>
      </c>
      <c r="G7" s="1">
        <f>D7</f>
        <v>1037952</v>
      </c>
    </row>
    <row r="8" spans="1:7" x14ac:dyDescent="0.3">
      <c r="A8" s="1" t="s">
        <v>4</v>
      </c>
      <c r="E8" s="1">
        <f>G7/3</f>
        <v>345984</v>
      </c>
      <c r="F8" s="1">
        <f>F7+E8-B8</f>
        <v>-16416</v>
      </c>
      <c r="G8" s="1">
        <f>C7*$B$25-E8</f>
        <v>605472</v>
      </c>
    </row>
    <row r="9" spans="1:7" x14ac:dyDescent="0.3">
      <c r="A9" s="1" t="s">
        <v>8</v>
      </c>
      <c r="B9" s="1">
        <v>200000</v>
      </c>
      <c r="C9" s="1">
        <f>B9+G8</f>
        <v>805472</v>
      </c>
      <c r="D9" s="1">
        <f>(B9+G8)*$B$24</f>
        <v>1159879.6799999999</v>
      </c>
      <c r="F9" s="1">
        <f t="shared" ref="F9:F12" si="0">F8+E9-B9</f>
        <v>-216416</v>
      </c>
      <c r="G9" s="1">
        <f>D9</f>
        <v>1159879.6799999999</v>
      </c>
    </row>
    <row r="10" spans="1:7" x14ac:dyDescent="0.3">
      <c r="A10" s="1" t="s">
        <v>4</v>
      </c>
      <c r="E10" s="1">
        <f>G9/3</f>
        <v>386626.56</v>
      </c>
      <c r="F10" s="1">
        <f t="shared" si="0"/>
        <v>170210.56</v>
      </c>
      <c r="G10" s="1">
        <f>C9*$B$25-E10</f>
        <v>676596.48</v>
      </c>
    </row>
    <row r="11" spans="1:7" x14ac:dyDescent="0.3">
      <c r="A11" s="1" t="s">
        <v>9</v>
      </c>
      <c r="B11" s="1">
        <v>200000</v>
      </c>
      <c r="C11" s="1">
        <f>B11+G10</f>
        <v>876596.48</v>
      </c>
      <c r="D11" s="1">
        <f>(B11+G10)*$B$24</f>
        <v>1262298.9312</v>
      </c>
      <c r="F11" s="1">
        <f t="shared" si="0"/>
        <v>-29789.440000000002</v>
      </c>
      <c r="G11" s="1">
        <f>D11</f>
        <v>1262298.9312</v>
      </c>
    </row>
    <row r="12" spans="1:7" x14ac:dyDescent="0.3">
      <c r="A12" s="1" t="s">
        <v>4</v>
      </c>
      <c r="E12" s="1">
        <f>G11/3</f>
        <v>420766.31040000002</v>
      </c>
      <c r="F12" s="1">
        <f t="shared" si="0"/>
        <v>390976.87040000001</v>
      </c>
      <c r="G12" s="1">
        <f>C11*$B$25-E12</f>
        <v>736341.04319999996</v>
      </c>
    </row>
    <row r="24" spans="1:2" x14ac:dyDescent="0.3">
      <c r="A24" t="s">
        <v>6</v>
      </c>
      <c r="B24">
        <v>1.44</v>
      </c>
    </row>
    <row r="25" spans="1:2" x14ac:dyDescent="0.3">
      <c r="A25" s="1" t="s">
        <v>13</v>
      </c>
      <c r="B25" s="2">
        <v>1.32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9672C-370F-FA40-ADE3-A6650B542886}">
  <sheetPr codeName="Sheet14"/>
  <dimension ref="A2:G25"/>
  <sheetViews>
    <sheetView workbookViewId="0">
      <selection activeCell="E21" sqref="E21"/>
    </sheetView>
  </sheetViews>
  <sheetFormatPr defaultColWidth="10.69921875" defaultRowHeight="15.6" x14ac:dyDescent="0.3"/>
  <cols>
    <col min="1" max="1" width="47.19921875" style="1" customWidth="1"/>
    <col min="2" max="2" width="13.19921875" style="1" bestFit="1" customWidth="1"/>
    <col min="3" max="3" width="16" style="1" bestFit="1" customWidth="1"/>
    <col min="4" max="4" width="12" style="1" bestFit="1" customWidth="1"/>
    <col min="5" max="6" width="13.19921875" style="1" customWidth="1"/>
    <col min="7" max="7" width="15" style="1" bestFit="1" customWidth="1"/>
    <col min="8" max="16384" width="10.69921875" style="1"/>
  </cols>
  <sheetData>
    <row r="2" spans="1:7" x14ac:dyDescent="0.3">
      <c r="B2" s="1" t="s">
        <v>0</v>
      </c>
      <c r="C2" s="1" t="s">
        <v>10</v>
      </c>
      <c r="D2" s="1" t="s">
        <v>2</v>
      </c>
      <c r="E2" s="1" t="s">
        <v>12</v>
      </c>
      <c r="F2" s="1" t="s">
        <v>7</v>
      </c>
      <c r="G2" s="1" t="s">
        <v>1</v>
      </c>
    </row>
    <row r="3" spans="1:7" x14ac:dyDescent="0.3">
      <c r="A3" s="1" t="s">
        <v>11</v>
      </c>
      <c r="B3" s="1">
        <v>500000</v>
      </c>
      <c r="C3" s="1">
        <f>B3</f>
        <v>500000</v>
      </c>
      <c r="D3" s="1">
        <f>(B3)*B24</f>
        <v>750000</v>
      </c>
      <c r="F3" s="1">
        <f>E3-B3</f>
        <v>-500000</v>
      </c>
      <c r="G3" s="1">
        <f>B3*B24</f>
        <v>750000</v>
      </c>
    </row>
    <row r="4" spans="1:7" x14ac:dyDescent="0.3">
      <c r="A4" s="1" t="s">
        <v>4</v>
      </c>
      <c r="E4" s="1">
        <f>G3/3</f>
        <v>250000</v>
      </c>
      <c r="F4" s="1">
        <f>F3+E4-B4</f>
        <v>-250000</v>
      </c>
      <c r="G4" s="1">
        <f>C3*$B$25-E4</f>
        <v>500000</v>
      </c>
    </row>
    <row r="5" spans="1:7" x14ac:dyDescent="0.3">
      <c r="A5" s="1" t="s">
        <v>3</v>
      </c>
      <c r="B5" s="1">
        <v>600000</v>
      </c>
      <c r="C5" s="1">
        <f>B5+G4</f>
        <v>1100000</v>
      </c>
      <c r="D5" s="1">
        <f>(B5+G4)*$B$24</f>
        <v>1650000</v>
      </c>
      <c r="F5" s="1">
        <f>F4+E5-B5</f>
        <v>-850000</v>
      </c>
      <c r="G5" s="1">
        <f>D5</f>
        <v>1650000</v>
      </c>
    </row>
    <row r="6" spans="1:7" x14ac:dyDescent="0.3">
      <c r="A6" s="1" t="s">
        <v>4</v>
      </c>
      <c r="E6" s="1">
        <f>G5/3</f>
        <v>550000</v>
      </c>
      <c r="F6" s="1">
        <f>F5+E6-B6</f>
        <v>-300000</v>
      </c>
      <c r="G6" s="1">
        <f>C5*$B$25-E6</f>
        <v>1100000</v>
      </c>
    </row>
    <row r="7" spans="1:7" x14ac:dyDescent="0.3">
      <c r="A7" s="1" t="s">
        <v>5</v>
      </c>
      <c r="B7" s="1">
        <v>800000</v>
      </c>
      <c r="C7" s="1">
        <f>B7+G6</f>
        <v>1900000</v>
      </c>
      <c r="D7" s="1">
        <f>(B7+G6)*$B$24</f>
        <v>2850000</v>
      </c>
      <c r="F7" s="1">
        <f>F6+E7-B7</f>
        <v>-1100000</v>
      </c>
      <c r="G7" s="1">
        <f>D7</f>
        <v>2850000</v>
      </c>
    </row>
    <row r="8" spans="1:7" x14ac:dyDescent="0.3">
      <c r="A8" s="1" t="s">
        <v>4</v>
      </c>
      <c r="E8" s="1">
        <f>G7/3</f>
        <v>950000</v>
      </c>
      <c r="F8" s="1">
        <f>F7+E8-B8</f>
        <v>-150000</v>
      </c>
      <c r="G8" s="1">
        <f>C7*$B$25-E8</f>
        <v>1900000</v>
      </c>
    </row>
    <row r="9" spans="1:7" x14ac:dyDescent="0.3">
      <c r="A9" s="1" t="s">
        <v>8</v>
      </c>
      <c r="B9" s="1">
        <v>1000000</v>
      </c>
      <c r="C9" s="1">
        <f>B9+G8</f>
        <v>2900000</v>
      </c>
      <c r="D9" s="1">
        <f>(B9+G8)*$B$24</f>
        <v>4350000</v>
      </c>
      <c r="F9" s="1">
        <f t="shared" ref="F9:F12" si="0">F8+E9-B9</f>
        <v>-1150000</v>
      </c>
      <c r="G9" s="1">
        <f>D9</f>
        <v>4350000</v>
      </c>
    </row>
    <row r="10" spans="1:7" x14ac:dyDescent="0.3">
      <c r="A10" s="1" t="s">
        <v>4</v>
      </c>
      <c r="E10" s="1">
        <f>G9/3</f>
        <v>1450000</v>
      </c>
      <c r="F10" s="1">
        <f t="shared" si="0"/>
        <v>300000</v>
      </c>
      <c r="G10" s="1">
        <f>C9*$B$25-E10</f>
        <v>2900000</v>
      </c>
    </row>
    <row r="11" spans="1:7" x14ac:dyDescent="0.3">
      <c r="A11" s="1" t="s">
        <v>9</v>
      </c>
      <c r="B11" s="1">
        <v>1200000</v>
      </c>
      <c r="C11" s="1">
        <f>B11+G10</f>
        <v>4100000</v>
      </c>
      <c r="D11" s="1">
        <f>(B11+G10)*$B$24</f>
        <v>6150000</v>
      </c>
      <c r="F11" s="1">
        <f t="shared" si="0"/>
        <v>-900000</v>
      </c>
      <c r="G11" s="1">
        <f>D11</f>
        <v>6150000</v>
      </c>
    </row>
    <row r="12" spans="1:7" x14ac:dyDescent="0.3">
      <c r="A12" s="1" t="s">
        <v>4</v>
      </c>
      <c r="E12" s="1">
        <f>G11/3</f>
        <v>2050000</v>
      </c>
      <c r="F12" s="1">
        <f t="shared" si="0"/>
        <v>1150000</v>
      </c>
      <c r="G12" s="1">
        <f>C11*$B$25-E12</f>
        <v>4100000</v>
      </c>
    </row>
    <row r="24" spans="1:2" x14ac:dyDescent="0.3">
      <c r="A24" t="s">
        <v>6</v>
      </c>
      <c r="B24">
        <v>1.5</v>
      </c>
    </row>
    <row r="25" spans="1:2" x14ac:dyDescent="0.3">
      <c r="A25" s="1" t="s">
        <v>13</v>
      </c>
      <c r="B25" s="2">
        <v>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B4134-D173-420D-83BF-08888E304043}">
  <dimension ref="B2:D4"/>
  <sheetViews>
    <sheetView workbookViewId="0">
      <selection activeCell="D5" sqref="D5"/>
    </sheetView>
  </sheetViews>
  <sheetFormatPr defaultRowHeight="15.6" x14ac:dyDescent="0.3"/>
  <sheetData>
    <row r="2" spans="2:4" x14ac:dyDescent="0.3">
      <c r="B2">
        <v>1000</v>
      </c>
      <c r="C2">
        <v>1260</v>
      </c>
      <c r="D2">
        <f>0-B2</f>
        <v>-1000</v>
      </c>
    </row>
    <row r="3" spans="2:4" x14ac:dyDescent="0.3">
      <c r="B3">
        <v>1500</v>
      </c>
      <c r="C3">
        <v>1800</v>
      </c>
      <c r="D3">
        <f>D2+C2-B3</f>
        <v>-1240</v>
      </c>
    </row>
    <row r="4" spans="2:4" x14ac:dyDescent="0.3">
      <c r="B4">
        <v>2000</v>
      </c>
      <c r="D4">
        <f>D3+C3-B4</f>
        <v>-1440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2E4F6-4DE3-420C-BF1F-4E86A7761384}">
  <sheetPr>
    <tabColor rgb="FF99FFCC"/>
  </sheetPr>
  <dimension ref="A1:AT3633"/>
  <sheetViews>
    <sheetView zoomScale="90" zoomScaleNormal="90" workbookViewId="0">
      <pane xSplit="7" ySplit="1" topLeftCell="H2" activePane="bottomRight" state="frozen"/>
      <selection pane="topRight" activeCell="D1" sqref="D1"/>
      <selection pane="bottomLeft" activeCell="A2" sqref="A2"/>
      <selection pane="bottomRight" activeCell="I19" sqref="I19"/>
    </sheetView>
  </sheetViews>
  <sheetFormatPr defaultRowHeight="15.6" x14ac:dyDescent="0.3"/>
  <cols>
    <col min="1" max="1" width="4.3984375" customWidth="1"/>
    <col min="2" max="2" width="3.69921875" customWidth="1"/>
    <col min="3" max="3" width="8.59765625" customWidth="1"/>
    <col min="4" max="4" width="10.5" customWidth="1"/>
    <col min="5" max="5" width="20.19921875" customWidth="1"/>
    <col min="6" max="6" width="13.8984375" customWidth="1"/>
    <col min="7" max="7" width="14.69921875" customWidth="1"/>
    <col min="8" max="8" width="16.69921875" bestFit="1" customWidth="1"/>
    <col min="9" max="10" width="11.8984375" bestFit="1" customWidth="1"/>
    <col min="11" max="11" width="10.09765625" customWidth="1"/>
    <col min="12" max="12" width="11.8984375" bestFit="1" customWidth="1"/>
    <col min="13" max="13" width="10.09765625" bestFit="1" customWidth="1"/>
    <col min="14" max="14" width="11.8984375" bestFit="1" customWidth="1"/>
    <col min="15" max="16" width="10.09765625" bestFit="1" customWidth="1"/>
    <col min="17" max="17" width="11.8984375" customWidth="1"/>
    <col min="18" max="18" width="12" customWidth="1"/>
    <col min="19" max="23" width="10.19921875" bestFit="1" customWidth="1"/>
    <col min="24" max="24" width="10.8984375" customWidth="1"/>
    <col min="25" max="27" width="10.19921875" bestFit="1" customWidth="1"/>
  </cols>
  <sheetData>
    <row r="1" spans="2:36" x14ac:dyDescent="0.3">
      <c r="B1" t="s">
        <v>320</v>
      </c>
      <c r="C1" t="s">
        <v>350</v>
      </c>
      <c r="D1" t="s">
        <v>351</v>
      </c>
      <c r="E1" t="s">
        <v>234</v>
      </c>
      <c r="G1">
        <v>0</v>
      </c>
      <c r="H1">
        <v>0</v>
      </c>
      <c r="I1">
        <v>1</v>
      </c>
      <c r="J1">
        <v>2</v>
      </c>
      <c r="K1">
        <v>3</v>
      </c>
      <c r="L1">
        <v>4</v>
      </c>
      <c r="M1">
        <v>5</v>
      </c>
      <c r="N1">
        <v>6</v>
      </c>
      <c r="O1">
        <v>7</v>
      </c>
      <c r="P1">
        <v>8</v>
      </c>
      <c r="Q1">
        <v>9</v>
      </c>
      <c r="R1">
        <v>10</v>
      </c>
      <c r="S1">
        <v>11</v>
      </c>
      <c r="T1">
        <v>12</v>
      </c>
      <c r="U1">
        <v>13</v>
      </c>
      <c r="V1">
        <v>14</v>
      </c>
      <c r="W1">
        <v>15</v>
      </c>
      <c r="X1">
        <v>16</v>
      </c>
      <c r="Y1">
        <v>17</v>
      </c>
      <c r="Z1">
        <v>18</v>
      </c>
      <c r="AA1">
        <v>19</v>
      </c>
    </row>
    <row r="2" spans="2:36" x14ac:dyDescent="0.3">
      <c r="G2" t="s">
        <v>253</v>
      </c>
    </row>
    <row r="3" spans="2:36" x14ac:dyDescent="0.3">
      <c r="E3" t="s">
        <v>136</v>
      </c>
      <c r="G3" s="8">
        <f ca="1">SUM(H3:AF3)</f>
        <v>2492900.7499840008</v>
      </c>
      <c r="H3" s="6">
        <f>SUMIF($E$46:$E$5000,$E3,H$46:H$5000)</f>
        <v>320512.8205128205</v>
      </c>
      <c r="I3" s="6">
        <f t="shared" ref="I3:W3" si="0">SUMIF($E$46:$E$5000,$E3,I$46:I$5000)</f>
        <v>225000</v>
      </c>
      <c r="J3" s="6">
        <f t="shared" si="0"/>
        <v>181687.5</v>
      </c>
      <c r="K3" s="6">
        <f t="shared" si="0"/>
        <v>170057.56583653844</v>
      </c>
      <c r="L3" s="6">
        <f t="shared" si="0"/>
        <v>153961.61807849479</v>
      </c>
      <c r="M3" s="6">
        <f t="shared" ca="1" si="0"/>
        <v>250392.5869716419</v>
      </c>
      <c r="N3" s="6">
        <f t="shared" ca="1" si="0"/>
        <v>206629.07448347891</v>
      </c>
      <c r="O3" s="6">
        <f t="shared" ca="1" si="0"/>
        <v>165376.20955942333</v>
      </c>
      <c r="P3" s="6">
        <f t="shared" ca="1" si="0"/>
        <v>137269.52704915268</v>
      </c>
      <c r="Q3" s="6">
        <f t="shared" ca="1" si="0"/>
        <v>114664.83398308692</v>
      </c>
      <c r="R3" s="6">
        <f t="shared" ca="1" si="0"/>
        <v>148830.65491876999</v>
      </c>
      <c r="S3" s="6">
        <f t="shared" ca="1" si="0"/>
        <v>128459.09652365322</v>
      </c>
      <c r="T3" s="6">
        <f t="shared" ca="1" si="0"/>
        <v>111057.52472931636</v>
      </c>
      <c r="U3" s="6">
        <f t="shared" ca="1" si="0"/>
        <v>96005.222492691595</v>
      </c>
      <c r="V3" s="6">
        <f t="shared" ca="1" si="0"/>
        <v>82996.514844931895</v>
      </c>
      <c r="W3" s="6">
        <f t="shared" si="0"/>
        <v>0</v>
      </c>
      <c r="X3" s="6">
        <f>SUMIF($E$46:$E$5000,$E3,X$46:X$5000)</f>
        <v>0</v>
      </c>
      <c r="Y3" s="6">
        <f t="shared" ref="Y3:AA3" si="1">SUMIF($E$46:$E$5000,$E3,Y$46:Y$5000)</f>
        <v>0</v>
      </c>
      <c r="Z3" s="6">
        <f t="shared" si="1"/>
        <v>0</v>
      </c>
      <c r="AA3" s="6">
        <f t="shared" si="1"/>
        <v>0</v>
      </c>
      <c r="AB3" s="6"/>
      <c r="AC3" s="6"/>
      <c r="AD3" s="6"/>
      <c r="AE3" s="6"/>
      <c r="AF3" s="6"/>
      <c r="AG3" s="6"/>
      <c r="AH3" s="6"/>
      <c r="AI3" s="6"/>
      <c r="AJ3" s="6"/>
    </row>
    <row r="4" spans="2:36" x14ac:dyDescent="0.3">
      <c r="C4" s="99"/>
      <c r="D4" s="99"/>
      <c r="E4" s="99" t="s">
        <v>307</v>
      </c>
      <c r="G4" s="8"/>
      <c r="H4" s="6">
        <f>H3</f>
        <v>320512.8205128205</v>
      </c>
      <c r="I4" s="6">
        <f>I3+H4</f>
        <v>545512.8205128205</v>
      </c>
      <c r="J4" s="6">
        <f t="shared" ref="J4:X4" si="2">J3+I4</f>
        <v>727200.3205128205</v>
      </c>
      <c r="K4" s="6">
        <f t="shared" si="2"/>
        <v>897257.88634935895</v>
      </c>
      <c r="L4" s="6">
        <f t="shared" si="2"/>
        <v>1051219.5044278537</v>
      </c>
      <c r="M4" s="6">
        <f t="shared" ca="1" si="2"/>
        <v>1301612.0913994957</v>
      </c>
      <c r="N4" s="6">
        <f t="shared" ca="1" si="2"/>
        <v>1508241.1658829746</v>
      </c>
      <c r="O4" s="6">
        <f t="shared" ca="1" si="2"/>
        <v>1673617.375442398</v>
      </c>
      <c r="P4" s="6">
        <f t="shared" ca="1" si="2"/>
        <v>1810886.9024915507</v>
      </c>
      <c r="Q4" s="6">
        <f t="shared" ca="1" si="2"/>
        <v>1925551.7364746376</v>
      </c>
      <c r="R4" s="6">
        <f t="shared" ca="1" si="2"/>
        <v>2074382.3913934077</v>
      </c>
      <c r="S4" s="6">
        <f t="shared" ca="1" si="2"/>
        <v>2202841.487917061</v>
      </c>
      <c r="T4" s="6">
        <f t="shared" ca="1" si="2"/>
        <v>2313899.0126463771</v>
      </c>
      <c r="U4" s="6">
        <f t="shared" ca="1" si="2"/>
        <v>2409904.2351390687</v>
      </c>
      <c r="V4" s="6">
        <f t="shared" ca="1" si="2"/>
        <v>2492900.7499840008</v>
      </c>
      <c r="W4" s="6">
        <f t="shared" ca="1" si="2"/>
        <v>2492900.7499840008</v>
      </c>
      <c r="X4" s="6">
        <f t="shared" ca="1" si="2"/>
        <v>2492900.7499840008</v>
      </c>
      <c r="Y4" s="6">
        <f t="shared" ref="Y4" ca="1" si="3">Y3+X4</f>
        <v>2492900.7499840008</v>
      </c>
      <c r="Z4" s="6">
        <f t="shared" ref="Z4" ca="1" si="4">Z3+Y4</f>
        <v>2492900.7499840008</v>
      </c>
      <c r="AA4" s="6">
        <f t="shared" ref="AA4" ca="1" si="5">AA3+Z4</f>
        <v>2492900.7499840008</v>
      </c>
      <c r="AB4" s="6"/>
      <c r="AC4" s="6"/>
      <c r="AD4" s="6"/>
      <c r="AE4" s="6"/>
      <c r="AF4" s="6"/>
      <c r="AG4" s="6"/>
      <c r="AH4" s="6"/>
      <c r="AI4" s="6"/>
      <c r="AJ4" s="6"/>
    </row>
    <row r="6" spans="2:36" x14ac:dyDescent="0.3">
      <c r="E6" t="s">
        <v>119</v>
      </c>
      <c r="G6" s="8">
        <f ca="1">SUM(H6:AF6)</f>
        <v>2991480.8999808007</v>
      </c>
      <c r="H6" s="6">
        <f>SUMIF($E$46:$E$5000,$E6,H$46:H$5000)</f>
        <v>384615.38461538462</v>
      </c>
      <c r="I6" s="6">
        <f t="shared" ref="I6:AA6" si="6">SUMIF($E$46:$E$5000,$E6,I$46:I$5000)</f>
        <v>270000</v>
      </c>
      <c r="J6" s="6">
        <f t="shared" si="6"/>
        <v>218024.99999999997</v>
      </c>
      <c r="K6" s="6">
        <f t="shared" si="6"/>
        <v>204069.0790038461</v>
      </c>
      <c r="L6" s="6">
        <f t="shared" si="6"/>
        <v>184753.94169419372</v>
      </c>
      <c r="M6" s="6">
        <f t="shared" ca="1" si="6"/>
        <v>300471.10436597024</v>
      </c>
      <c r="N6" s="6">
        <f t="shared" ca="1" si="6"/>
        <v>247954.88938017466</v>
      </c>
      <c r="O6" s="6">
        <f t="shared" ca="1" si="6"/>
        <v>198451.45147130798</v>
      </c>
      <c r="P6" s="6">
        <f t="shared" ca="1" si="6"/>
        <v>164723.43245898321</v>
      </c>
      <c r="Q6" s="6">
        <f t="shared" ca="1" si="6"/>
        <v>137597.80077970432</v>
      </c>
      <c r="R6" s="6">
        <f t="shared" ca="1" si="6"/>
        <v>178596.78590252396</v>
      </c>
      <c r="S6" s="6">
        <f t="shared" ca="1" si="6"/>
        <v>154150.91582838385</v>
      </c>
      <c r="T6" s="6">
        <f t="shared" ca="1" si="6"/>
        <v>133269.02967517963</v>
      </c>
      <c r="U6" s="6">
        <f t="shared" ca="1" si="6"/>
        <v>115206.26699122992</v>
      </c>
      <c r="V6" s="6">
        <f t="shared" ca="1" si="6"/>
        <v>99595.817813918271</v>
      </c>
      <c r="W6" s="6">
        <f t="shared" si="6"/>
        <v>0</v>
      </c>
      <c r="X6" s="6">
        <f t="shared" si="6"/>
        <v>0</v>
      </c>
      <c r="Y6" s="6">
        <f t="shared" si="6"/>
        <v>0</v>
      </c>
      <c r="Z6" s="6">
        <f t="shared" si="6"/>
        <v>0</v>
      </c>
      <c r="AA6" s="6">
        <f t="shared" si="6"/>
        <v>0</v>
      </c>
      <c r="AB6" s="6"/>
      <c r="AC6" s="6"/>
      <c r="AD6" s="6"/>
      <c r="AE6" s="6"/>
      <c r="AF6" s="6"/>
      <c r="AG6" s="6"/>
      <c r="AH6" s="6"/>
      <c r="AI6" s="6"/>
      <c r="AJ6" s="6"/>
    </row>
    <row r="8" spans="2:36" x14ac:dyDescent="0.3">
      <c r="E8" t="s">
        <v>302</v>
      </c>
      <c r="G8" s="96">
        <f ca="1">SUM(H8:AF8)</f>
        <v>498580.14999680017</v>
      </c>
      <c r="H8" s="6">
        <f t="shared" ref="H8:V8" si="7">SUMIF($E$46:$E$5000,$E8,H$46:H$5000)</f>
        <v>64102.564102564109</v>
      </c>
      <c r="I8" s="6">
        <f t="shared" si="7"/>
        <v>45000</v>
      </c>
      <c r="J8" s="6">
        <f t="shared" si="7"/>
        <v>36337.5</v>
      </c>
      <c r="K8" s="6">
        <f t="shared" si="7"/>
        <v>34011.51316730769</v>
      </c>
      <c r="L8" s="6">
        <f t="shared" si="7"/>
        <v>30792.323615698959</v>
      </c>
      <c r="M8" s="6">
        <f t="shared" ca="1" si="7"/>
        <v>50078.517394328373</v>
      </c>
      <c r="N8" s="6">
        <f t="shared" ca="1" si="7"/>
        <v>41325.814896695781</v>
      </c>
      <c r="O8" s="6">
        <f t="shared" ca="1" si="7"/>
        <v>33075.241911884666</v>
      </c>
      <c r="P8" s="6">
        <f t="shared" ca="1" si="7"/>
        <v>27453.905409830535</v>
      </c>
      <c r="Q8" s="6">
        <f t="shared" ca="1" si="7"/>
        <v>22932.966796617387</v>
      </c>
      <c r="R8" s="6">
        <f t="shared" ca="1" si="7"/>
        <v>29766.130983753999</v>
      </c>
      <c r="S8" s="6">
        <f t="shared" ca="1" si="7"/>
        <v>25691.819304730649</v>
      </c>
      <c r="T8" s="6">
        <f t="shared" ca="1" si="7"/>
        <v>22211.504945863275</v>
      </c>
      <c r="U8" s="6">
        <f t="shared" ca="1" si="7"/>
        <v>19201.044498538322</v>
      </c>
      <c r="V8" s="6">
        <f t="shared" ca="1" si="7"/>
        <v>16599.30296898638</v>
      </c>
      <c r="W8" s="6">
        <f t="shared" ref="W8:AA8" si="8">SUMIF($E$46:$E$5000,$E8,W$46:W$5000)</f>
        <v>0</v>
      </c>
      <c r="X8" s="6">
        <f t="shared" si="8"/>
        <v>0</v>
      </c>
      <c r="Y8" s="6">
        <f t="shared" si="8"/>
        <v>0</v>
      </c>
      <c r="Z8" s="6">
        <f t="shared" si="8"/>
        <v>0</v>
      </c>
      <c r="AA8" s="6">
        <f t="shared" si="8"/>
        <v>0</v>
      </c>
      <c r="AB8" s="6"/>
      <c r="AC8" s="6"/>
      <c r="AD8" s="6"/>
      <c r="AE8" s="6"/>
      <c r="AF8" s="6"/>
      <c r="AG8" s="6"/>
      <c r="AH8" s="6"/>
      <c r="AI8" s="6"/>
      <c r="AJ8" s="6"/>
    </row>
    <row r="9" spans="2:36" x14ac:dyDescent="0.3">
      <c r="C9" s="106"/>
      <c r="D9" s="106"/>
      <c r="E9" s="106" t="s">
        <v>300</v>
      </c>
      <c r="G9" s="96">
        <f ca="1">SUM(H9:AF9)</f>
        <v>-298886.33549641049</v>
      </c>
      <c r="H9" s="6">
        <f t="shared" ref="H9:V9" si="9">-SUMIF($E$46:$E$5000,$E9,H$46:H$5000)</f>
        <v>-70189.948717948719</v>
      </c>
      <c r="I9" s="6">
        <f t="shared" si="9"/>
        <v>-33078.69</v>
      </c>
      <c r="J9" s="6">
        <f t="shared" si="9"/>
        <v>-22995.114191999997</v>
      </c>
      <c r="K9" s="6">
        <f t="shared" si="9"/>
        <v>-21930.036644101372</v>
      </c>
      <c r="L9" s="6">
        <f t="shared" si="9"/>
        <v>-14634.302025432569</v>
      </c>
      <c r="M9" s="6">
        <f t="shared" ca="1" si="9"/>
        <v>-31690.711415167239</v>
      </c>
      <c r="N9" s="6">
        <f t="shared" ca="1" si="9"/>
        <v>-18122.612703579616</v>
      </c>
      <c r="O9" s="6">
        <f t="shared" ca="1" si="9"/>
        <v>-14577.253062068494</v>
      </c>
      <c r="P9" s="6">
        <f t="shared" ca="1" si="9"/>
        <v>-12007.29937047917</v>
      </c>
      <c r="Q9" s="6">
        <f t="shared" ca="1" si="9"/>
        <v>-10032.969361168496</v>
      </c>
      <c r="R9" s="6">
        <f t="shared" ca="1" si="9"/>
        <v>-13018.579341897572</v>
      </c>
      <c r="S9" s="6">
        <f t="shared" ca="1" si="9"/>
        <v>-11236.629585446692</v>
      </c>
      <c r="T9" s="6">
        <f t="shared" ca="1" si="9"/>
        <v>-9714.4717799734444</v>
      </c>
      <c r="U9" s="6">
        <f t="shared" ca="1" si="9"/>
        <v>-8397.8102961368368</v>
      </c>
      <c r="V9" s="6">
        <f t="shared" ca="1" si="9"/>
        <v>-7259.9070010102951</v>
      </c>
      <c r="W9" s="6">
        <f t="shared" ref="W9:Z9" si="10">-SUMIF($E$46:$E$5000,$E9,W$46:W$5000)</f>
        <v>0</v>
      </c>
      <c r="X9" s="6">
        <f t="shared" si="10"/>
        <v>0</v>
      </c>
      <c r="Y9" s="6">
        <f t="shared" si="10"/>
        <v>0</v>
      </c>
      <c r="Z9" s="6">
        <f t="shared" si="10"/>
        <v>0</v>
      </c>
      <c r="AA9" s="6"/>
      <c r="AB9" s="6"/>
      <c r="AC9" s="6"/>
      <c r="AD9" s="6"/>
      <c r="AE9" s="6"/>
      <c r="AF9" s="6"/>
      <c r="AG9" s="6"/>
      <c r="AH9" s="6"/>
      <c r="AI9" s="6"/>
      <c r="AJ9" s="6"/>
    </row>
    <row r="10" spans="2:36" s="107" customFormat="1" x14ac:dyDescent="0.3">
      <c r="E10" s="107" t="s">
        <v>303</v>
      </c>
      <c r="G10" s="110">
        <f ca="1">G8+G9</f>
        <v>199693.81450038968</v>
      </c>
      <c r="H10" s="108">
        <f>H8+H9</f>
        <v>-6087.3846153846098</v>
      </c>
      <c r="I10" s="108">
        <f t="shared" ref="I10:V10" si="11">I8+I9</f>
        <v>11921.309999999998</v>
      </c>
      <c r="J10" s="108">
        <f t="shared" si="11"/>
        <v>13342.385808000003</v>
      </c>
      <c r="K10" s="108">
        <f t="shared" si="11"/>
        <v>12081.476523206318</v>
      </c>
      <c r="L10" s="108">
        <f t="shared" si="11"/>
        <v>16158.021590266389</v>
      </c>
      <c r="M10" s="108">
        <f t="shared" ca="1" si="11"/>
        <v>18387.805979161134</v>
      </c>
      <c r="N10" s="108">
        <f t="shared" ca="1" si="11"/>
        <v>23203.202193116165</v>
      </c>
      <c r="O10" s="108">
        <f t="shared" ca="1" si="11"/>
        <v>18497.988849816174</v>
      </c>
      <c r="P10" s="108">
        <f t="shared" ca="1" si="11"/>
        <v>15446.606039351365</v>
      </c>
      <c r="Q10" s="108">
        <f t="shared" ca="1" si="11"/>
        <v>12899.997435448891</v>
      </c>
      <c r="R10" s="108">
        <f t="shared" ca="1" si="11"/>
        <v>16747.551641856429</v>
      </c>
      <c r="S10" s="108">
        <f t="shared" ca="1" si="11"/>
        <v>14455.189719283957</v>
      </c>
      <c r="T10" s="108">
        <f t="shared" ca="1" si="11"/>
        <v>12497.03316588983</v>
      </c>
      <c r="U10" s="108">
        <f t="shared" ca="1" si="11"/>
        <v>10803.234202401485</v>
      </c>
      <c r="V10" s="108">
        <f t="shared" ca="1" si="11"/>
        <v>9339.3959679760846</v>
      </c>
      <c r="W10" s="108">
        <f t="shared" ref="W10:Z10" si="12">W8+W9</f>
        <v>0</v>
      </c>
      <c r="X10" s="108">
        <f t="shared" si="12"/>
        <v>0</v>
      </c>
      <c r="Y10" s="108">
        <f t="shared" si="12"/>
        <v>0</v>
      </c>
      <c r="Z10" s="108">
        <f t="shared" si="12"/>
        <v>0</v>
      </c>
      <c r="AA10" s="108"/>
      <c r="AB10" s="108"/>
      <c r="AC10" s="108"/>
      <c r="AD10" s="108"/>
      <c r="AE10" s="108"/>
      <c r="AF10" s="108"/>
      <c r="AG10" s="108"/>
      <c r="AH10" s="108"/>
      <c r="AI10" s="108"/>
      <c r="AJ10" s="108"/>
    </row>
    <row r="12" spans="2:36" x14ac:dyDescent="0.3">
      <c r="C12" s="11"/>
      <c r="D12" s="11"/>
      <c r="E12" s="11" t="s">
        <v>140</v>
      </c>
      <c r="G12" s="8">
        <f ca="1">SUM(H12:AF12)</f>
        <v>2692594.5644843904</v>
      </c>
      <c r="H12" s="28">
        <f t="shared" ref="H12:W14" si="13">SUMIF($E$46:$E$5000,$E12,H$46:H$5000)</f>
        <v>0</v>
      </c>
      <c r="I12" s="28">
        <f t="shared" si="13"/>
        <v>280000</v>
      </c>
      <c r="J12" s="28">
        <f t="shared" si="13"/>
        <v>241932.05128205125</v>
      </c>
      <c r="K12" s="28">
        <f t="shared" si="13"/>
        <v>226129.59658630122</v>
      </c>
      <c r="L12" s="28">
        <f t="shared" si="13"/>
        <v>165348.07416142532</v>
      </c>
      <c r="M12" s="28">
        <f t="shared" si="13"/>
        <v>172193.50610380791</v>
      </c>
      <c r="N12" s="28">
        <f t="shared" ca="1" si="13"/>
        <v>261818.81699030616</v>
      </c>
      <c r="O12" s="28">
        <f t="shared" ca="1" si="13"/>
        <v>231349.52989801631</v>
      </c>
      <c r="P12" s="28">
        <f t="shared" ca="1" si="13"/>
        <v>187732.69923558124</v>
      </c>
      <c r="Q12" s="28">
        <f t="shared" ca="1" si="13"/>
        <v>155390.41791162826</v>
      </c>
      <c r="R12" s="28">
        <f t="shared" ca="1" si="13"/>
        <v>129557.38586853658</v>
      </c>
      <c r="S12" s="28">
        <f t="shared" ca="1" si="13"/>
        <v>164197.62004144362</v>
      </c>
      <c r="T12" s="28">
        <f t="shared" ca="1" si="13"/>
        <v>143225.41933171669</v>
      </c>
      <c r="U12" s="28">
        <f t="shared" ca="1" si="13"/>
        <v>125050.21062784019</v>
      </c>
      <c r="V12" s="28">
        <f t="shared" ca="1" si="13"/>
        <v>108099.19946298313</v>
      </c>
      <c r="W12" s="28">
        <f t="shared" ca="1" si="13"/>
        <v>93451.73436268793</v>
      </c>
      <c r="X12" s="28">
        <f t="shared" ref="X12:AA14" ca="1" si="14">SUMIF($E$46:$E$5000,$E12,X$46:X$5000)</f>
        <v>5049.1109367061217</v>
      </c>
      <c r="Y12" s="28">
        <f t="shared" ca="1" si="14"/>
        <v>2065.0660925981788</v>
      </c>
      <c r="Z12" s="28">
        <f t="shared" ca="1" si="14"/>
        <v>4.1255907599118755</v>
      </c>
      <c r="AA12" s="28">
        <f t="shared" si="14"/>
        <v>0</v>
      </c>
      <c r="AB12" s="28"/>
      <c r="AC12" s="28"/>
      <c r="AD12" s="28"/>
      <c r="AE12" s="28"/>
      <c r="AF12" s="28"/>
      <c r="AG12" s="28"/>
      <c r="AH12" s="28"/>
      <c r="AI12" s="28"/>
      <c r="AJ12" s="28"/>
    </row>
    <row r="13" spans="2:36" x14ac:dyDescent="0.3">
      <c r="E13" t="s">
        <v>131</v>
      </c>
      <c r="G13" s="96">
        <f t="shared" ref="G13:G14" ca="1" si="15">SUM(H13:AF13)</f>
        <v>2478783.3321870104</v>
      </c>
      <c r="H13" s="6">
        <f t="shared" si="13"/>
        <v>0</v>
      </c>
      <c r="I13" s="6">
        <f t="shared" si="13"/>
        <v>270000</v>
      </c>
      <c r="J13" s="6">
        <f t="shared" si="13"/>
        <v>218024.99999999997</v>
      </c>
      <c r="K13" s="6">
        <f t="shared" si="13"/>
        <v>199473.83132685572</v>
      </c>
      <c r="L13" s="6">
        <f t="shared" si="13"/>
        <v>148933.36805624995</v>
      </c>
      <c r="M13" s="6">
        <f t="shared" si="13"/>
        <v>158358.60079638861</v>
      </c>
      <c r="N13" s="6">
        <f t="shared" ca="1" si="13"/>
        <v>248339.36775847443</v>
      </c>
      <c r="O13" s="6">
        <f t="shared" ca="1" si="13"/>
        <v>214300.7012300021</v>
      </c>
      <c r="P13" s="6">
        <f t="shared" ca="1" si="13"/>
        <v>171431.34012352684</v>
      </c>
      <c r="Q13" s="6">
        <f t="shared" ca="1" si="13"/>
        <v>142403.407360791</v>
      </c>
      <c r="R13" s="6">
        <f t="shared" ca="1" si="13"/>
        <v>118949.84892010858</v>
      </c>
      <c r="S13" s="6">
        <f t="shared" ca="1" si="13"/>
        <v>154396.92141273196</v>
      </c>
      <c r="T13" s="6">
        <f t="shared" ca="1" si="13"/>
        <v>133263.46673363785</v>
      </c>
      <c r="U13" s="6">
        <f t="shared" ca="1" si="13"/>
        <v>115211.07615419278</v>
      </c>
      <c r="V13" s="6">
        <f t="shared" ca="1" si="13"/>
        <v>99595.817813918271</v>
      </c>
      <c r="W13" s="6">
        <f t="shared" ca="1" si="13"/>
        <v>86100.584500132347</v>
      </c>
      <c r="X13" s="6">
        <f t="shared" si="14"/>
        <v>0</v>
      </c>
      <c r="Y13" s="6">
        <f t="shared" si="14"/>
        <v>0</v>
      </c>
      <c r="Z13" s="6">
        <f t="shared" si="14"/>
        <v>0</v>
      </c>
      <c r="AA13" s="6">
        <f t="shared" si="14"/>
        <v>0</v>
      </c>
      <c r="AB13" s="6"/>
      <c r="AC13" s="6"/>
      <c r="AD13" s="6"/>
      <c r="AE13" s="6"/>
      <c r="AF13" s="6"/>
      <c r="AG13" s="6"/>
      <c r="AH13" s="6"/>
      <c r="AI13" s="6"/>
      <c r="AJ13" s="6"/>
    </row>
    <row r="14" spans="2:36" x14ac:dyDescent="0.3">
      <c r="E14" t="s">
        <v>200</v>
      </c>
      <c r="G14" s="96">
        <f t="shared" ca="1" si="15"/>
        <v>213811.23229737964</v>
      </c>
      <c r="H14" s="6">
        <f t="shared" si="13"/>
        <v>0</v>
      </c>
      <c r="I14" s="6">
        <f t="shared" si="13"/>
        <v>9999.9999999999964</v>
      </c>
      <c r="J14" s="6">
        <f t="shared" si="13"/>
        <v>23907.051282051278</v>
      </c>
      <c r="K14" s="6">
        <f t="shared" si="13"/>
        <v>26655.765259445514</v>
      </c>
      <c r="L14" s="6">
        <f t="shared" si="13"/>
        <v>16414.706105175359</v>
      </c>
      <c r="M14" s="6">
        <f t="shared" si="13"/>
        <v>13834.905307419307</v>
      </c>
      <c r="N14" s="6">
        <f t="shared" ca="1" si="13"/>
        <v>13479.449231831741</v>
      </c>
      <c r="O14" s="6">
        <f t="shared" ca="1" si="13"/>
        <v>17048.828668014197</v>
      </c>
      <c r="P14" s="6">
        <f t="shared" ca="1" si="13"/>
        <v>16301.359112054404</v>
      </c>
      <c r="Q14" s="6">
        <f t="shared" ca="1" si="13"/>
        <v>12987.010550837284</v>
      </c>
      <c r="R14" s="6">
        <f t="shared" ca="1" si="13"/>
        <v>10607.536948428005</v>
      </c>
      <c r="S14" s="6">
        <f t="shared" ca="1" si="13"/>
        <v>9800.6986287116724</v>
      </c>
      <c r="T14" s="6">
        <f t="shared" ca="1" si="13"/>
        <v>9961.9525980788476</v>
      </c>
      <c r="U14" s="6">
        <f t="shared" ca="1" si="13"/>
        <v>9839.1344736474093</v>
      </c>
      <c r="V14" s="6">
        <f t="shared" ca="1" si="13"/>
        <v>8503.3816490648533</v>
      </c>
      <c r="W14" s="6">
        <f t="shared" ca="1" si="13"/>
        <v>7351.149862555586</v>
      </c>
      <c r="X14" s="6">
        <f t="shared" ca="1" si="14"/>
        <v>5049.1109367061217</v>
      </c>
      <c r="Y14" s="6">
        <f t="shared" ca="1" si="14"/>
        <v>2065.0660925981788</v>
      </c>
      <c r="Z14" s="6">
        <f t="shared" ca="1" si="14"/>
        <v>4.1255907599118755</v>
      </c>
      <c r="AA14" s="6">
        <f t="shared" si="14"/>
        <v>0</v>
      </c>
      <c r="AB14" s="6"/>
      <c r="AC14" s="6"/>
      <c r="AD14" s="6"/>
      <c r="AE14" s="6"/>
      <c r="AF14" s="6"/>
      <c r="AG14" s="6"/>
      <c r="AH14" s="6"/>
      <c r="AI14" s="6"/>
      <c r="AJ14" s="6"/>
    </row>
    <row r="15" spans="2:36" x14ac:dyDescent="0.3">
      <c r="H15" s="7">
        <f>H13+H14-H12</f>
        <v>0</v>
      </c>
      <c r="I15" s="7">
        <f t="shared" ref="I15:W15" si="16">I13+I14-I12</f>
        <v>0</v>
      </c>
      <c r="J15" s="7">
        <f t="shared" si="16"/>
        <v>0</v>
      </c>
      <c r="K15" s="7">
        <f t="shared" si="16"/>
        <v>0</v>
      </c>
      <c r="L15" s="7">
        <f t="shared" si="16"/>
        <v>0</v>
      </c>
      <c r="M15" s="7">
        <f t="shared" si="16"/>
        <v>0</v>
      </c>
      <c r="N15" s="7">
        <f t="shared" ca="1" si="16"/>
        <v>0</v>
      </c>
      <c r="O15" s="7">
        <f t="shared" ca="1" si="16"/>
        <v>0</v>
      </c>
      <c r="P15" s="7">
        <f t="shared" ca="1" si="16"/>
        <v>0</v>
      </c>
      <c r="Q15" s="7">
        <f t="shared" ca="1" si="16"/>
        <v>0</v>
      </c>
      <c r="R15" s="7">
        <f t="shared" ca="1" si="16"/>
        <v>0</v>
      </c>
      <c r="S15" s="7">
        <f t="shared" ca="1" si="16"/>
        <v>0</v>
      </c>
      <c r="T15" s="7">
        <f t="shared" ca="1" si="16"/>
        <v>0</v>
      </c>
      <c r="U15" s="7">
        <f t="shared" ca="1" si="16"/>
        <v>0</v>
      </c>
      <c r="V15" s="7">
        <f t="shared" ca="1" si="16"/>
        <v>0</v>
      </c>
      <c r="W15" s="7">
        <f t="shared" ca="1" si="16"/>
        <v>0</v>
      </c>
      <c r="X15" s="7">
        <f t="shared" ref="X15:Y15" ca="1" si="17">X13+X14-X12</f>
        <v>0</v>
      </c>
      <c r="Y15" s="7">
        <f t="shared" ca="1" si="17"/>
        <v>0</v>
      </c>
      <c r="Z15" s="7">
        <f t="shared" ref="Z15:AA15" ca="1" si="18">Z13+Z14-Z12</f>
        <v>0</v>
      </c>
      <c r="AA15" s="7">
        <f t="shared" si="18"/>
        <v>0</v>
      </c>
      <c r="AB15" s="7"/>
      <c r="AC15" s="7"/>
      <c r="AD15" s="7"/>
      <c r="AE15" s="7"/>
      <c r="AF15" s="7"/>
      <c r="AG15" s="7"/>
      <c r="AH15" s="7"/>
      <c r="AI15" s="7"/>
      <c r="AJ15" s="7"/>
    </row>
    <row r="16" spans="2:36" x14ac:dyDescent="0.3">
      <c r="E16" t="s">
        <v>308</v>
      </c>
      <c r="H16" s="7">
        <f>H12</f>
        <v>0</v>
      </c>
      <c r="I16" s="7">
        <f>I12+H16</f>
        <v>280000</v>
      </c>
      <c r="J16" s="7">
        <f t="shared" ref="J16:W16" si="19">J12+I16</f>
        <v>521932.05128205125</v>
      </c>
      <c r="K16" s="7">
        <f t="shared" si="19"/>
        <v>748061.64786835248</v>
      </c>
      <c r="L16" s="7">
        <f t="shared" si="19"/>
        <v>913409.72202977783</v>
      </c>
      <c r="M16" s="7">
        <f t="shared" si="19"/>
        <v>1085603.2281335858</v>
      </c>
      <c r="N16" s="7">
        <f t="shared" ca="1" si="19"/>
        <v>1347422.0451238919</v>
      </c>
      <c r="O16" s="7">
        <f t="shared" ca="1" si="19"/>
        <v>1578771.5750219082</v>
      </c>
      <c r="P16" s="7">
        <f t="shared" ca="1" si="19"/>
        <v>1766504.2742574895</v>
      </c>
      <c r="Q16" s="7">
        <f t="shared" ca="1" si="19"/>
        <v>1921894.6921691177</v>
      </c>
      <c r="R16" s="7">
        <f t="shared" ca="1" si="19"/>
        <v>2051452.0780376543</v>
      </c>
      <c r="S16" s="7">
        <f t="shared" ca="1" si="19"/>
        <v>2215649.698079098</v>
      </c>
      <c r="T16" s="7">
        <f t="shared" ca="1" si="19"/>
        <v>2358875.1174108149</v>
      </c>
      <c r="U16" s="7">
        <f t="shared" ca="1" si="19"/>
        <v>2483925.3280386552</v>
      </c>
      <c r="V16" s="7">
        <f t="shared" ca="1" si="19"/>
        <v>2592024.5275016385</v>
      </c>
      <c r="W16" s="7">
        <f t="shared" ca="1" si="19"/>
        <v>2685476.2618643264</v>
      </c>
      <c r="X16" s="7">
        <f t="shared" ref="X16" ca="1" si="20">X12+W16</f>
        <v>2690525.3728010324</v>
      </c>
      <c r="Y16" s="7">
        <f t="shared" ref="Y16" ca="1" si="21">Y12+X16</f>
        <v>2692590.4388936306</v>
      </c>
      <c r="Z16" s="7">
        <f t="shared" ref="Z16" ca="1" si="22">Z12+Y16</f>
        <v>2692594.5644843904</v>
      </c>
      <c r="AA16" s="7">
        <f t="shared" ref="AA16" ca="1" si="23">AA12+Z16</f>
        <v>2692594.5644843904</v>
      </c>
      <c r="AB16" s="7"/>
      <c r="AC16" s="7"/>
      <c r="AD16" s="7"/>
      <c r="AE16" s="7"/>
      <c r="AF16" s="7"/>
      <c r="AG16" s="7"/>
      <c r="AH16" s="7"/>
      <c r="AI16" s="7"/>
      <c r="AJ16" s="7"/>
    </row>
    <row r="17" spans="3:36" x14ac:dyDescent="0.3"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</row>
    <row r="18" spans="3:36" x14ac:dyDescent="0.3">
      <c r="E18" t="s">
        <v>295</v>
      </c>
      <c r="H18" s="7">
        <f>H12-H3</f>
        <v>-320512.8205128205</v>
      </c>
      <c r="I18" s="7">
        <f t="shared" ref="I18:W18" si="24">I12-I3</f>
        <v>55000</v>
      </c>
      <c r="J18" s="7">
        <f t="shared" si="24"/>
        <v>60244.551282051252</v>
      </c>
      <c r="K18" s="7">
        <f t="shared" si="24"/>
        <v>56072.03074976278</v>
      </c>
      <c r="L18" s="7">
        <f t="shared" si="24"/>
        <v>11386.456082930526</v>
      </c>
      <c r="M18" s="7">
        <f t="shared" ca="1" si="24"/>
        <v>-78199.080867833982</v>
      </c>
      <c r="N18" s="7">
        <f t="shared" ca="1" si="24"/>
        <v>55189.742506827257</v>
      </c>
      <c r="O18" s="7">
        <f t="shared" ca="1" si="24"/>
        <v>65973.320338592981</v>
      </c>
      <c r="P18" s="7">
        <f t="shared" ca="1" si="24"/>
        <v>50463.172186428565</v>
      </c>
      <c r="Q18" s="7">
        <f t="shared" ca="1" si="24"/>
        <v>40725.583928541339</v>
      </c>
      <c r="R18" s="7">
        <f t="shared" ca="1" si="24"/>
        <v>-19273.269050233401</v>
      </c>
      <c r="S18" s="7">
        <f t="shared" ca="1" si="24"/>
        <v>35738.523517790396</v>
      </c>
      <c r="T18" s="7">
        <f t="shared" ca="1" si="24"/>
        <v>32167.894602400338</v>
      </c>
      <c r="U18" s="7">
        <f t="shared" ca="1" si="24"/>
        <v>29044.988135148596</v>
      </c>
      <c r="V18" s="7">
        <f t="shared" ca="1" si="24"/>
        <v>25102.684618051237</v>
      </c>
      <c r="W18" s="7">
        <f t="shared" ca="1" si="24"/>
        <v>93451.73436268793</v>
      </c>
      <c r="X18" s="7">
        <f t="shared" ref="X18:Y18" ca="1" si="25">X12-X3</f>
        <v>5049.1109367061217</v>
      </c>
      <c r="Y18" s="7">
        <f t="shared" ca="1" si="25"/>
        <v>2065.0660925981788</v>
      </c>
      <c r="Z18" s="7">
        <f t="shared" ref="Z18:AA18" ca="1" si="26">Z12-Z3</f>
        <v>4.1255907599118755</v>
      </c>
      <c r="AA18" s="7">
        <f t="shared" si="26"/>
        <v>0</v>
      </c>
      <c r="AB18" s="7"/>
      <c r="AC18" s="7"/>
      <c r="AD18" s="7"/>
      <c r="AE18" s="7"/>
      <c r="AF18" s="7"/>
      <c r="AG18" s="7"/>
      <c r="AH18" s="7"/>
      <c r="AI18" s="7"/>
      <c r="AJ18" s="7"/>
    </row>
    <row r="19" spans="3:36" x14ac:dyDescent="0.3"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</row>
    <row r="20" spans="3:36" x14ac:dyDescent="0.3">
      <c r="E20" t="s">
        <v>296</v>
      </c>
      <c r="H20" s="7">
        <f>H18</f>
        <v>-320512.8205128205</v>
      </c>
      <c r="I20" s="7">
        <f>H20+I18</f>
        <v>-265512.8205128205</v>
      </c>
      <c r="J20" s="7">
        <f t="shared" ref="J20:W20" si="27">I20+J18</f>
        <v>-205268.26923076925</v>
      </c>
      <c r="K20" s="7">
        <f t="shared" si="27"/>
        <v>-149196.23848100647</v>
      </c>
      <c r="L20" s="7">
        <f t="shared" si="27"/>
        <v>-137809.78239807594</v>
      </c>
      <c r="M20" s="7">
        <f t="shared" ca="1" si="27"/>
        <v>-216008.86326590992</v>
      </c>
      <c r="N20" s="7">
        <f t="shared" ca="1" si="27"/>
        <v>-160819.12075908267</v>
      </c>
      <c r="O20" s="7">
        <f t="shared" ca="1" si="27"/>
        <v>-94845.800420489686</v>
      </c>
      <c r="P20" s="7">
        <f t="shared" ca="1" si="27"/>
        <v>-44382.628234061121</v>
      </c>
      <c r="Q20" s="7">
        <f t="shared" ca="1" si="27"/>
        <v>-3657.0443055197829</v>
      </c>
      <c r="R20" s="7">
        <f t="shared" ca="1" si="27"/>
        <v>-22930.313355753184</v>
      </c>
      <c r="S20" s="7">
        <f t="shared" ca="1" si="27"/>
        <v>12808.210162037212</v>
      </c>
      <c r="T20" s="7">
        <f t="shared" ca="1" si="27"/>
        <v>44976.10476443755</v>
      </c>
      <c r="U20" s="7">
        <f t="shared" ca="1" si="27"/>
        <v>74021.092899586147</v>
      </c>
      <c r="V20" s="144">
        <f t="shared" ca="1" si="27"/>
        <v>99123.777517637383</v>
      </c>
      <c r="W20" s="144">
        <f t="shared" ca="1" si="27"/>
        <v>192575.51188032533</v>
      </c>
      <c r="X20" s="144">
        <f t="shared" ref="X20" ca="1" si="28">W20+X18</f>
        <v>197624.62281703146</v>
      </c>
      <c r="Y20" s="144">
        <f t="shared" ref="Y20" ca="1" si="29">X20+Y18</f>
        <v>199689.68890962962</v>
      </c>
      <c r="Z20" s="144">
        <f t="shared" ref="Z20" ca="1" si="30">Y20+Z18</f>
        <v>199693.81450038953</v>
      </c>
      <c r="AA20" s="109">
        <f t="shared" ref="AA20" ca="1" si="31">Z20+AA18</f>
        <v>199693.81450038953</v>
      </c>
      <c r="AB20" s="7"/>
      <c r="AC20" s="7"/>
      <c r="AD20" s="7"/>
      <c r="AE20" s="7"/>
      <c r="AF20" s="7"/>
      <c r="AG20" s="7"/>
      <c r="AH20" s="7"/>
      <c r="AI20" s="7"/>
      <c r="AJ20" s="7"/>
    </row>
    <row r="21" spans="3:36" x14ac:dyDescent="0.3"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</row>
    <row r="22" spans="3:36" x14ac:dyDescent="0.3">
      <c r="E22" t="s">
        <v>310</v>
      </c>
      <c r="G22" s="21">
        <f ca="1">G12/G3-1</f>
        <v>8.0104999969080604E-2</v>
      </c>
      <c r="H22" s="21">
        <f t="shared" ref="H22:W22" si="32">H12/H3-1</f>
        <v>-1</v>
      </c>
      <c r="I22" s="21">
        <f t="shared" si="32"/>
        <v>0.24444444444444446</v>
      </c>
      <c r="J22" s="21">
        <f t="shared" si="32"/>
        <v>0.33158335758954927</v>
      </c>
      <c r="K22" s="21">
        <f t="shared" si="32"/>
        <v>0.32972382307094739</v>
      </c>
      <c r="L22" s="21">
        <f t="shared" si="32"/>
        <v>7.3956458921634161E-2</v>
      </c>
      <c r="M22" s="21">
        <f t="shared" ca="1" si="32"/>
        <v>-0.3123058945698356</v>
      </c>
      <c r="N22" s="21">
        <f t="shared" ca="1" si="32"/>
        <v>0.26709572524964287</v>
      </c>
      <c r="O22" s="21">
        <f t="shared" ca="1" si="32"/>
        <v>0.39892872447827687</v>
      </c>
      <c r="P22" s="21">
        <f t="shared" ca="1" si="32"/>
        <v>0.36762108292512008</v>
      </c>
      <c r="Q22" s="21">
        <f t="shared" ca="1" si="32"/>
        <v>0.35517065270899328</v>
      </c>
      <c r="R22" s="21">
        <f t="shared" ca="1" si="32"/>
        <v>-0.12949797916801831</v>
      </c>
      <c r="S22" s="21">
        <f t="shared" ca="1" si="32"/>
        <v>0.27820936379705774</v>
      </c>
      <c r="T22" s="21">
        <f t="shared" ca="1" si="32"/>
        <v>0.28965074343952879</v>
      </c>
      <c r="U22" s="21">
        <f t="shared" ca="1" si="32"/>
        <v>0.30253550151773934</v>
      </c>
      <c r="V22" s="21">
        <f t="shared" ca="1" si="32"/>
        <v>0.30245468336775727</v>
      </c>
      <c r="W22" s="21" t="e">
        <f t="shared" ca="1" si="32"/>
        <v>#DIV/0!</v>
      </c>
      <c r="X22" s="21" t="e">
        <f t="shared" ref="X22:Y22" ca="1" si="33">X12/X3-1</f>
        <v>#DIV/0!</v>
      </c>
      <c r="Y22" s="21" t="e">
        <f t="shared" ca="1" si="33"/>
        <v>#DIV/0!</v>
      </c>
      <c r="Z22" s="21" t="e">
        <f t="shared" ref="Z22:AA22" ca="1" si="34">Z12/Z3-1</f>
        <v>#DIV/0!</v>
      </c>
      <c r="AA22" s="21" t="e">
        <f t="shared" si="34"/>
        <v>#DIV/0!</v>
      </c>
      <c r="AB22" s="7"/>
      <c r="AC22" s="7"/>
      <c r="AD22" s="7"/>
      <c r="AE22" s="7"/>
      <c r="AF22" s="7"/>
      <c r="AG22" s="7"/>
      <c r="AH22" s="7"/>
      <c r="AI22" s="7"/>
      <c r="AJ22" s="7"/>
    </row>
    <row r="23" spans="3:36" x14ac:dyDescent="0.3"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</row>
    <row r="24" spans="3:36" x14ac:dyDescent="0.3">
      <c r="C24" s="99"/>
      <c r="D24" s="99"/>
      <c r="E24" s="99" t="s">
        <v>309</v>
      </c>
      <c r="G24" s="22">
        <f ca="1">AA24</f>
        <v>1.0801049999690806</v>
      </c>
      <c r="H24" s="21">
        <f>H16/H4</f>
        <v>0</v>
      </c>
      <c r="I24" s="21">
        <f t="shared" ref="I24:AA24" si="35">I16/I4</f>
        <v>0.51327849588719154</v>
      </c>
      <c r="J24" s="21">
        <f t="shared" si="35"/>
        <v>0.71772802700909921</v>
      </c>
      <c r="K24" s="21">
        <f t="shared" si="35"/>
        <v>0.83371978028743121</v>
      </c>
      <c r="L24" s="21">
        <f t="shared" si="35"/>
        <v>0.86890484640210175</v>
      </c>
      <c r="M24" s="21">
        <f t="shared" ca="1" si="35"/>
        <v>0.83404513165388861</v>
      </c>
      <c r="N24" s="21">
        <f t="shared" ca="1" si="35"/>
        <v>0.89337307295618484</v>
      </c>
      <c r="O24" s="21">
        <f t="shared" ca="1" si="35"/>
        <v>0.94332886249139314</v>
      </c>
      <c r="P24" s="21">
        <f t="shared" ca="1" si="35"/>
        <v>0.97549122025622015</v>
      </c>
      <c r="Q24" s="21">
        <f t="shared" ca="1" si="35"/>
        <v>0.99810078107160327</v>
      </c>
      <c r="R24" s="21">
        <f t="shared" ca="1" si="35"/>
        <v>0.98894595642014171</v>
      </c>
      <c r="S24" s="21">
        <f t="shared" ca="1" si="35"/>
        <v>1.0058144039107182</v>
      </c>
      <c r="T24" s="21">
        <f t="shared" ca="1" si="35"/>
        <v>1.0194373671965049</v>
      </c>
      <c r="U24" s="21">
        <f t="shared" ca="1" si="35"/>
        <v>1.0307153669512161</v>
      </c>
      <c r="V24" s="21">
        <f t="shared" ca="1" si="35"/>
        <v>1.0397624243637753</v>
      </c>
      <c r="W24" s="21">
        <f t="shared" ca="1" si="35"/>
        <v>1.0772495703575691</v>
      </c>
      <c r="X24" s="21">
        <f t="shared" ca="1" si="35"/>
        <v>1.0792749662489771</v>
      </c>
      <c r="Y24" s="21">
        <f t="shared" ca="1" si="35"/>
        <v>1.0801033450332556</v>
      </c>
      <c r="Z24" s="21">
        <f t="shared" ca="1" si="35"/>
        <v>1.0801049999690806</v>
      </c>
      <c r="AA24" s="21">
        <f t="shared" ca="1" si="35"/>
        <v>1.0801049999690806</v>
      </c>
      <c r="AB24" s="7"/>
      <c r="AC24" s="7"/>
      <c r="AD24" s="7"/>
      <c r="AE24" s="7"/>
      <c r="AF24" s="7"/>
      <c r="AG24" s="7"/>
      <c r="AH24" s="7"/>
      <c r="AI24" s="7"/>
      <c r="AJ24" s="7"/>
    </row>
    <row r="25" spans="3:36" x14ac:dyDescent="0.3">
      <c r="C25" s="99"/>
      <c r="D25" s="99"/>
      <c r="E25" s="99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</row>
    <row r="26" spans="3:36" x14ac:dyDescent="0.3">
      <c r="E26" t="s">
        <v>280</v>
      </c>
      <c r="F26" s="6">
        <f>'Summary500-600'!C15</f>
        <v>15600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</row>
    <row r="27" spans="3:36" x14ac:dyDescent="0.3">
      <c r="E27" t="s">
        <v>135</v>
      </c>
      <c r="F27" s="6">
        <f>G27/$F$26</f>
        <v>32.051282051282051</v>
      </c>
      <c r="G27" s="6">
        <f>'Summary500-600'!D16</f>
        <v>500000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</row>
    <row r="28" spans="3:36" x14ac:dyDescent="0.3"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</row>
    <row r="29" spans="3:36" x14ac:dyDescent="0.3">
      <c r="C29" s="11"/>
      <c r="D29" s="11"/>
      <c r="E29" s="11" t="s">
        <v>304</v>
      </c>
      <c r="F29" t="s">
        <v>281</v>
      </c>
      <c r="G29" t="s">
        <v>282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</row>
    <row r="30" spans="3:36" x14ac:dyDescent="0.3">
      <c r="E30" t="s">
        <v>274</v>
      </c>
      <c r="F30" s="6">
        <f t="shared" ref="F30:F34" si="36">G30/$F$26</f>
        <v>32.051282051282051</v>
      </c>
      <c r="G30" s="7">
        <f>'Summary500-600'!D19</f>
        <v>500000</v>
      </c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</row>
    <row r="31" spans="3:36" x14ac:dyDescent="0.3">
      <c r="E31" t="s">
        <v>275</v>
      </c>
      <c r="F31" s="6">
        <f t="shared" si="36"/>
        <v>32.051282051282051</v>
      </c>
      <c r="G31" s="7">
        <f>'Summary500-600'!D20</f>
        <v>500000</v>
      </c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</row>
    <row r="32" spans="3:36" x14ac:dyDescent="0.3">
      <c r="E32" t="s">
        <v>276</v>
      </c>
      <c r="F32" s="6">
        <f t="shared" si="36"/>
        <v>32.051282051282051</v>
      </c>
      <c r="G32" s="7">
        <f>'Summary500-600'!D21</f>
        <v>500000</v>
      </c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</row>
    <row r="33" spans="3:36" x14ac:dyDescent="0.3">
      <c r="E33" t="s">
        <v>277</v>
      </c>
      <c r="F33" s="6">
        <f t="shared" si="36"/>
        <v>32.051282051282051</v>
      </c>
      <c r="G33" s="7">
        <f>'Summary500-600'!D22</f>
        <v>500000</v>
      </c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</row>
    <row r="34" spans="3:36" x14ac:dyDescent="0.3">
      <c r="E34" t="s">
        <v>278</v>
      </c>
      <c r="F34" s="6">
        <f t="shared" si="36"/>
        <v>32.051282051282051</v>
      </c>
      <c r="G34" s="7">
        <f>'Summary500-600'!D23</f>
        <v>500000</v>
      </c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</row>
    <row r="35" spans="3:36" x14ac:dyDescent="0.3">
      <c r="E35" t="s">
        <v>279</v>
      </c>
      <c r="F35" s="6">
        <f t="shared" ref="F35:F38" si="37">G35/$F$26</f>
        <v>64.102564102564102</v>
      </c>
      <c r="G35" s="7">
        <f>'Summary500-600'!D24</f>
        <v>1000000</v>
      </c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</row>
    <row r="36" spans="3:36" x14ac:dyDescent="0.3">
      <c r="E36" t="s">
        <v>340</v>
      </c>
      <c r="F36" s="6">
        <f t="shared" si="37"/>
        <v>64.102564102564102</v>
      </c>
      <c r="G36" s="7">
        <f>'Summary500-600'!D25</f>
        <v>1000000</v>
      </c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</row>
    <row r="37" spans="3:36" x14ac:dyDescent="0.3">
      <c r="E37" t="s">
        <v>341</v>
      </c>
      <c r="F37" s="6">
        <f t="shared" si="37"/>
        <v>64.102564102564102</v>
      </c>
      <c r="G37" s="7">
        <f>'Summary500-600'!D26</f>
        <v>1000000</v>
      </c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</row>
    <row r="38" spans="3:36" x14ac:dyDescent="0.3">
      <c r="E38" t="s">
        <v>342</v>
      </c>
      <c r="F38" s="6">
        <f t="shared" si="37"/>
        <v>64.102564102564102</v>
      </c>
      <c r="G38" s="7">
        <f>'Summary500-600'!D27</f>
        <v>1000000</v>
      </c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</row>
    <row r="39" spans="3:36" x14ac:dyDescent="0.3">
      <c r="E39" t="s">
        <v>343</v>
      </c>
      <c r="F39" s="6">
        <f t="shared" ref="F39:F43" si="38">G39/$F$26</f>
        <v>64.102564102564102</v>
      </c>
      <c r="G39" s="7">
        <f>'Summary500-600'!D28</f>
        <v>1000000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</row>
    <row r="40" spans="3:36" x14ac:dyDescent="0.3">
      <c r="E40" t="s">
        <v>344</v>
      </c>
      <c r="F40" s="6">
        <f t="shared" si="38"/>
        <v>96.15384615384616</v>
      </c>
      <c r="G40" s="7">
        <f>'Summary500-600'!D29</f>
        <v>1500000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</row>
    <row r="41" spans="3:36" x14ac:dyDescent="0.3">
      <c r="E41" t="s">
        <v>345</v>
      </c>
      <c r="F41" s="6">
        <f t="shared" si="38"/>
        <v>96.15384615384616</v>
      </c>
      <c r="G41" s="7">
        <f>'Summary500-600'!D30</f>
        <v>1500000</v>
      </c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</row>
    <row r="42" spans="3:36" x14ac:dyDescent="0.3">
      <c r="E42" t="s">
        <v>346</v>
      </c>
      <c r="F42" s="6">
        <f t="shared" si="38"/>
        <v>96.15384615384616</v>
      </c>
      <c r="G42" s="7">
        <f>'Summary500-600'!D31</f>
        <v>1500000</v>
      </c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</row>
    <row r="43" spans="3:36" x14ac:dyDescent="0.3">
      <c r="E43" t="s">
        <v>347</v>
      </c>
      <c r="F43" s="6">
        <f t="shared" si="38"/>
        <v>96.15384615384616</v>
      </c>
      <c r="G43" s="7">
        <f>'Summary500-600'!D32</f>
        <v>1500000</v>
      </c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</row>
    <row r="44" spans="3:36" x14ac:dyDescent="0.3">
      <c r="E44" t="s">
        <v>348</v>
      </c>
      <c r="F44" s="6">
        <f t="shared" ref="F44" si="39">G44/$F$26</f>
        <v>96.15384615384616</v>
      </c>
      <c r="G44" s="7">
        <f>'Summary500-600'!D33</f>
        <v>1500000</v>
      </c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</row>
    <row r="46" spans="3:36" s="138" customFormat="1" x14ac:dyDescent="0.3">
      <c r="E46" s="158" t="s">
        <v>255</v>
      </c>
      <c r="F46" s="159"/>
      <c r="G46" s="159"/>
      <c r="H46" s="159"/>
      <c r="I46" s="159"/>
      <c r="J46" s="159"/>
      <c r="K46" s="159"/>
      <c r="L46" s="159"/>
      <c r="M46" s="159"/>
      <c r="N46" s="159"/>
      <c r="O46" s="159"/>
      <c r="P46" s="159"/>
      <c r="Q46" s="159"/>
      <c r="R46" s="159"/>
      <c r="S46" s="159"/>
      <c r="T46" s="159"/>
      <c r="U46" s="159"/>
      <c r="V46" s="159"/>
      <c r="W46" s="159"/>
      <c r="X46" s="159"/>
      <c r="Y46" s="159"/>
      <c r="Z46" s="159"/>
      <c r="AA46" s="159"/>
      <c r="AB46" s="159"/>
      <c r="AC46" s="159"/>
      <c r="AD46" s="159"/>
      <c r="AE46" s="159"/>
      <c r="AF46" s="159"/>
      <c r="AG46" s="159"/>
      <c r="AH46" s="159"/>
      <c r="AI46" s="159"/>
      <c r="AJ46" s="159"/>
    </row>
    <row r="47" spans="3:36" x14ac:dyDescent="0.3">
      <c r="C47" s="11"/>
      <c r="D47" s="11"/>
      <c r="E47" s="11"/>
    </row>
    <row r="48" spans="3:36" x14ac:dyDescent="0.3">
      <c r="C48" s="11"/>
      <c r="D48" s="11"/>
      <c r="E48" s="11" t="s">
        <v>124</v>
      </c>
      <c r="F48" s="11" t="s">
        <v>254</v>
      </c>
      <c r="G48" s="11"/>
      <c r="H48" s="112">
        <f>'Summary500-600'!C11</f>
        <v>10000</v>
      </c>
    </row>
    <row r="49" spans="5:11" x14ac:dyDescent="0.3">
      <c r="H49" s="6"/>
    </row>
    <row r="50" spans="5:11" x14ac:dyDescent="0.3">
      <c r="E50" t="s">
        <v>125</v>
      </c>
      <c r="H50" s="126">
        <f>$F$30</f>
        <v>32.051282051282051</v>
      </c>
    </row>
    <row r="52" spans="5:11" x14ac:dyDescent="0.3">
      <c r="E52" t="s">
        <v>126</v>
      </c>
      <c r="H52" s="86">
        <f>'Summary500-600'!C13</f>
        <v>0.2</v>
      </c>
      <c r="J52" s="22">
        <f>'Summary500-600'!C13</f>
        <v>0.2</v>
      </c>
    </row>
    <row r="53" spans="5:11" x14ac:dyDescent="0.3">
      <c r="E53" t="s">
        <v>117</v>
      </c>
      <c r="H53" s="6">
        <f>H52*H50</f>
        <v>6.4102564102564106</v>
      </c>
    </row>
    <row r="55" spans="5:11" x14ac:dyDescent="0.3">
      <c r="E55" t="s">
        <v>135</v>
      </c>
      <c r="H55" s="7">
        <f>H50</f>
        <v>32.051282051282051</v>
      </c>
    </row>
    <row r="56" spans="5:11" x14ac:dyDescent="0.3">
      <c r="E56" t="s">
        <v>106</v>
      </c>
      <c r="H56" s="7">
        <f>H55*(1+H52)</f>
        <v>38.46153846153846</v>
      </c>
    </row>
    <row r="58" spans="5:11" x14ac:dyDescent="0.3">
      <c r="E58" t="s">
        <v>136</v>
      </c>
      <c r="H58" s="6">
        <f>H55*H48</f>
        <v>320512.8205128205</v>
      </c>
    </row>
    <row r="59" spans="5:11" x14ac:dyDescent="0.3">
      <c r="E59" t="s">
        <v>119</v>
      </c>
      <c r="H59" s="6">
        <f>H56*H48</f>
        <v>384615.38461538462</v>
      </c>
    </row>
    <row r="61" spans="5:11" x14ac:dyDescent="0.3">
      <c r="E61" t="s">
        <v>302</v>
      </c>
      <c r="H61" s="6">
        <f>H53*H48</f>
        <v>64102.564102564109</v>
      </c>
    </row>
    <row r="63" spans="5:11" x14ac:dyDescent="0.3">
      <c r="E63" t="s">
        <v>127</v>
      </c>
      <c r="I63" s="7">
        <f>$H$56/3</f>
        <v>12.820512820512819</v>
      </c>
      <c r="J63" s="7">
        <f t="shared" ref="J63:K63" si="40">$H$56/3</f>
        <v>12.820512820512819</v>
      </c>
      <c r="K63" s="7">
        <f t="shared" si="40"/>
        <v>12.820512820512819</v>
      </c>
    </row>
    <row r="64" spans="5:11" x14ac:dyDescent="0.3">
      <c r="I64" s="7">
        <f>H56</f>
        <v>38.46153846153846</v>
      </c>
    </row>
    <row r="65" spans="3:13" x14ac:dyDescent="0.3">
      <c r="C65" s="70"/>
      <c r="D65" s="70"/>
      <c r="E65" s="70" t="s">
        <v>128</v>
      </c>
      <c r="F65" s="70"/>
      <c r="G65" s="70"/>
      <c r="H65" s="111">
        <f>'Summary500-600'!C38</f>
        <v>0.9</v>
      </c>
    </row>
    <row r="66" spans="3:13" x14ac:dyDescent="0.3">
      <c r="E66" t="s">
        <v>129</v>
      </c>
      <c r="H66" s="21">
        <f>1-H65</f>
        <v>9.9999999999999978E-2</v>
      </c>
    </row>
    <row r="68" spans="3:13" x14ac:dyDescent="0.3">
      <c r="C68" s="71"/>
      <c r="D68" s="71"/>
      <c r="E68" s="71" t="s">
        <v>16</v>
      </c>
    </row>
    <row r="69" spans="3:13" x14ac:dyDescent="0.3">
      <c r="E69" t="s">
        <v>17</v>
      </c>
      <c r="I69" s="74">
        <f>'Summary500-600'!$C$58</f>
        <v>0.22</v>
      </c>
      <c r="J69" s="74">
        <f>'Summary500-600'!$C$59</f>
        <v>0.12</v>
      </c>
      <c r="K69" s="74">
        <f>'Summary500-600'!$C$60</f>
        <v>0.05</v>
      </c>
      <c r="L69" s="75"/>
      <c r="M69" s="75"/>
    </row>
    <row r="70" spans="3:13" x14ac:dyDescent="0.3">
      <c r="E70" t="s">
        <v>18</v>
      </c>
      <c r="I70" s="75"/>
      <c r="J70" s="74">
        <f>'Summary500-600'!$C$61</f>
        <v>0.8</v>
      </c>
      <c r="K70" s="76">
        <f>J70</f>
        <v>0.8</v>
      </c>
      <c r="L70" s="76">
        <f>K70</f>
        <v>0.8</v>
      </c>
      <c r="M70" s="75"/>
    </row>
    <row r="71" spans="3:13" x14ac:dyDescent="0.3">
      <c r="E71" t="s">
        <v>19</v>
      </c>
      <c r="I71" s="75"/>
      <c r="J71" s="75"/>
      <c r="K71" s="74">
        <f>'Summary500-600'!$C$62</f>
        <v>1</v>
      </c>
      <c r="L71" s="74">
        <f>K71</f>
        <v>1</v>
      </c>
      <c r="M71" s="74">
        <f>L71</f>
        <v>1</v>
      </c>
    </row>
    <row r="72" spans="3:13" x14ac:dyDescent="0.3">
      <c r="E72" t="s">
        <v>20</v>
      </c>
      <c r="K72" s="21"/>
    </row>
    <row r="73" spans="3:13" x14ac:dyDescent="0.3">
      <c r="K73" s="21"/>
    </row>
    <row r="74" spans="3:13" x14ac:dyDescent="0.3">
      <c r="C74" s="11"/>
      <c r="D74" s="11"/>
      <c r="E74" s="11" t="s">
        <v>196</v>
      </c>
      <c r="K74" s="21"/>
    </row>
    <row r="75" spans="3:13" x14ac:dyDescent="0.3">
      <c r="E75" t="s">
        <v>17</v>
      </c>
      <c r="I75" s="22">
        <f>(1-I69)*H66</f>
        <v>7.7999999999999986E-2</v>
      </c>
      <c r="J75" s="22">
        <f>I75*(1-J69)+I76*(1-J70)</f>
        <v>0.11263999999999999</v>
      </c>
    </row>
    <row r="76" spans="3:13" x14ac:dyDescent="0.3">
      <c r="E76" t="s">
        <v>18</v>
      </c>
      <c r="I76" s="22">
        <f>I69</f>
        <v>0.22</v>
      </c>
      <c r="J76" s="22">
        <f>I75*J69</f>
        <v>9.3599999999999985E-3</v>
      </c>
      <c r="K76" s="22">
        <f>J75*K69</f>
        <v>5.6319999999999999E-3</v>
      </c>
      <c r="M76" s="22"/>
    </row>
    <row r="77" spans="3:13" x14ac:dyDescent="0.3">
      <c r="E77" t="s">
        <v>19</v>
      </c>
      <c r="J77" s="22">
        <f>I76*J70</f>
        <v>0.17600000000000002</v>
      </c>
      <c r="K77" s="22">
        <f>J76*K70+J77</f>
        <v>0.18348800000000001</v>
      </c>
      <c r="L77" s="22">
        <f>K76*L70+K77</f>
        <v>0.18799360000000001</v>
      </c>
    </row>
    <row r="78" spans="3:13" x14ac:dyDescent="0.3">
      <c r="J78" s="22"/>
      <c r="K78" s="22"/>
    </row>
    <row r="79" spans="3:13" ht="14.4" customHeight="1" x14ac:dyDescent="0.3">
      <c r="E79" t="s">
        <v>195</v>
      </c>
      <c r="I79" s="22">
        <f>(1-I69)*H65</f>
        <v>0.70200000000000007</v>
      </c>
      <c r="K79" s="29">
        <f>J75*(1-K69)+J76*(1-K70)+J77*(1-K71)</f>
        <v>0.10887999999999999</v>
      </c>
      <c r="L79" s="29">
        <f>K76*(1-L70)+K79</f>
        <v>0.11000639999999999</v>
      </c>
      <c r="M79" s="22"/>
    </row>
    <row r="80" spans="3:13" ht="14.4" customHeight="1" x14ac:dyDescent="0.3">
      <c r="I80" s="22"/>
      <c r="K80" s="29"/>
      <c r="L80" s="29"/>
      <c r="M80" s="22"/>
    </row>
    <row r="81" spans="3:13" x14ac:dyDescent="0.3">
      <c r="I81" s="25" t="s">
        <v>32</v>
      </c>
    </row>
    <row r="82" spans="3:13" x14ac:dyDescent="0.3">
      <c r="C82" s="11"/>
      <c r="D82" s="11"/>
      <c r="E82" s="11" t="s">
        <v>124</v>
      </c>
      <c r="I82" s="8">
        <f>SUM(I83:I86)</f>
        <v>10000</v>
      </c>
      <c r="J82" s="8">
        <f t="shared" ref="J82:K82" si="41">SUM(J83:J86)</f>
        <v>2979.9999999999995</v>
      </c>
      <c r="K82" s="8">
        <f t="shared" si="41"/>
        <v>1891.2</v>
      </c>
    </row>
    <row r="83" spans="3:13" x14ac:dyDescent="0.3">
      <c r="C83" s="23"/>
      <c r="D83" s="23"/>
      <c r="E83" s="23" t="s">
        <v>120</v>
      </c>
      <c r="I83" s="7">
        <f>H48*(1-I69)</f>
        <v>7800</v>
      </c>
      <c r="J83" s="82">
        <f>I121*(1-J69)+I84*(1-J70)</f>
        <v>1126.3999999999996</v>
      </c>
    </row>
    <row r="84" spans="3:13" x14ac:dyDescent="0.3">
      <c r="C84" s="24"/>
      <c r="D84" s="24"/>
      <c r="E84" s="24" t="s">
        <v>122</v>
      </c>
      <c r="I84" s="7">
        <f>H48*I69</f>
        <v>2200</v>
      </c>
      <c r="J84" s="7">
        <f>I121*J69</f>
        <v>93.599999999999966</v>
      </c>
      <c r="K84" s="7">
        <f>J83*K69</f>
        <v>56.319999999999986</v>
      </c>
      <c r="L84" s="7">
        <f>K83*L69</f>
        <v>0</v>
      </c>
    </row>
    <row r="85" spans="3:13" x14ac:dyDescent="0.3">
      <c r="C85" s="23"/>
      <c r="D85" s="23"/>
      <c r="E85" s="23" t="s">
        <v>121</v>
      </c>
      <c r="J85" s="7">
        <f>I84*J70</f>
        <v>1760</v>
      </c>
      <c r="K85" s="7">
        <f>J84*K70</f>
        <v>74.879999999999981</v>
      </c>
      <c r="L85" s="7">
        <f>K84*L70</f>
        <v>45.05599999999999</v>
      </c>
    </row>
    <row r="86" spans="3:13" x14ac:dyDescent="0.3">
      <c r="C86" s="23"/>
      <c r="D86" s="23"/>
      <c r="E86" s="23" t="s">
        <v>138</v>
      </c>
      <c r="J86" s="7"/>
      <c r="K86" s="7">
        <f>J85*K71</f>
        <v>1760</v>
      </c>
      <c r="L86" s="7">
        <f>K85*L71+K86</f>
        <v>1834.8799999999999</v>
      </c>
      <c r="M86" s="7">
        <f>L85*M71+L86</f>
        <v>1879.9359999999999</v>
      </c>
    </row>
    <row r="87" spans="3:13" x14ac:dyDescent="0.3">
      <c r="C87" s="23"/>
      <c r="D87" s="23"/>
      <c r="E87" s="23"/>
      <c r="J87" s="7"/>
    </row>
    <row r="88" spans="3:13" x14ac:dyDescent="0.3">
      <c r="C88" s="23"/>
      <c r="D88" s="23"/>
      <c r="E88" s="23" t="s">
        <v>137</v>
      </c>
      <c r="J88" s="7"/>
      <c r="K88" s="7">
        <f>J83*(1-K69)+J84*(1-K70)+J85*(1-K71)</f>
        <v>1088.7999999999997</v>
      </c>
      <c r="L88" s="7">
        <f>K84*(1-L70)+K88</f>
        <v>1100.0639999999996</v>
      </c>
      <c r="M88" s="7">
        <f>L85*(1-M71)+L88</f>
        <v>1100.0639999999996</v>
      </c>
    </row>
    <row r="89" spans="3:13" x14ac:dyDescent="0.3">
      <c r="C89" s="23"/>
      <c r="D89" s="23"/>
      <c r="E89" s="23"/>
      <c r="J89" s="7"/>
    </row>
    <row r="90" spans="3:13" x14ac:dyDescent="0.3">
      <c r="C90" s="11"/>
      <c r="D90" s="11"/>
      <c r="E90" s="11" t="s">
        <v>139</v>
      </c>
      <c r="I90" s="8">
        <f>SUM(I91:I92)</f>
        <v>7800</v>
      </c>
      <c r="J90" s="8">
        <f>SUM(J91:J92)</f>
        <v>1126.3999999999996</v>
      </c>
      <c r="K90" s="8">
        <f>SUM(K91:K92)</f>
        <v>1088.7999999999997</v>
      </c>
      <c r="L90" s="8">
        <f>SUM(L91:L92)</f>
        <v>11.263999999999994</v>
      </c>
    </row>
    <row r="91" spans="3:13" x14ac:dyDescent="0.3">
      <c r="C91" s="23"/>
      <c r="D91" s="23"/>
      <c r="E91" s="23" t="s">
        <v>120</v>
      </c>
      <c r="I91" s="7">
        <f>I83</f>
        <v>7800</v>
      </c>
      <c r="J91" s="7">
        <f>I121*(1-J69)</f>
        <v>686.39999999999975</v>
      </c>
      <c r="K91" s="7">
        <f>J83*(1-K69)</f>
        <v>1070.0799999999997</v>
      </c>
    </row>
    <row r="92" spans="3:13" x14ac:dyDescent="0.3">
      <c r="C92" s="24"/>
      <c r="D92" s="24"/>
      <c r="E92" s="24" t="s">
        <v>122</v>
      </c>
      <c r="J92" s="7">
        <f>I84*(1-J70)</f>
        <v>439.99999999999989</v>
      </c>
      <c r="K92" s="7">
        <f>J84*(1-K70)</f>
        <v>18.719999999999988</v>
      </c>
      <c r="L92" s="7">
        <f>K84*(1-L70)</f>
        <v>11.263999999999994</v>
      </c>
    </row>
    <row r="93" spans="3:13" x14ac:dyDescent="0.3">
      <c r="C93" s="23"/>
      <c r="D93" s="23"/>
      <c r="E93" s="23"/>
      <c r="J93" s="7"/>
      <c r="K93" s="7">
        <f>J85*(1-K71)</f>
        <v>0</v>
      </c>
      <c r="L93" s="7">
        <f>K85*(1-L71)</f>
        <v>0</v>
      </c>
    </row>
    <row r="94" spans="3:13" x14ac:dyDescent="0.3">
      <c r="C94" s="81"/>
      <c r="D94" s="81"/>
      <c r="E94" s="81" t="s">
        <v>123</v>
      </c>
    </row>
    <row r="95" spans="3:13" x14ac:dyDescent="0.3">
      <c r="C95" s="23"/>
      <c r="D95" s="23"/>
      <c r="E95" s="23" t="s">
        <v>120</v>
      </c>
      <c r="I95" s="7">
        <f>H56-I63</f>
        <v>25.641025641025642</v>
      </c>
      <c r="J95" s="7">
        <f>I95-J63</f>
        <v>12.820512820512823</v>
      </c>
      <c r="K95" s="7">
        <f>J95-K63</f>
        <v>0</v>
      </c>
    </row>
    <row r="96" spans="3:13" x14ac:dyDescent="0.3">
      <c r="C96" s="24"/>
      <c r="D96" s="24"/>
      <c r="E96" s="24" t="s">
        <v>122</v>
      </c>
      <c r="I96" s="7">
        <f>H56</f>
        <v>38.46153846153846</v>
      </c>
      <c r="J96" s="7">
        <f>I95</f>
        <v>25.641025641025642</v>
      </c>
      <c r="K96" s="7">
        <f>J95</f>
        <v>12.820512820512823</v>
      </c>
    </row>
    <row r="97" spans="3:13" x14ac:dyDescent="0.3">
      <c r="C97" s="23"/>
      <c r="D97" s="23"/>
      <c r="E97" s="23" t="s">
        <v>121</v>
      </c>
      <c r="J97" s="7">
        <f>I96</f>
        <v>38.46153846153846</v>
      </c>
      <c r="K97" s="7">
        <f>J96</f>
        <v>25.641025641025642</v>
      </c>
      <c r="L97" s="7">
        <f>K96</f>
        <v>12.820512820512823</v>
      </c>
    </row>
    <row r="98" spans="3:13" x14ac:dyDescent="0.3">
      <c r="C98" s="23"/>
      <c r="D98" s="23"/>
      <c r="E98" s="23"/>
      <c r="K98" s="7"/>
      <c r="L98" s="7"/>
    </row>
    <row r="99" spans="3:13" x14ac:dyDescent="0.3">
      <c r="C99" s="23"/>
      <c r="D99" s="23"/>
      <c r="E99" s="23"/>
      <c r="K99" s="7"/>
      <c r="L99" s="7"/>
    </row>
    <row r="100" spans="3:13" x14ac:dyDescent="0.3">
      <c r="C100" s="11"/>
      <c r="D100" s="11"/>
      <c r="E100" s="11" t="s">
        <v>130</v>
      </c>
      <c r="I100" s="8">
        <f>SUM(I101:I104)</f>
        <v>284615.38461538462</v>
      </c>
      <c r="J100" s="8">
        <f t="shared" ref="J100:L100" si="42">SUM(J101:J104)</f>
        <v>84533.333333333328</v>
      </c>
      <c r="K100" s="8">
        <f t="shared" si="42"/>
        <v>70334.358974358969</v>
      </c>
      <c r="L100" s="8">
        <f t="shared" si="42"/>
        <v>70189.948717948719</v>
      </c>
    </row>
    <row r="101" spans="3:13" x14ac:dyDescent="0.3">
      <c r="C101" s="23"/>
      <c r="D101" s="23"/>
      <c r="E101" s="23" t="s">
        <v>120</v>
      </c>
      <c r="I101" s="7">
        <f t="shared" ref="I101:K102" si="43">I95*I83</f>
        <v>200000</v>
      </c>
      <c r="J101" s="7">
        <f t="shared" si="43"/>
        <v>14441.025641025639</v>
      </c>
      <c r="K101" s="7">
        <f t="shared" si="43"/>
        <v>0</v>
      </c>
    </row>
    <row r="102" spans="3:13" x14ac:dyDescent="0.3">
      <c r="C102" s="24"/>
      <c r="D102" s="24"/>
      <c r="E102" s="24" t="s">
        <v>122</v>
      </c>
      <c r="I102" s="7">
        <f t="shared" si="43"/>
        <v>84615.38461538461</v>
      </c>
      <c r="J102" s="7">
        <f t="shared" si="43"/>
        <v>2399.9999999999991</v>
      </c>
      <c r="K102" s="7">
        <f t="shared" si="43"/>
        <v>722.05128205128199</v>
      </c>
      <c r="L102" s="7">
        <f>L96*L84</f>
        <v>0</v>
      </c>
    </row>
    <row r="103" spans="3:13" x14ac:dyDescent="0.3">
      <c r="C103" s="23"/>
      <c r="D103" s="23"/>
      <c r="E103" s="23" t="s">
        <v>121</v>
      </c>
      <c r="J103" s="7">
        <f>J97*J85</f>
        <v>67692.307692307688</v>
      </c>
      <c r="K103" s="7">
        <f>K97*K85</f>
        <v>1919.9999999999995</v>
      </c>
      <c r="L103" s="7">
        <f>L97*L85</f>
        <v>577.64102564102564</v>
      </c>
    </row>
    <row r="104" spans="3:13" x14ac:dyDescent="0.3">
      <c r="C104" s="23"/>
      <c r="D104" s="23"/>
      <c r="E104" s="23" t="s">
        <v>299</v>
      </c>
      <c r="K104" s="8">
        <f>J103</f>
        <v>67692.307692307688</v>
      </c>
      <c r="L104" s="8">
        <f>K103+K104</f>
        <v>69612.307692307688</v>
      </c>
      <c r="M104" s="8">
        <f>L103+L104</f>
        <v>70189.948717948719</v>
      </c>
    </row>
    <row r="105" spans="3:13" x14ac:dyDescent="0.3">
      <c r="C105" s="23"/>
      <c r="D105" s="23"/>
      <c r="E105" s="23"/>
    </row>
    <row r="106" spans="3:13" x14ac:dyDescent="0.3">
      <c r="C106" s="81"/>
      <c r="D106" s="81"/>
      <c r="E106" s="81" t="s">
        <v>300</v>
      </c>
      <c r="H106" s="8">
        <f>M104</f>
        <v>70189.948717948719</v>
      </c>
    </row>
    <row r="107" spans="3:13" x14ac:dyDescent="0.3">
      <c r="C107" s="23"/>
      <c r="D107" s="23"/>
      <c r="E107" s="23" t="s">
        <v>319</v>
      </c>
      <c r="H107" s="7">
        <f>H61-H106</f>
        <v>-6087.3846153846098</v>
      </c>
    </row>
    <row r="108" spans="3:13" x14ac:dyDescent="0.3">
      <c r="C108" s="11"/>
      <c r="D108" s="11"/>
      <c r="E108" s="11" t="s">
        <v>140</v>
      </c>
      <c r="I108" s="8">
        <f>SUM(I110:I113)</f>
        <v>280000</v>
      </c>
      <c r="J108" s="8">
        <f>SUM(J110:J113)</f>
        <v>20082.051282051274</v>
      </c>
      <c r="K108" s="8">
        <f t="shared" ref="K108:L108" si="44">SUM(K110:K113)</f>
        <v>14198.974358974354</v>
      </c>
      <c r="L108" s="8">
        <f t="shared" si="44"/>
        <v>144.41025641025632</v>
      </c>
    </row>
    <row r="109" spans="3:13" x14ac:dyDescent="0.3">
      <c r="C109" s="11"/>
      <c r="D109" s="11"/>
      <c r="E109" s="11"/>
      <c r="I109" s="8"/>
      <c r="J109" s="8"/>
      <c r="K109" s="8"/>
      <c r="L109" s="8"/>
    </row>
    <row r="110" spans="3:13" x14ac:dyDescent="0.3">
      <c r="E110" t="s">
        <v>131</v>
      </c>
      <c r="G110" s="23" t="s">
        <v>120</v>
      </c>
      <c r="I110" s="80">
        <f>I119*I64</f>
        <v>270000</v>
      </c>
    </row>
    <row r="111" spans="3:13" x14ac:dyDescent="0.3">
      <c r="G111" s="23"/>
      <c r="I111" s="6"/>
    </row>
    <row r="112" spans="3:13" x14ac:dyDescent="0.3">
      <c r="E112" t="s">
        <v>200</v>
      </c>
      <c r="G112" s="23" t="s">
        <v>120</v>
      </c>
      <c r="I112" s="6">
        <f>I121*I63</f>
        <v>9999.9999999999964</v>
      </c>
      <c r="J112" s="27">
        <f>J91*J63</f>
        <v>8799.9999999999964</v>
      </c>
      <c r="K112" s="27">
        <f>K91*K63</f>
        <v>13718.974358974354</v>
      </c>
      <c r="L112" s="27">
        <f>L91*L63</f>
        <v>0</v>
      </c>
    </row>
    <row r="113" spans="3:31" x14ac:dyDescent="0.3">
      <c r="E113" t="s">
        <v>200</v>
      </c>
      <c r="G113" s="24" t="s">
        <v>122</v>
      </c>
      <c r="I113" s="6"/>
      <c r="J113" s="27">
        <f>J92*(I63+J63)</f>
        <v>11282.051282051278</v>
      </c>
      <c r="K113" s="27">
        <f>K92*(J63+K63)</f>
        <v>479.99999999999966</v>
      </c>
      <c r="L113" s="27">
        <f>L92*(K63+L63)</f>
        <v>144.41025641025632</v>
      </c>
    </row>
    <row r="115" spans="3:31" x14ac:dyDescent="0.3">
      <c r="C115" s="11"/>
      <c r="D115" s="11"/>
      <c r="E115" s="11" t="s">
        <v>283</v>
      </c>
      <c r="I115" s="8">
        <f>SUM(I112:L113)</f>
        <v>44425.435897435884</v>
      </c>
    </row>
    <row r="117" spans="3:31" x14ac:dyDescent="0.3">
      <c r="E117" t="s">
        <v>141</v>
      </c>
      <c r="I117" s="28">
        <f>I119*(J63+K63)</f>
        <v>179999.99999999997</v>
      </c>
    </row>
    <row r="119" spans="3:31" x14ac:dyDescent="0.3">
      <c r="E119" t="s">
        <v>132</v>
      </c>
      <c r="I119" s="7">
        <f>I83*H65</f>
        <v>7020</v>
      </c>
    </row>
    <row r="121" spans="3:31" x14ac:dyDescent="0.3">
      <c r="E121" t="s">
        <v>133</v>
      </c>
      <c r="I121" s="7">
        <f>I83*H66</f>
        <v>779.99999999999977</v>
      </c>
    </row>
    <row r="122" spans="3:31" x14ac:dyDescent="0.3">
      <c r="E122" t="s">
        <v>317</v>
      </c>
      <c r="I122" s="7">
        <f>SUM(I108:L108)</f>
        <v>314425.43589743588</v>
      </c>
    </row>
    <row r="123" spans="3:31" x14ac:dyDescent="0.3">
      <c r="E123" t="s">
        <v>318</v>
      </c>
      <c r="I123" s="7">
        <f>I122-H58</f>
        <v>-6087.3846153846243</v>
      </c>
    </row>
    <row r="124" spans="3:31" x14ac:dyDescent="0.3">
      <c r="E124" s="152" t="s">
        <v>215</v>
      </c>
      <c r="F124" s="153"/>
      <c r="G124" s="153"/>
      <c r="H124" s="153"/>
      <c r="I124" s="153"/>
      <c r="J124" s="153"/>
      <c r="K124" s="153"/>
      <c r="L124" s="153"/>
      <c r="M124" s="154"/>
      <c r="N124" s="152"/>
      <c r="O124" s="153"/>
      <c r="P124" s="153"/>
      <c r="Q124" s="153"/>
      <c r="R124" s="153"/>
      <c r="S124" s="153"/>
      <c r="T124" s="153"/>
      <c r="U124" s="153"/>
      <c r="V124" s="154"/>
      <c r="W124" s="152"/>
      <c r="X124" s="153"/>
      <c r="Y124" s="153"/>
      <c r="Z124" s="153"/>
      <c r="AA124" s="153"/>
      <c r="AB124" s="153"/>
      <c r="AC124" s="153"/>
      <c r="AD124" s="153"/>
      <c r="AE124" s="154"/>
    </row>
    <row r="126" spans="3:31" x14ac:dyDescent="0.3">
      <c r="E126" t="s">
        <v>197</v>
      </c>
      <c r="I126" s="83">
        <f>I119</f>
        <v>7020</v>
      </c>
    </row>
    <row r="127" spans="3:31" x14ac:dyDescent="0.3">
      <c r="E127" t="s">
        <v>198</v>
      </c>
      <c r="I127" s="7">
        <f>I126*I129</f>
        <v>7020</v>
      </c>
      <c r="L127" s="77"/>
    </row>
    <row r="128" spans="3:31" x14ac:dyDescent="0.3">
      <c r="I128" s="7"/>
      <c r="L128" s="77"/>
    </row>
    <row r="129" spans="3:12" s="11" customFormat="1" x14ac:dyDescent="0.3">
      <c r="E129" s="11" t="s">
        <v>134</v>
      </c>
      <c r="I129" s="104">
        <v>1</v>
      </c>
      <c r="L129" s="78">
        <f>L130*L131*L132*L133</f>
        <v>0.10139179881599999</v>
      </c>
    </row>
    <row r="130" spans="3:12" x14ac:dyDescent="0.3">
      <c r="E130" t="s">
        <v>35</v>
      </c>
      <c r="L130" s="79">
        <f>L79</f>
        <v>0.11000639999999999</v>
      </c>
    </row>
    <row r="131" spans="3:12" x14ac:dyDescent="0.3">
      <c r="E131" t="s">
        <v>36</v>
      </c>
      <c r="L131" s="79">
        <f>0.95</f>
        <v>0.95</v>
      </c>
    </row>
    <row r="132" spans="3:12" x14ac:dyDescent="0.3">
      <c r="E132" t="s">
        <v>142</v>
      </c>
      <c r="L132" s="79">
        <v>0.99</v>
      </c>
    </row>
    <row r="133" spans="3:12" x14ac:dyDescent="0.3">
      <c r="E133" t="s">
        <v>37</v>
      </c>
      <c r="L133" s="79">
        <v>0.98</v>
      </c>
    </row>
    <row r="136" spans="3:12" x14ac:dyDescent="0.3">
      <c r="C136" s="99"/>
      <c r="D136" s="99"/>
      <c r="E136" s="99" t="s">
        <v>125</v>
      </c>
      <c r="I136" s="83">
        <f>$F$30</f>
        <v>32.051282051282051</v>
      </c>
    </row>
    <row r="137" spans="3:12" x14ac:dyDescent="0.3">
      <c r="C137" s="99"/>
      <c r="D137" s="99"/>
      <c r="E137" s="99" t="s">
        <v>135</v>
      </c>
      <c r="I137" s="82">
        <f>I136</f>
        <v>32.051282051282051</v>
      </c>
    </row>
    <row r="139" spans="3:12" x14ac:dyDescent="0.3">
      <c r="E139" t="s">
        <v>126</v>
      </c>
      <c r="I139" s="22">
        <f>H52</f>
        <v>0.2</v>
      </c>
    </row>
    <row r="140" spans="3:12" x14ac:dyDescent="0.3">
      <c r="E140" t="s">
        <v>117</v>
      </c>
      <c r="I140" s="7">
        <f>I139*I136</f>
        <v>6.4102564102564106</v>
      </c>
    </row>
    <row r="142" spans="3:12" x14ac:dyDescent="0.3">
      <c r="E142" t="s">
        <v>118</v>
      </c>
      <c r="I142" s="7">
        <f>I137</f>
        <v>32.051282051282051</v>
      </c>
    </row>
    <row r="143" spans="3:12" x14ac:dyDescent="0.3">
      <c r="E143" t="s">
        <v>106</v>
      </c>
      <c r="I143" s="7">
        <f>I136*(1+I139)</f>
        <v>38.46153846153846</v>
      </c>
    </row>
    <row r="144" spans="3:12" x14ac:dyDescent="0.3">
      <c r="I144" s="7"/>
    </row>
    <row r="145" spans="3:14" x14ac:dyDescent="0.3">
      <c r="E145" t="s">
        <v>136</v>
      </c>
      <c r="I145" s="7">
        <f>I142*I127</f>
        <v>225000</v>
      </c>
    </row>
    <row r="146" spans="3:14" x14ac:dyDescent="0.3">
      <c r="E146" t="s">
        <v>119</v>
      </c>
      <c r="I146" s="7">
        <f>I143*I127</f>
        <v>270000</v>
      </c>
    </row>
    <row r="147" spans="3:14" x14ac:dyDescent="0.3">
      <c r="I147" s="7"/>
    </row>
    <row r="148" spans="3:14" x14ac:dyDescent="0.3">
      <c r="E148" t="s">
        <v>302</v>
      </c>
      <c r="I148" s="6">
        <f>I140*I127</f>
        <v>45000</v>
      </c>
    </row>
    <row r="149" spans="3:14" x14ac:dyDescent="0.3">
      <c r="I149" s="7"/>
    </row>
    <row r="150" spans="3:14" x14ac:dyDescent="0.3">
      <c r="E150" t="s">
        <v>127</v>
      </c>
      <c r="J150" s="7">
        <f>I143/3</f>
        <v>12.820512820512819</v>
      </c>
      <c r="K150" s="7">
        <f>I143/3</f>
        <v>12.820512820512819</v>
      </c>
      <c r="L150" s="7">
        <f>I143/3</f>
        <v>12.820512820512819</v>
      </c>
    </row>
    <row r="151" spans="3:14" x14ac:dyDescent="0.3">
      <c r="J151" s="7">
        <f>I143</f>
        <v>38.46153846153846</v>
      </c>
    </row>
    <row r="152" spans="3:14" x14ac:dyDescent="0.3">
      <c r="E152" t="s">
        <v>128</v>
      </c>
      <c r="I152" s="21">
        <f>'Summary500-600'!$C$39</f>
        <v>0.95</v>
      </c>
    </row>
    <row r="153" spans="3:14" x14ac:dyDescent="0.3">
      <c r="E153" t="s">
        <v>129</v>
      </c>
      <c r="I153" s="21">
        <f>1-I152</f>
        <v>5.0000000000000044E-2</v>
      </c>
    </row>
    <row r="155" spans="3:14" x14ac:dyDescent="0.3">
      <c r="C155" s="71"/>
      <c r="D155" s="71"/>
      <c r="E155" s="71" t="s">
        <v>16</v>
      </c>
    </row>
    <row r="156" spans="3:14" x14ac:dyDescent="0.3">
      <c r="E156" t="s">
        <v>17</v>
      </c>
      <c r="J156" s="74">
        <f>'Summary500-600'!$C$65</f>
        <v>0.15</v>
      </c>
      <c r="K156" s="74">
        <f>'Summary500-600'!$C$66</f>
        <v>7.0000000000000007E-2</v>
      </c>
      <c r="L156" s="74">
        <f>'Summary500-600'!$C$67</f>
        <v>0.05</v>
      </c>
      <c r="M156" s="75"/>
      <c r="N156" s="75"/>
    </row>
    <row r="157" spans="3:14" x14ac:dyDescent="0.3">
      <c r="E157" t="s">
        <v>18</v>
      </c>
      <c r="G157" s="75"/>
      <c r="K157" s="74">
        <f>'Summary500-600'!$C$68</f>
        <v>0.8</v>
      </c>
      <c r="L157" s="76">
        <f>K157</f>
        <v>0.8</v>
      </c>
      <c r="M157" s="76">
        <f>L157</f>
        <v>0.8</v>
      </c>
      <c r="N157" s="75"/>
    </row>
    <row r="158" spans="3:14" x14ac:dyDescent="0.3">
      <c r="E158" t="s">
        <v>19</v>
      </c>
      <c r="G158" s="75"/>
      <c r="K158" s="75"/>
      <c r="L158" s="74">
        <f>'Summary500-600'!$C$69</f>
        <v>1</v>
      </c>
      <c r="M158" s="76">
        <f>L158</f>
        <v>1</v>
      </c>
      <c r="N158" s="76">
        <f>M158</f>
        <v>1</v>
      </c>
    </row>
    <row r="159" spans="3:14" x14ac:dyDescent="0.3">
      <c r="E159" t="s">
        <v>20</v>
      </c>
      <c r="L159" s="21"/>
    </row>
    <row r="160" spans="3:14" x14ac:dyDescent="0.3">
      <c r="L160" s="21"/>
    </row>
    <row r="161" spans="3:14" x14ac:dyDescent="0.3">
      <c r="C161" s="11"/>
      <c r="D161" s="11"/>
      <c r="E161" s="11" t="s">
        <v>196</v>
      </c>
      <c r="L161" s="21"/>
    </row>
    <row r="162" spans="3:14" x14ac:dyDescent="0.3">
      <c r="E162" t="s">
        <v>17</v>
      </c>
      <c r="I162" s="22">
        <f>(1-J156)*I153</f>
        <v>4.2500000000000038E-2</v>
      </c>
      <c r="J162" s="22">
        <f>I162*(1-K156)+I163*(1-K157)</f>
        <v>6.9525000000000031E-2</v>
      </c>
    </row>
    <row r="163" spans="3:14" x14ac:dyDescent="0.3">
      <c r="E163" t="s">
        <v>18</v>
      </c>
      <c r="I163" s="22">
        <f>J156</f>
        <v>0.15</v>
      </c>
      <c r="J163" s="22">
        <f>I162*K156</f>
        <v>2.9750000000000028E-3</v>
      </c>
      <c r="K163" s="22">
        <f>J162*L156</f>
        <v>3.4762500000000019E-3</v>
      </c>
      <c r="M163" s="22"/>
    </row>
    <row r="164" spans="3:14" x14ac:dyDescent="0.3">
      <c r="E164" t="s">
        <v>19</v>
      </c>
      <c r="J164" s="22">
        <f>I163*K157</f>
        <v>0.12</v>
      </c>
      <c r="K164" s="22">
        <f>J163*L157+J164</f>
        <v>0.12238</v>
      </c>
      <c r="L164" s="22">
        <f>K163*M157+K164</f>
        <v>0.12516099999999999</v>
      </c>
    </row>
    <row r="165" spans="3:14" x14ac:dyDescent="0.3">
      <c r="J165" s="22"/>
      <c r="K165" s="22"/>
    </row>
    <row r="166" spans="3:14" x14ac:dyDescent="0.3">
      <c r="E166" t="s">
        <v>195</v>
      </c>
      <c r="I166" s="22">
        <f>(1-J156)*I152</f>
        <v>0.8075</v>
      </c>
      <c r="K166" s="29">
        <f>J162*(1-L156)+J163*(1-L157)+J164*(1-L158)</f>
        <v>6.6643750000000029E-2</v>
      </c>
      <c r="L166" s="29">
        <f>K163*(1-M157)+K166</f>
        <v>6.7339000000000024E-2</v>
      </c>
      <c r="M166" s="22"/>
    </row>
    <row r="167" spans="3:14" x14ac:dyDescent="0.3">
      <c r="I167" s="22"/>
      <c r="K167" s="29"/>
      <c r="L167" s="29"/>
      <c r="M167" s="22"/>
    </row>
    <row r="168" spans="3:14" x14ac:dyDescent="0.3">
      <c r="J168" s="25" t="s">
        <v>32</v>
      </c>
    </row>
    <row r="169" spans="3:14" x14ac:dyDescent="0.3">
      <c r="C169" s="11"/>
      <c r="D169" s="11"/>
      <c r="E169" s="11" t="s">
        <v>124</v>
      </c>
      <c r="J169" s="8">
        <f>SUM(J170:J173)</f>
        <v>7020</v>
      </c>
      <c r="K169" s="8">
        <f t="shared" ref="K169:L169" si="45">SUM(K170:K173)</f>
        <v>1351.3500000000004</v>
      </c>
      <c r="L169" s="8">
        <f t="shared" si="45"/>
        <v>883.51087500000017</v>
      </c>
    </row>
    <row r="170" spans="3:14" x14ac:dyDescent="0.3">
      <c r="C170" s="23"/>
      <c r="D170" s="23"/>
      <c r="E170" s="23" t="s">
        <v>120</v>
      </c>
      <c r="J170" s="7">
        <f>I127*(1-J156)</f>
        <v>5967</v>
      </c>
      <c r="K170" s="26">
        <f>J208*(1-K156)+J171*(1-K157)</f>
        <v>488.06550000000016</v>
      </c>
    </row>
    <row r="171" spans="3:14" x14ac:dyDescent="0.3">
      <c r="C171" s="24"/>
      <c r="D171" s="24"/>
      <c r="E171" s="24" t="s">
        <v>122</v>
      </c>
      <c r="J171" s="7">
        <f>I127*J156</f>
        <v>1053</v>
      </c>
      <c r="K171" s="7">
        <f>J208*K156</f>
        <v>20.88450000000002</v>
      </c>
      <c r="L171" s="7">
        <f>K170*L156</f>
        <v>24.403275000000008</v>
      </c>
      <c r="M171" s="7">
        <f>L170*M156</f>
        <v>0</v>
      </c>
    </row>
    <row r="172" spans="3:14" x14ac:dyDescent="0.3">
      <c r="C172" s="23"/>
      <c r="D172" s="23"/>
      <c r="E172" s="23" t="s">
        <v>121</v>
      </c>
      <c r="K172" s="7">
        <f>J171*K157</f>
        <v>842.40000000000009</v>
      </c>
      <c r="L172" s="7">
        <f>K171*L157</f>
        <v>16.707600000000017</v>
      </c>
      <c r="M172" s="7">
        <f>L171*M157</f>
        <v>19.522620000000007</v>
      </c>
    </row>
    <row r="173" spans="3:14" x14ac:dyDescent="0.3">
      <c r="C173" s="23"/>
      <c r="D173" s="23"/>
      <c r="E173" s="23" t="s">
        <v>138</v>
      </c>
      <c r="K173" s="7"/>
      <c r="L173" s="7">
        <f>K172*L158</f>
        <v>842.40000000000009</v>
      </c>
      <c r="M173" s="7">
        <f>L172*M158+L173</f>
        <v>859.10760000000016</v>
      </c>
      <c r="N173" s="7">
        <f>M172*N158+M173</f>
        <v>878.63022000000012</v>
      </c>
    </row>
    <row r="174" spans="3:14" x14ac:dyDescent="0.3">
      <c r="C174" s="23"/>
      <c r="D174" s="23"/>
      <c r="E174" s="23"/>
      <c r="K174" s="7"/>
    </row>
    <row r="175" spans="3:14" x14ac:dyDescent="0.3">
      <c r="C175" s="23"/>
      <c r="D175" s="23"/>
      <c r="E175" s="23" t="s">
        <v>137</v>
      </c>
      <c r="K175" s="7"/>
      <c r="L175" s="7">
        <f>K170*(1-L156)+K171*(1-L157)+K172*(1-L158)</f>
        <v>467.83912500000014</v>
      </c>
      <c r="M175" s="7">
        <f>L171*(1-M157)+L175</f>
        <v>472.71978000000013</v>
      </c>
      <c r="N175" s="7">
        <f>M172*(1-N158)+M175</f>
        <v>472.71978000000013</v>
      </c>
    </row>
    <row r="176" spans="3:14" x14ac:dyDescent="0.3">
      <c r="C176" s="23"/>
      <c r="D176" s="23"/>
      <c r="E176" s="23"/>
      <c r="K176" s="7"/>
    </row>
    <row r="177" spans="3:14" x14ac:dyDescent="0.3">
      <c r="C177" s="11"/>
      <c r="D177" s="11"/>
      <c r="E177" s="11" t="s">
        <v>139</v>
      </c>
      <c r="J177" s="8">
        <f>SUM(J178:J179)</f>
        <v>5967</v>
      </c>
      <c r="K177" s="8">
        <f>SUM(K178:K179)</f>
        <v>488.06550000000016</v>
      </c>
      <c r="L177" s="8">
        <f>SUM(L178:L179)</f>
        <v>467.83912500000014</v>
      </c>
      <c r="M177" s="8">
        <f>SUM(M178:M179)</f>
        <v>4.8806550000000009</v>
      </c>
    </row>
    <row r="178" spans="3:14" x14ac:dyDescent="0.3">
      <c r="C178" s="23"/>
      <c r="D178" s="23"/>
      <c r="E178" s="23" t="s">
        <v>120</v>
      </c>
      <c r="J178" s="7">
        <f>J170</f>
        <v>5967</v>
      </c>
      <c r="K178" s="7">
        <f>J208*(1-K156)</f>
        <v>277.46550000000019</v>
      </c>
      <c r="L178" s="7">
        <f>K170*(1-L156)</f>
        <v>463.66222500000015</v>
      </c>
    </row>
    <row r="179" spans="3:14" x14ac:dyDescent="0.3">
      <c r="C179" s="24"/>
      <c r="D179" s="24"/>
      <c r="E179" s="24" t="s">
        <v>122</v>
      </c>
      <c r="K179" s="7">
        <f>J171*(1-K157)</f>
        <v>210.59999999999997</v>
      </c>
      <c r="L179" s="7">
        <f>K171*(1-L157)</f>
        <v>4.1769000000000034</v>
      </c>
      <c r="M179" s="7">
        <f>L171*(1-M157)</f>
        <v>4.8806550000000009</v>
      </c>
    </row>
    <row r="180" spans="3:14" x14ac:dyDescent="0.3">
      <c r="C180" s="23"/>
      <c r="D180" s="23"/>
      <c r="E180" s="23"/>
      <c r="K180" s="7"/>
      <c r="L180" s="7">
        <f>K172*(1-L158)</f>
        <v>0</v>
      </c>
      <c r="M180" s="7">
        <f>L172*(1-M158)</f>
        <v>0</v>
      </c>
    </row>
    <row r="181" spans="3:14" x14ac:dyDescent="0.3">
      <c r="C181" s="81"/>
      <c r="D181" s="81"/>
      <c r="E181" s="81" t="s">
        <v>123</v>
      </c>
    </row>
    <row r="182" spans="3:14" x14ac:dyDescent="0.3">
      <c r="C182" s="23"/>
      <c r="D182" s="23"/>
      <c r="E182" s="23" t="s">
        <v>120</v>
      </c>
      <c r="J182" s="7">
        <f>I143-J150</f>
        <v>25.641025641025642</v>
      </c>
      <c r="K182" s="7">
        <f>J182-K150</f>
        <v>12.820512820512823</v>
      </c>
      <c r="L182" s="7">
        <f>K182-L150</f>
        <v>0</v>
      </c>
    </row>
    <row r="183" spans="3:14" x14ac:dyDescent="0.3">
      <c r="C183" s="24"/>
      <c r="D183" s="24"/>
      <c r="E183" s="24" t="s">
        <v>122</v>
      </c>
      <c r="J183" s="7">
        <f>I143</f>
        <v>38.46153846153846</v>
      </c>
      <c r="K183" s="7">
        <f>J182</f>
        <v>25.641025641025642</v>
      </c>
      <c r="L183" s="7">
        <f>K182</f>
        <v>12.820512820512823</v>
      </c>
    </row>
    <row r="184" spans="3:14" x14ac:dyDescent="0.3">
      <c r="C184" s="23"/>
      <c r="D184" s="23"/>
      <c r="E184" s="23" t="s">
        <v>121</v>
      </c>
      <c r="K184" s="7">
        <f>J183</f>
        <v>38.46153846153846</v>
      </c>
      <c r="L184" s="7">
        <f>K183</f>
        <v>25.641025641025642</v>
      </c>
      <c r="M184" s="7">
        <f>L183</f>
        <v>12.820512820512823</v>
      </c>
    </row>
    <row r="185" spans="3:14" x14ac:dyDescent="0.3">
      <c r="C185" s="23"/>
      <c r="D185" s="23"/>
      <c r="E185" s="23"/>
      <c r="L185" s="7"/>
      <c r="M185" s="7"/>
    </row>
    <row r="186" spans="3:14" x14ac:dyDescent="0.3">
      <c r="C186" s="23"/>
      <c r="D186" s="23"/>
      <c r="E186" s="23"/>
      <c r="L186" s="7"/>
      <c r="M186" s="7"/>
      <c r="N186" t="s">
        <v>273</v>
      </c>
    </row>
    <row r="187" spans="3:14" x14ac:dyDescent="0.3">
      <c r="C187" s="11"/>
      <c r="D187" s="11"/>
      <c r="E187" s="11" t="s">
        <v>130</v>
      </c>
      <c r="J187" s="8">
        <f>SUM(J188:J191)</f>
        <v>193500</v>
      </c>
      <c r="K187" s="8">
        <f t="shared" ref="K187:M187" si="46">SUM(K188:K191)</f>
        <v>39192.750000000007</v>
      </c>
      <c r="L187" s="8">
        <f t="shared" si="46"/>
        <v>33141.262500000004</v>
      </c>
      <c r="M187" s="8">
        <f t="shared" si="46"/>
        <v>33078.69</v>
      </c>
    </row>
    <row r="188" spans="3:14" x14ac:dyDescent="0.3">
      <c r="C188" s="23"/>
      <c r="D188" s="23"/>
      <c r="E188" s="23" t="s">
        <v>120</v>
      </c>
      <c r="J188" s="7">
        <f t="shared" ref="J188:L189" si="47">J182*J170</f>
        <v>153000</v>
      </c>
      <c r="K188" s="7">
        <f t="shared" si="47"/>
        <v>6257.2500000000036</v>
      </c>
      <c r="L188" s="7">
        <f t="shared" si="47"/>
        <v>0</v>
      </c>
    </row>
    <row r="189" spans="3:14" x14ac:dyDescent="0.3">
      <c r="C189" s="24"/>
      <c r="D189" s="24"/>
      <c r="E189" s="24" t="s">
        <v>122</v>
      </c>
      <c r="J189" s="7">
        <f t="shared" si="47"/>
        <v>40500</v>
      </c>
      <c r="K189" s="7">
        <f t="shared" si="47"/>
        <v>535.50000000000057</v>
      </c>
      <c r="L189" s="7">
        <f t="shared" si="47"/>
        <v>312.86250000000018</v>
      </c>
      <c r="M189" s="7">
        <f>M183*M171</f>
        <v>0</v>
      </c>
    </row>
    <row r="190" spans="3:14" x14ac:dyDescent="0.3">
      <c r="C190" s="23"/>
      <c r="D190" s="23"/>
      <c r="E190" s="23" t="s">
        <v>121</v>
      </c>
      <c r="K190" s="7">
        <f>K184*K172</f>
        <v>32400.000000000004</v>
      </c>
      <c r="L190" s="7">
        <f>L184*L172</f>
        <v>428.40000000000043</v>
      </c>
      <c r="M190" s="7">
        <f>M184*M172</f>
        <v>250.29000000000013</v>
      </c>
    </row>
    <row r="191" spans="3:14" x14ac:dyDescent="0.3">
      <c r="C191" s="23"/>
      <c r="D191" s="23"/>
      <c r="E191" s="23" t="s">
        <v>299</v>
      </c>
      <c r="L191" s="8">
        <f>K190</f>
        <v>32400.000000000004</v>
      </c>
      <c r="M191" s="8">
        <f>L190+L191</f>
        <v>32828.400000000001</v>
      </c>
      <c r="N191" s="8">
        <f>M190+M191</f>
        <v>33078.69</v>
      </c>
    </row>
    <row r="192" spans="3:14" x14ac:dyDescent="0.3">
      <c r="C192" s="23"/>
      <c r="D192" s="23"/>
      <c r="E192" s="23"/>
    </row>
    <row r="193" spans="3:13" x14ac:dyDescent="0.3">
      <c r="C193" s="81"/>
      <c r="D193" s="81"/>
      <c r="E193" s="81" t="s">
        <v>300</v>
      </c>
      <c r="I193" s="8">
        <f>N191</f>
        <v>33078.69</v>
      </c>
    </row>
    <row r="194" spans="3:13" x14ac:dyDescent="0.3">
      <c r="C194" s="128"/>
      <c r="D194" s="128"/>
      <c r="E194" s="128" t="s">
        <v>319</v>
      </c>
      <c r="I194" s="7">
        <f>I148-I193</f>
        <v>11921.309999999998</v>
      </c>
    </row>
    <row r="195" spans="3:13" x14ac:dyDescent="0.3">
      <c r="C195" s="11"/>
      <c r="D195" s="11"/>
      <c r="E195" s="11" t="s">
        <v>140</v>
      </c>
      <c r="J195" s="8">
        <f>SUM(J197:J200)</f>
        <v>221849.99999999997</v>
      </c>
      <c r="K195" s="8">
        <f>SUM(K197:K200)</f>
        <v>8957.2500000000018</v>
      </c>
      <c r="L195" s="8">
        <f t="shared" ref="L195:M195" si="48">SUM(L197:L200)</f>
        <v>6051.487500000002</v>
      </c>
      <c r="M195" s="8">
        <f t="shared" si="48"/>
        <v>62.572500000000005</v>
      </c>
    </row>
    <row r="196" spans="3:13" x14ac:dyDescent="0.3">
      <c r="C196" s="11"/>
      <c r="D196" s="11"/>
      <c r="E196" s="11"/>
      <c r="J196" s="8"/>
      <c r="K196" s="8"/>
      <c r="L196" s="8"/>
      <c r="M196" s="8"/>
    </row>
    <row r="197" spans="3:13" x14ac:dyDescent="0.3">
      <c r="E197" t="s">
        <v>131</v>
      </c>
      <c r="G197" s="23" t="s">
        <v>120</v>
      </c>
      <c r="J197" s="6">
        <f>J206*J151</f>
        <v>218024.99999999997</v>
      </c>
    </row>
    <row r="198" spans="3:13" x14ac:dyDescent="0.3">
      <c r="G198" s="23"/>
      <c r="J198" s="6"/>
    </row>
    <row r="199" spans="3:13" x14ac:dyDescent="0.3">
      <c r="E199" t="s">
        <v>200</v>
      </c>
      <c r="G199" s="23" t="s">
        <v>120</v>
      </c>
      <c r="J199" s="6">
        <f>J208*J150</f>
        <v>3825.0000000000027</v>
      </c>
      <c r="K199" s="27">
        <f>K178*K150</f>
        <v>3557.2500000000023</v>
      </c>
      <c r="L199" s="27">
        <f>L178*L150</f>
        <v>5944.3875000000016</v>
      </c>
      <c r="M199" s="27">
        <f>M178*M150</f>
        <v>0</v>
      </c>
    </row>
    <row r="200" spans="3:13" x14ac:dyDescent="0.3">
      <c r="E200" t="s">
        <v>200</v>
      </c>
      <c r="G200" s="24" t="s">
        <v>122</v>
      </c>
      <c r="J200" s="6"/>
      <c r="K200" s="27">
        <f>K179*(J150+K150)</f>
        <v>5399.9999999999991</v>
      </c>
      <c r="L200" s="27">
        <f>L179*(K150+L150)</f>
        <v>107.10000000000008</v>
      </c>
      <c r="M200" s="27">
        <f>M179*(L150+M150)</f>
        <v>62.572500000000005</v>
      </c>
    </row>
    <row r="202" spans="3:13" x14ac:dyDescent="0.3">
      <c r="C202" s="11"/>
      <c r="D202" s="11"/>
      <c r="E202" s="11" t="s">
        <v>283</v>
      </c>
      <c r="J202" s="8">
        <f>SUM(J199:M200)</f>
        <v>18896.310000000005</v>
      </c>
    </row>
    <row r="204" spans="3:13" x14ac:dyDescent="0.3">
      <c r="E204" t="s">
        <v>141</v>
      </c>
      <c r="J204" s="28">
        <f>J206*(K150+L150)</f>
        <v>145349.99999999997</v>
      </c>
    </row>
    <row r="206" spans="3:13" x14ac:dyDescent="0.3">
      <c r="E206" t="s">
        <v>132</v>
      </c>
      <c r="J206" s="73">
        <f>J170*I152</f>
        <v>5668.65</v>
      </c>
    </row>
    <row r="208" spans="3:13" x14ac:dyDescent="0.3">
      <c r="E208" t="s">
        <v>203</v>
      </c>
      <c r="J208" s="7">
        <f>J170*I153</f>
        <v>298.35000000000025</v>
      </c>
    </row>
    <row r="209" spans="3:34" x14ac:dyDescent="0.3">
      <c r="E209" t="s">
        <v>317</v>
      </c>
      <c r="J209" s="7">
        <f>SUM(J195:M195)</f>
        <v>236921.30999999997</v>
      </c>
    </row>
    <row r="210" spans="3:34" x14ac:dyDescent="0.3">
      <c r="E210" t="s">
        <v>318</v>
      </c>
      <c r="J210" s="7">
        <f>J209-I145</f>
        <v>11921.309999999969</v>
      </c>
    </row>
    <row r="211" spans="3:34" x14ac:dyDescent="0.3">
      <c r="E211" s="160" t="s">
        <v>219</v>
      </c>
      <c r="F211" s="161"/>
      <c r="G211" s="161"/>
      <c r="H211" s="161"/>
      <c r="I211" s="161"/>
      <c r="J211" s="161"/>
      <c r="K211" s="161"/>
      <c r="L211" s="161"/>
      <c r="M211" s="161"/>
      <c r="N211" s="161"/>
      <c r="O211" s="161"/>
      <c r="P211" s="161"/>
      <c r="Q211" s="161"/>
      <c r="R211" s="161"/>
      <c r="S211" s="162"/>
      <c r="T211" s="160"/>
      <c r="U211" s="161"/>
      <c r="V211" s="161"/>
      <c r="W211" s="161"/>
      <c r="X211" s="161"/>
      <c r="Y211" s="161"/>
      <c r="Z211" s="161"/>
      <c r="AA211" s="161"/>
      <c r="AB211" s="161"/>
      <c r="AC211" s="161"/>
      <c r="AD211" s="161"/>
      <c r="AE211" s="161"/>
      <c r="AF211" s="161"/>
      <c r="AG211" s="161"/>
      <c r="AH211" s="162"/>
    </row>
    <row r="213" spans="3:34" x14ac:dyDescent="0.3">
      <c r="E213" t="s">
        <v>197</v>
      </c>
      <c r="K213" s="83">
        <f>H48</f>
        <v>10000</v>
      </c>
    </row>
    <row r="214" spans="3:34" x14ac:dyDescent="0.3">
      <c r="E214" t="s">
        <v>199</v>
      </c>
      <c r="K214" s="7">
        <f>K216*K213</f>
        <v>620.65682910000021</v>
      </c>
      <c r="N214" s="77"/>
    </row>
    <row r="215" spans="3:34" x14ac:dyDescent="0.3">
      <c r="K215" s="7"/>
      <c r="N215" s="77"/>
    </row>
    <row r="216" spans="3:34" x14ac:dyDescent="0.3">
      <c r="C216" s="11"/>
      <c r="D216" s="11"/>
      <c r="E216" s="11" t="s">
        <v>134</v>
      </c>
      <c r="F216" s="11"/>
      <c r="G216" s="11"/>
      <c r="K216" s="85">
        <f>K217*K218*K219*K220</f>
        <v>6.2065682910000017E-2</v>
      </c>
      <c r="L216" s="11"/>
      <c r="M216" s="11"/>
      <c r="O216" s="11"/>
    </row>
    <row r="217" spans="3:34" x14ac:dyDescent="0.3">
      <c r="E217" t="s">
        <v>35</v>
      </c>
      <c r="K217" s="84">
        <f>L166</f>
        <v>6.7339000000000024E-2</v>
      </c>
    </row>
    <row r="218" spans="3:34" x14ac:dyDescent="0.3">
      <c r="E218" t="s">
        <v>36</v>
      </c>
      <c r="K218" s="86">
        <f>0.95</f>
        <v>0.95</v>
      </c>
    </row>
    <row r="219" spans="3:34" x14ac:dyDescent="0.3">
      <c r="E219" t="s">
        <v>142</v>
      </c>
      <c r="K219" s="86">
        <v>0.99</v>
      </c>
    </row>
    <row r="220" spans="3:34" x14ac:dyDescent="0.3">
      <c r="E220" t="s">
        <v>37</v>
      </c>
      <c r="K220" s="86">
        <v>0.98</v>
      </c>
    </row>
    <row r="223" spans="3:34" x14ac:dyDescent="0.3">
      <c r="E223" t="s">
        <v>125</v>
      </c>
      <c r="K223" s="83">
        <f>$F$30</f>
        <v>32.051282051282051</v>
      </c>
    </row>
    <row r="224" spans="3:34" x14ac:dyDescent="0.3">
      <c r="E224" t="s">
        <v>135</v>
      </c>
      <c r="K224" s="101">
        <f>K223</f>
        <v>32.051282051282051</v>
      </c>
    </row>
    <row r="226" spans="5:14" x14ac:dyDescent="0.3">
      <c r="E226" t="s">
        <v>126</v>
      </c>
      <c r="K226" s="88">
        <f>$H$52</f>
        <v>0.2</v>
      </c>
    </row>
    <row r="227" spans="5:14" x14ac:dyDescent="0.3">
      <c r="E227" t="s">
        <v>117</v>
      </c>
      <c r="K227" s="7">
        <f>K226*K223</f>
        <v>6.4102564102564106</v>
      </c>
    </row>
    <row r="229" spans="5:14" s="102" customFormat="1" x14ac:dyDescent="0.3">
      <c r="E229" s="102" t="s">
        <v>118</v>
      </c>
      <c r="K229" s="27">
        <f>K224</f>
        <v>32.051282051282051</v>
      </c>
    </row>
    <row r="230" spans="5:14" x14ac:dyDescent="0.3">
      <c r="E230" t="s">
        <v>106</v>
      </c>
      <c r="K230" s="7">
        <f>K223*(1+K226)</f>
        <v>38.46153846153846</v>
      </c>
    </row>
    <row r="231" spans="5:14" x14ac:dyDescent="0.3">
      <c r="K231" s="7"/>
    </row>
    <row r="232" spans="5:14" x14ac:dyDescent="0.3">
      <c r="E232" t="s">
        <v>136</v>
      </c>
      <c r="K232" s="7">
        <f>K229*K214</f>
        <v>19892.84708653847</v>
      </c>
    </row>
    <row r="233" spans="5:14" x14ac:dyDescent="0.3">
      <c r="E233" t="s">
        <v>119</v>
      </c>
      <c r="K233" s="7">
        <f>K230*K214</f>
        <v>23871.416503846162</v>
      </c>
    </row>
    <row r="234" spans="5:14" x14ac:dyDescent="0.3">
      <c r="K234" s="7"/>
    </row>
    <row r="235" spans="5:14" x14ac:dyDescent="0.3">
      <c r="E235" t="s">
        <v>302</v>
      </c>
      <c r="K235" s="6">
        <f>K227*K214</f>
        <v>3978.569417307694</v>
      </c>
    </row>
    <row r="236" spans="5:14" x14ac:dyDescent="0.3">
      <c r="K236" s="7"/>
    </row>
    <row r="237" spans="5:14" x14ac:dyDescent="0.3">
      <c r="E237" t="s">
        <v>127</v>
      </c>
      <c r="L237" s="7">
        <f>K230/3</f>
        <v>12.820512820512819</v>
      </c>
      <c r="M237" s="7">
        <f>K230/3</f>
        <v>12.820512820512819</v>
      </c>
      <c r="N237" s="7">
        <f>K230/3</f>
        <v>12.820512820512819</v>
      </c>
    </row>
    <row r="238" spans="5:14" x14ac:dyDescent="0.3">
      <c r="L238" s="7">
        <f>K230</f>
        <v>38.46153846153846</v>
      </c>
    </row>
    <row r="239" spans="5:14" x14ac:dyDescent="0.3">
      <c r="E239" t="s">
        <v>128</v>
      </c>
      <c r="K239" s="21">
        <f>'Summary500-600'!E39</f>
        <v>0.95</v>
      </c>
    </row>
    <row r="240" spans="5:14" x14ac:dyDescent="0.3">
      <c r="E240" t="s">
        <v>129</v>
      </c>
      <c r="K240" s="21">
        <f>1-K239</f>
        <v>5.0000000000000044E-2</v>
      </c>
    </row>
    <row r="242" spans="3:16" x14ac:dyDescent="0.3">
      <c r="C242" s="71"/>
      <c r="D242" s="71"/>
      <c r="E242" s="71" t="s">
        <v>16</v>
      </c>
    </row>
    <row r="243" spans="3:16" x14ac:dyDescent="0.3">
      <c r="E243" t="s">
        <v>17</v>
      </c>
      <c r="L243" s="74">
        <f>'Summary500-600'!$D$65</f>
        <v>0.15</v>
      </c>
      <c r="M243" s="74">
        <f>'Summary500-600'!$D$66</f>
        <v>7.0000000000000007E-2</v>
      </c>
      <c r="N243" s="74">
        <f>'Summary500-600'!$D$67</f>
        <v>0.05</v>
      </c>
      <c r="O243" s="75"/>
      <c r="P243" s="75"/>
    </row>
    <row r="244" spans="3:16" x14ac:dyDescent="0.3">
      <c r="E244" t="s">
        <v>18</v>
      </c>
      <c r="G244" s="75"/>
      <c r="M244" s="74">
        <f>'Summary500-600'!$D$68</f>
        <v>0.8</v>
      </c>
      <c r="N244" s="76">
        <f>M244</f>
        <v>0.8</v>
      </c>
      <c r="O244" s="76">
        <f>N244</f>
        <v>0.8</v>
      </c>
      <c r="P244" s="75"/>
    </row>
    <row r="245" spans="3:16" x14ac:dyDescent="0.3">
      <c r="E245" t="s">
        <v>19</v>
      </c>
      <c r="G245" s="75"/>
      <c r="M245" s="75"/>
      <c r="N245" s="74">
        <f>'Summary500-600'!$D$69</f>
        <v>1</v>
      </c>
      <c r="O245" s="76">
        <f>N245</f>
        <v>1</v>
      </c>
      <c r="P245" s="76">
        <f>O245</f>
        <v>1</v>
      </c>
    </row>
    <row r="246" spans="3:16" x14ac:dyDescent="0.3">
      <c r="E246" t="s">
        <v>20</v>
      </c>
      <c r="N246" s="21"/>
    </row>
    <row r="247" spans="3:16" x14ac:dyDescent="0.3">
      <c r="N247" s="21"/>
    </row>
    <row r="248" spans="3:16" x14ac:dyDescent="0.3">
      <c r="C248" s="11"/>
      <c r="D248" s="11"/>
      <c r="E248" s="11" t="s">
        <v>196</v>
      </c>
      <c r="N248" s="21"/>
    </row>
    <row r="249" spans="3:16" x14ac:dyDescent="0.3">
      <c r="E249" t="s">
        <v>17</v>
      </c>
      <c r="L249" s="22">
        <f>(1-L243)*K240</f>
        <v>4.2500000000000038E-2</v>
      </c>
      <c r="M249" s="22">
        <f>L249*(1-M243)+L250*(1-M244)</f>
        <v>6.9525000000000031E-2</v>
      </c>
    </row>
    <row r="250" spans="3:16" x14ac:dyDescent="0.3">
      <c r="E250" t="s">
        <v>18</v>
      </c>
      <c r="L250" s="22">
        <f>L243</f>
        <v>0.15</v>
      </c>
      <c r="M250" s="22">
        <f>L249*M243</f>
        <v>2.9750000000000028E-3</v>
      </c>
      <c r="N250" s="22">
        <f>M249*N243</f>
        <v>3.4762500000000019E-3</v>
      </c>
      <c r="P250" s="22"/>
    </row>
    <row r="251" spans="3:16" x14ac:dyDescent="0.3">
      <c r="E251" t="s">
        <v>19</v>
      </c>
      <c r="M251" s="22">
        <f>L250*M244</f>
        <v>0.12</v>
      </c>
      <c r="N251" s="22">
        <f>M250*N244+M251</f>
        <v>0.12238</v>
      </c>
      <c r="O251" s="22">
        <f>N250*O244+N251</f>
        <v>0.12516099999999999</v>
      </c>
    </row>
    <row r="252" spans="3:16" x14ac:dyDescent="0.3">
      <c r="M252" s="22"/>
      <c r="N252" s="22"/>
    </row>
    <row r="253" spans="3:16" x14ac:dyDescent="0.3">
      <c r="E253" t="s">
        <v>195</v>
      </c>
      <c r="L253" s="22">
        <f>(1-L243)*K239</f>
        <v>0.8075</v>
      </c>
      <c r="N253" s="29">
        <f>M249*(1-N243)+M250*(1-N244)+M251*(1-N245)</f>
        <v>6.6643750000000029E-2</v>
      </c>
      <c r="O253" s="29">
        <f>N250*(1-O244)+N253</f>
        <v>6.7339000000000024E-2</v>
      </c>
      <c r="P253" s="22"/>
    </row>
    <row r="254" spans="3:16" x14ac:dyDescent="0.3">
      <c r="L254" s="22"/>
      <c r="N254" s="29"/>
      <c r="O254" s="29"/>
      <c r="P254" s="22"/>
    </row>
    <row r="255" spans="3:16" x14ac:dyDescent="0.3">
      <c r="L255" s="25" t="s">
        <v>32</v>
      </c>
    </row>
    <row r="256" spans="3:16" x14ac:dyDescent="0.3">
      <c r="C256" s="11"/>
      <c r="D256" s="11"/>
      <c r="E256" s="11" t="s">
        <v>124</v>
      </c>
      <c r="L256" s="8">
        <f>SUM(L257:L260)</f>
        <v>620.65682910000021</v>
      </c>
      <c r="M256" s="8">
        <f t="shared" ref="M256:N256" si="49">SUM(M257:M260)</f>
        <v>119.47643960175006</v>
      </c>
      <c r="N256" s="8">
        <f t="shared" si="49"/>
        <v>78.113541047416902</v>
      </c>
    </row>
    <row r="257" spans="3:16" x14ac:dyDescent="0.3">
      <c r="C257" s="23"/>
      <c r="D257" s="23"/>
      <c r="E257" s="23" t="s">
        <v>120</v>
      </c>
      <c r="L257" s="7">
        <f>K214*(1-L243)</f>
        <v>527.55830473500021</v>
      </c>
      <c r="M257" s="82">
        <f>K295*(1-M243)+L258*(1-M244)</f>
        <v>43.151166043177533</v>
      </c>
    </row>
    <row r="258" spans="3:16" x14ac:dyDescent="0.3">
      <c r="C258" s="24"/>
      <c r="D258" s="24"/>
      <c r="E258" s="24" t="s">
        <v>122</v>
      </c>
      <c r="L258" s="7">
        <f>K214*L243</f>
        <v>93.098524365000031</v>
      </c>
      <c r="M258" s="7">
        <f>K295*M243</f>
        <v>1.8464540665725027</v>
      </c>
      <c r="N258" s="7">
        <f>M257*N243</f>
        <v>2.1575583021588769</v>
      </c>
      <c r="O258" s="7">
        <f>N257*O243</f>
        <v>0</v>
      </c>
    </row>
    <row r="259" spans="3:16" x14ac:dyDescent="0.3">
      <c r="C259" s="23"/>
      <c r="D259" s="23"/>
      <c r="E259" s="23" t="s">
        <v>121</v>
      </c>
      <c r="M259" s="7">
        <f>L258*M244</f>
        <v>74.478819492000028</v>
      </c>
      <c r="N259" s="7">
        <f>M258*N244</f>
        <v>1.4771632532580021</v>
      </c>
      <c r="O259" s="7">
        <f>N258*O244</f>
        <v>1.7260466417271016</v>
      </c>
    </row>
    <row r="260" spans="3:16" x14ac:dyDescent="0.3">
      <c r="C260" s="23"/>
      <c r="D260" s="23"/>
      <c r="E260" s="23" t="s">
        <v>138</v>
      </c>
      <c r="M260" s="7"/>
      <c r="N260" s="7">
        <f>M259*N245</f>
        <v>74.478819492000028</v>
      </c>
      <c r="O260" s="7">
        <f>N259*O245+N260</f>
        <v>75.955982745258027</v>
      </c>
      <c r="P260" s="7">
        <f>O259*P245+O260</f>
        <v>77.682029386985121</v>
      </c>
    </row>
    <row r="261" spans="3:16" x14ac:dyDescent="0.3">
      <c r="C261" s="23"/>
      <c r="D261" s="23"/>
      <c r="E261" s="23"/>
      <c r="M261" s="7"/>
    </row>
    <row r="262" spans="3:16" x14ac:dyDescent="0.3">
      <c r="C262" s="23"/>
      <c r="D262" s="23"/>
      <c r="E262" s="23" t="s">
        <v>137</v>
      </c>
      <c r="M262" s="7"/>
      <c r="N262" s="7">
        <f>M257*(1-N243)+M258*(1-N244)+M259*(1-N245)</f>
        <v>41.362898554333157</v>
      </c>
      <c r="O262" s="7">
        <f>N258*(1-O244)+N262</f>
        <v>41.79441021476493</v>
      </c>
      <c r="P262" s="7">
        <f>O259*(1-P245)+O262</f>
        <v>41.79441021476493</v>
      </c>
    </row>
    <row r="263" spans="3:16" x14ac:dyDescent="0.3">
      <c r="C263" s="23"/>
      <c r="D263" s="23"/>
      <c r="E263" s="23"/>
      <c r="M263" s="7"/>
    </row>
    <row r="264" spans="3:16" x14ac:dyDescent="0.3">
      <c r="C264" s="11"/>
      <c r="D264" s="11"/>
      <c r="E264" s="11" t="s">
        <v>139</v>
      </c>
      <c r="L264" s="8">
        <f>SUM(L265:L266)</f>
        <v>527.55830473500021</v>
      </c>
      <c r="M264" s="8">
        <f>SUM(M265:M266)</f>
        <v>43.151166043177533</v>
      </c>
      <c r="N264" s="8">
        <f>SUM(N265:N266)</f>
        <v>41.362898554333157</v>
      </c>
      <c r="O264" s="8">
        <f>SUM(O265:O266)</f>
        <v>0.4315116604317753</v>
      </c>
    </row>
    <row r="265" spans="3:16" x14ac:dyDescent="0.3">
      <c r="C265" s="23"/>
      <c r="D265" s="23"/>
      <c r="E265" s="23" t="s">
        <v>120</v>
      </c>
      <c r="L265" s="7">
        <f>L257</f>
        <v>527.55830473500021</v>
      </c>
      <c r="M265" s="82">
        <f>K295*(1-M243)</f>
        <v>24.531461170177529</v>
      </c>
      <c r="N265" s="7">
        <f>M257*(1-N243)</f>
        <v>40.993607741018657</v>
      </c>
    </row>
    <row r="266" spans="3:16" x14ac:dyDescent="0.3">
      <c r="C266" s="24"/>
      <c r="D266" s="24"/>
      <c r="E266" s="24" t="s">
        <v>122</v>
      </c>
      <c r="M266" s="7">
        <f>L258*(1-M244)</f>
        <v>18.619704873000003</v>
      </c>
      <c r="N266" s="7">
        <f>M258*(1-N244)</f>
        <v>0.36929081331450048</v>
      </c>
      <c r="O266" s="7">
        <f>N258*(1-O244)</f>
        <v>0.4315116604317753</v>
      </c>
    </row>
    <row r="267" spans="3:16" x14ac:dyDescent="0.3">
      <c r="C267" s="23"/>
      <c r="D267" s="23"/>
      <c r="E267" s="23"/>
      <c r="M267" s="7"/>
      <c r="N267" s="7">
        <f>M259*(1-N245)</f>
        <v>0</v>
      </c>
      <c r="O267" s="7">
        <f>N259*(1-O245)</f>
        <v>0</v>
      </c>
    </row>
    <row r="268" spans="3:16" x14ac:dyDescent="0.3">
      <c r="C268" s="81"/>
      <c r="D268" s="81"/>
      <c r="E268" s="81" t="s">
        <v>123</v>
      </c>
    </row>
    <row r="269" spans="3:16" x14ac:dyDescent="0.3">
      <c r="C269" s="23"/>
      <c r="D269" s="23"/>
      <c r="E269" s="23" t="s">
        <v>120</v>
      </c>
      <c r="L269" s="7">
        <f>K230-L237</f>
        <v>25.641025641025642</v>
      </c>
      <c r="M269" s="7">
        <f>L269-M237</f>
        <v>12.820512820512823</v>
      </c>
      <c r="N269" s="7">
        <f>M269-N237</f>
        <v>0</v>
      </c>
    </row>
    <row r="270" spans="3:16" x14ac:dyDescent="0.3">
      <c r="C270" s="24"/>
      <c r="D270" s="24"/>
      <c r="E270" s="24" t="s">
        <v>122</v>
      </c>
      <c r="L270" s="7">
        <f>K230</f>
        <v>38.46153846153846</v>
      </c>
      <c r="M270" s="7">
        <f>L269</f>
        <v>25.641025641025642</v>
      </c>
      <c r="N270" s="7">
        <f>M269</f>
        <v>12.820512820512823</v>
      </c>
    </row>
    <row r="271" spans="3:16" x14ac:dyDescent="0.3">
      <c r="C271" s="23"/>
      <c r="D271" s="23"/>
      <c r="E271" s="23" t="s">
        <v>121</v>
      </c>
      <c r="M271" s="7">
        <f>L270</f>
        <v>38.46153846153846</v>
      </c>
      <c r="N271" s="7">
        <f>M270</f>
        <v>25.641025641025642</v>
      </c>
      <c r="O271" s="7">
        <f>N270</f>
        <v>12.820512820512823</v>
      </c>
    </row>
    <row r="272" spans="3:16" x14ac:dyDescent="0.3">
      <c r="C272" s="23"/>
      <c r="D272" s="23"/>
      <c r="E272" s="23"/>
      <c r="N272" s="7"/>
      <c r="O272" s="7"/>
    </row>
    <row r="273" spans="3:16" x14ac:dyDescent="0.3">
      <c r="C273" s="23"/>
      <c r="D273" s="23"/>
      <c r="E273" s="23"/>
      <c r="N273" s="7"/>
      <c r="O273" s="7"/>
    </row>
    <row r="274" spans="3:16" x14ac:dyDescent="0.3">
      <c r="C274" s="11"/>
      <c r="D274" s="11"/>
      <c r="E274" s="11" t="s">
        <v>130</v>
      </c>
      <c r="L274" s="8">
        <f>SUM(L275:L278)</f>
        <v>17107.848494423084</v>
      </c>
      <c r="M274" s="8">
        <f t="shared" ref="M274:O274" si="50">SUM(M275:M278)</f>
        <v>3465.1350340041358</v>
      </c>
      <c r="N274" s="8">
        <f t="shared" si="50"/>
        <v>2930.1069651881403</v>
      </c>
      <c r="O274" s="8">
        <f t="shared" si="50"/>
        <v>2924.5747644133739</v>
      </c>
    </row>
    <row r="275" spans="3:16" x14ac:dyDescent="0.3">
      <c r="C275" s="23"/>
      <c r="D275" s="23"/>
      <c r="E275" s="23" t="s">
        <v>120</v>
      </c>
      <c r="L275" s="7">
        <f t="shared" ref="L275:N276" si="51">L269*L257</f>
        <v>13527.13601884616</v>
      </c>
      <c r="M275" s="7">
        <f t="shared" si="51"/>
        <v>553.22007747663508</v>
      </c>
      <c r="N275" s="7">
        <f t="shared" si="51"/>
        <v>0</v>
      </c>
    </row>
    <row r="276" spans="3:16" x14ac:dyDescent="0.3">
      <c r="C276" s="24"/>
      <c r="D276" s="24"/>
      <c r="E276" s="24" t="s">
        <v>122</v>
      </c>
      <c r="L276" s="7">
        <f t="shared" si="51"/>
        <v>3580.7124755769241</v>
      </c>
      <c r="M276" s="7">
        <f t="shared" si="51"/>
        <v>47.34497606596161</v>
      </c>
      <c r="N276" s="7">
        <f t="shared" si="51"/>
        <v>27.66100387383176</v>
      </c>
      <c r="O276" s="7">
        <f>O270*O258</f>
        <v>0</v>
      </c>
    </row>
    <row r="277" spans="3:16" x14ac:dyDescent="0.3">
      <c r="C277" s="23"/>
      <c r="D277" s="23"/>
      <c r="E277" s="23" t="s">
        <v>121</v>
      </c>
      <c r="M277" s="7">
        <f>M271*M259</f>
        <v>2864.5699804615392</v>
      </c>
      <c r="N277" s="7">
        <f>N271*N259</f>
        <v>37.875980852769288</v>
      </c>
      <c r="O277" s="7">
        <f>O271*O259</f>
        <v>22.128803099065411</v>
      </c>
    </row>
    <row r="278" spans="3:16" x14ac:dyDescent="0.3">
      <c r="C278" s="23"/>
      <c r="D278" s="23"/>
      <c r="E278" s="23" t="s">
        <v>299</v>
      </c>
      <c r="N278" s="8">
        <f>M277</f>
        <v>2864.5699804615392</v>
      </c>
      <c r="O278" s="8">
        <f>N278+N277</f>
        <v>2902.4459613143085</v>
      </c>
      <c r="P278" s="8">
        <f>O278+O277</f>
        <v>2924.5747644133739</v>
      </c>
    </row>
    <row r="279" spans="3:16" x14ac:dyDescent="0.3">
      <c r="C279" s="23"/>
      <c r="D279" s="23"/>
      <c r="E279" s="23"/>
    </row>
    <row r="280" spans="3:16" x14ac:dyDescent="0.3">
      <c r="C280" s="105"/>
      <c r="D280" s="105"/>
      <c r="E280" s="105" t="s">
        <v>300</v>
      </c>
      <c r="K280" s="8">
        <f>P278</f>
        <v>2924.5747644133739</v>
      </c>
    </row>
    <row r="281" spans="3:16" x14ac:dyDescent="0.3">
      <c r="C281" s="23"/>
      <c r="D281" s="23"/>
      <c r="E281" s="23"/>
    </row>
    <row r="282" spans="3:16" x14ac:dyDescent="0.3">
      <c r="C282" s="11"/>
      <c r="D282" s="11"/>
      <c r="E282" s="11" t="s">
        <v>140</v>
      </c>
      <c r="K282" s="8">
        <f>SUM(K284:K287)</f>
        <v>19614.347227326929</v>
      </c>
      <c r="L282" s="8">
        <f>SUM(L284:L287)</f>
        <v>791.93424251509657</v>
      </c>
      <c r="M282" s="8">
        <f t="shared" ref="M282:N282" si="52">SUM(M284:M287)</f>
        <v>535.02806881599554</v>
      </c>
      <c r="N282" s="8">
        <f t="shared" si="52"/>
        <v>5.5322007747663493</v>
      </c>
    </row>
    <row r="283" spans="3:16" x14ac:dyDescent="0.3">
      <c r="C283" s="11"/>
      <c r="D283" s="11"/>
      <c r="E283" s="11"/>
      <c r="K283" s="8"/>
      <c r="L283" s="8"/>
      <c r="M283" s="8"/>
      <c r="N283" s="8"/>
    </row>
    <row r="284" spans="3:16" x14ac:dyDescent="0.3">
      <c r="E284" t="s">
        <v>131</v>
      </c>
      <c r="G284" s="23" t="s">
        <v>120</v>
      </c>
      <c r="K284" s="6">
        <f>K293*L238</f>
        <v>19276.168826855774</v>
      </c>
    </row>
    <row r="285" spans="3:16" x14ac:dyDescent="0.3">
      <c r="G285" s="23"/>
      <c r="K285" s="6"/>
    </row>
    <row r="286" spans="3:16" x14ac:dyDescent="0.3">
      <c r="E286" t="s">
        <v>200</v>
      </c>
      <c r="G286" s="23" t="s">
        <v>120</v>
      </c>
      <c r="K286" s="6">
        <f>K295*L237</f>
        <v>338.17840047115425</v>
      </c>
      <c r="L286" s="27">
        <f>M265*M237</f>
        <v>314.50591243817343</v>
      </c>
      <c r="M286" s="27">
        <f>N265*N237</f>
        <v>525.55907360280321</v>
      </c>
      <c r="N286" s="27">
        <f>O265*O237</f>
        <v>0</v>
      </c>
      <c r="O286" s="27"/>
    </row>
    <row r="287" spans="3:16" x14ac:dyDescent="0.3">
      <c r="E287" t="s">
        <v>200</v>
      </c>
      <c r="G287" s="24" t="s">
        <v>122</v>
      </c>
      <c r="K287" s="6"/>
      <c r="L287" s="27">
        <f>M266*(L237+M237)</f>
        <v>477.42833007692315</v>
      </c>
      <c r="M287" s="27">
        <f>N266*(M237+N237)</f>
        <v>9.4689952131923185</v>
      </c>
      <c r="N287" s="27">
        <f>O266*(N237+O237)</f>
        <v>5.5322007747663493</v>
      </c>
      <c r="O287" s="27"/>
    </row>
    <row r="289" spans="3:25" x14ac:dyDescent="0.3">
      <c r="C289" s="11"/>
      <c r="D289" s="11"/>
      <c r="E289" s="11" t="s">
        <v>283</v>
      </c>
      <c r="K289" s="8">
        <f>SUM(K286:N287)</f>
        <v>1670.6729125770128</v>
      </c>
    </row>
    <row r="291" spans="3:25" x14ac:dyDescent="0.3">
      <c r="E291" t="s">
        <v>202</v>
      </c>
      <c r="K291" s="28">
        <f>K293*(M237+N237)</f>
        <v>12850.77921790385</v>
      </c>
    </row>
    <row r="293" spans="3:25" x14ac:dyDescent="0.3">
      <c r="C293" s="72"/>
      <c r="D293" s="72"/>
      <c r="E293" s="72" t="s">
        <v>132</v>
      </c>
      <c r="K293" s="73">
        <f>L257*K239</f>
        <v>501.18038949825018</v>
      </c>
    </row>
    <row r="295" spans="3:25" x14ac:dyDescent="0.3">
      <c r="E295" t="s">
        <v>201</v>
      </c>
      <c r="K295" s="7">
        <f>L257*K240</f>
        <v>26.377915236750034</v>
      </c>
    </row>
    <row r="298" spans="3:25" x14ac:dyDescent="0.3">
      <c r="E298" s="152" t="s">
        <v>221</v>
      </c>
      <c r="F298" s="153"/>
      <c r="G298" s="153"/>
      <c r="H298" s="153"/>
      <c r="I298" s="153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4"/>
    </row>
    <row r="300" spans="3:25" x14ac:dyDescent="0.3">
      <c r="E300" t="s">
        <v>197</v>
      </c>
      <c r="J300" s="83">
        <f>J206</f>
        <v>5668.65</v>
      </c>
    </row>
    <row r="301" spans="3:25" x14ac:dyDescent="0.3">
      <c r="E301" t="s">
        <v>199</v>
      </c>
      <c r="J301" s="7">
        <f>J303*J300</f>
        <v>5668.65</v>
      </c>
      <c r="M301" s="77"/>
    </row>
    <row r="302" spans="3:25" x14ac:dyDescent="0.3">
      <c r="J302" s="7"/>
      <c r="M302" s="77"/>
    </row>
    <row r="303" spans="3:25" x14ac:dyDescent="0.3">
      <c r="C303" s="11"/>
      <c r="D303" s="11"/>
      <c r="E303" s="11" t="s">
        <v>134</v>
      </c>
      <c r="F303" s="11"/>
      <c r="G303" s="11"/>
      <c r="J303" s="104">
        <f>$I$129</f>
        <v>1</v>
      </c>
      <c r="K303" s="11"/>
      <c r="L303" s="11"/>
      <c r="N303" s="11"/>
    </row>
    <row r="304" spans="3:25" x14ac:dyDescent="0.3">
      <c r="E304" t="s">
        <v>35</v>
      </c>
      <c r="J304" s="84">
        <f>M253</f>
        <v>0</v>
      </c>
    </row>
    <row r="305" spans="5:10" x14ac:dyDescent="0.3">
      <c r="E305" t="s">
        <v>36</v>
      </c>
      <c r="J305" s="89">
        <f>0.95</f>
        <v>0.95</v>
      </c>
    </row>
    <row r="306" spans="5:10" x14ac:dyDescent="0.3">
      <c r="E306" t="s">
        <v>142</v>
      </c>
      <c r="J306" s="89">
        <v>0.99</v>
      </c>
    </row>
    <row r="307" spans="5:10" x14ac:dyDescent="0.3">
      <c r="E307" t="s">
        <v>37</v>
      </c>
      <c r="J307" s="89">
        <v>0.98</v>
      </c>
    </row>
    <row r="310" spans="5:10" x14ac:dyDescent="0.3">
      <c r="E310" t="s">
        <v>125</v>
      </c>
      <c r="J310" s="83">
        <f>$F$32</f>
        <v>32.051282051282051</v>
      </c>
    </row>
    <row r="311" spans="5:10" x14ac:dyDescent="0.3">
      <c r="E311" t="s">
        <v>135</v>
      </c>
      <c r="J311" s="82">
        <f>J310</f>
        <v>32.051282051282051</v>
      </c>
    </row>
    <row r="313" spans="5:10" x14ac:dyDescent="0.3">
      <c r="E313" t="s">
        <v>126</v>
      </c>
      <c r="J313" s="88">
        <f>$H$52</f>
        <v>0.2</v>
      </c>
    </row>
    <row r="314" spans="5:10" x14ac:dyDescent="0.3">
      <c r="E314" t="s">
        <v>117</v>
      </c>
      <c r="J314" s="7">
        <f>J313*J310</f>
        <v>6.4102564102564106</v>
      </c>
    </row>
    <row r="316" spans="5:10" x14ac:dyDescent="0.3">
      <c r="E316" t="s">
        <v>118</v>
      </c>
      <c r="J316" s="7">
        <f>J311</f>
        <v>32.051282051282051</v>
      </c>
    </row>
    <row r="317" spans="5:10" x14ac:dyDescent="0.3">
      <c r="E317" t="s">
        <v>106</v>
      </c>
      <c r="J317" s="7">
        <f>J310*(1+J313)</f>
        <v>38.46153846153846</v>
      </c>
    </row>
    <row r="318" spans="5:10" x14ac:dyDescent="0.3">
      <c r="J318" s="7"/>
    </row>
    <row r="319" spans="5:10" x14ac:dyDescent="0.3">
      <c r="E319" t="s">
        <v>136</v>
      </c>
      <c r="J319" s="7">
        <f>J316*J301</f>
        <v>181687.5</v>
      </c>
    </row>
    <row r="320" spans="5:10" x14ac:dyDescent="0.3">
      <c r="E320" t="s">
        <v>119</v>
      </c>
      <c r="J320" s="7">
        <f>J317*J301</f>
        <v>218024.99999999997</v>
      </c>
    </row>
    <row r="321" spans="3:15" x14ac:dyDescent="0.3">
      <c r="J321" s="7"/>
    </row>
    <row r="322" spans="3:15" x14ac:dyDescent="0.3">
      <c r="E322" t="s">
        <v>302</v>
      </c>
      <c r="J322" s="6">
        <f>J314*J301</f>
        <v>36337.5</v>
      </c>
    </row>
    <row r="323" spans="3:15" x14ac:dyDescent="0.3">
      <c r="J323" s="7"/>
    </row>
    <row r="324" spans="3:15" x14ac:dyDescent="0.3">
      <c r="E324" t="s">
        <v>127</v>
      </c>
      <c r="K324" s="7">
        <f>J317/3</f>
        <v>12.820512820512819</v>
      </c>
      <c r="L324" s="7">
        <f>J317/3</f>
        <v>12.820512820512819</v>
      </c>
      <c r="M324" s="7">
        <f>J317/3</f>
        <v>12.820512820512819</v>
      </c>
    </row>
    <row r="325" spans="3:15" x14ac:dyDescent="0.3">
      <c r="K325" s="7">
        <f>J317</f>
        <v>38.46153846153846</v>
      </c>
    </row>
    <row r="326" spans="3:15" x14ac:dyDescent="0.3">
      <c r="E326" t="s">
        <v>128</v>
      </c>
      <c r="J326" s="21">
        <f>'Summary500-600'!C40</f>
        <v>0.95</v>
      </c>
    </row>
    <row r="327" spans="3:15" x14ac:dyDescent="0.3">
      <c r="E327" t="s">
        <v>129</v>
      </c>
      <c r="J327" s="21">
        <f>1-J326</f>
        <v>5.0000000000000044E-2</v>
      </c>
    </row>
    <row r="329" spans="3:15" x14ac:dyDescent="0.3">
      <c r="C329" s="71"/>
      <c r="D329" s="71"/>
      <c r="E329" s="71" t="s">
        <v>16</v>
      </c>
    </row>
    <row r="330" spans="3:15" x14ac:dyDescent="0.3">
      <c r="E330" t="s">
        <v>17</v>
      </c>
      <c r="K330" s="74">
        <f>'Summary500-600'!$C$72</f>
        <v>0.13</v>
      </c>
      <c r="L330" s="74">
        <f>'Summary500-600'!$C$73</f>
        <v>0.04</v>
      </c>
      <c r="M330" s="74">
        <f>'Summary500-600'!$C$74</f>
        <v>0.03</v>
      </c>
      <c r="N330" s="75"/>
      <c r="O330" s="75"/>
    </row>
    <row r="331" spans="3:15" x14ac:dyDescent="0.3">
      <c r="E331" t="s">
        <v>18</v>
      </c>
      <c r="G331" s="75"/>
      <c r="L331" s="74">
        <f>'Summary500-600'!$C$75</f>
        <v>0.8</v>
      </c>
      <c r="M331" s="76">
        <f>L331</f>
        <v>0.8</v>
      </c>
      <c r="N331" s="76">
        <f>M331</f>
        <v>0.8</v>
      </c>
      <c r="O331" s="75"/>
    </row>
    <row r="332" spans="3:15" x14ac:dyDescent="0.3">
      <c r="E332" t="s">
        <v>19</v>
      </c>
      <c r="G332" s="75"/>
      <c r="L332" s="75"/>
      <c r="M332" s="74">
        <f>'Summary500-600'!$C$76</f>
        <v>1</v>
      </c>
      <c r="N332" s="74">
        <f>M332</f>
        <v>1</v>
      </c>
      <c r="O332" s="74">
        <f>N332</f>
        <v>1</v>
      </c>
    </row>
    <row r="333" spans="3:15" x14ac:dyDescent="0.3">
      <c r="E333" t="s">
        <v>20</v>
      </c>
      <c r="M333" s="21"/>
    </row>
    <row r="334" spans="3:15" x14ac:dyDescent="0.3">
      <c r="M334" s="21"/>
    </row>
    <row r="335" spans="3:15" x14ac:dyDescent="0.3">
      <c r="C335" s="11"/>
      <c r="D335" s="11"/>
      <c r="E335" s="11" t="s">
        <v>196</v>
      </c>
      <c r="K335" s="90">
        <f>SUM(K336:K339)</f>
        <v>0.17350000000000004</v>
      </c>
      <c r="L335" s="90">
        <f t="shared" ref="L335:N335" si="53">SUM(L336:L339)</f>
        <v>0.17350000000000004</v>
      </c>
      <c r="M335" s="90">
        <f t="shared" si="53"/>
        <v>0.10742480000000001</v>
      </c>
      <c r="N335" s="90">
        <f t="shared" si="53"/>
        <v>0.10701824000000001</v>
      </c>
    </row>
    <row r="336" spans="3:15" x14ac:dyDescent="0.3">
      <c r="E336" t="s">
        <v>17</v>
      </c>
      <c r="K336" s="22">
        <f>(1-K330)*J327</f>
        <v>4.3500000000000039E-2</v>
      </c>
      <c r="L336" s="22">
        <f>K336*(1-L330)+K337*(1-L331)</f>
        <v>6.7760000000000029E-2</v>
      </c>
    </row>
    <row r="337" spans="3:15" x14ac:dyDescent="0.3">
      <c r="E337" t="s">
        <v>18</v>
      </c>
      <c r="K337" s="22">
        <f>K330</f>
        <v>0.13</v>
      </c>
      <c r="L337" s="22">
        <f>K336*L330</f>
        <v>1.7400000000000015E-3</v>
      </c>
      <c r="M337" s="22">
        <f>L336*M330</f>
        <v>2.0328000000000008E-3</v>
      </c>
      <c r="O337" s="22"/>
    </row>
    <row r="338" spans="3:15" x14ac:dyDescent="0.3">
      <c r="E338" t="s">
        <v>19</v>
      </c>
      <c r="L338" s="22">
        <f>K337*L331</f>
        <v>0.10400000000000001</v>
      </c>
      <c r="M338" s="22">
        <f>L337*M331+L338</f>
        <v>0.10539200000000001</v>
      </c>
      <c r="N338" s="22">
        <f>M337*N331+M338</f>
        <v>0.10701824000000001</v>
      </c>
    </row>
    <row r="339" spans="3:15" x14ac:dyDescent="0.3">
      <c r="L339" s="22"/>
      <c r="M339" s="22"/>
    </row>
    <row r="340" spans="3:15" x14ac:dyDescent="0.3">
      <c r="E340" t="s">
        <v>195</v>
      </c>
      <c r="K340" s="22">
        <f>(1-K330)*J326</f>
        <v>0.82650000000000001</v>
      </c>
      <c r="M340" s="29">
        <f>L336*(1-M330)+L337*(1-M331)+L338*(1-M332)</f>
        <v>6.6075200000000028E-2</v>
      </c>
      <c r="N340" s="29">
        <f>M337*(1-N331)+M340</f>
        <v>6.6481760000000029E-2</v>
      </c>
      <c r="O340" s="22"/>
    </row>
    <row r="341" spans="3:15" x14ac:dyDescent="0.3">
      <c r="K341" s="22"/>
      <c r="M341" s="29"/>
      <c r="N341" s="29"/>
      <c r="O341" s="22"/>
    </row>
    <row r="342" spans="3:15" x14ac:dyDescent="0.3">
      <c r="K342" s="25" t="s">
        <v>32</v>
      </c>
    </row>
    <row r="343" spans="3:15" x14ac:dyDescent="0.3">
      <c r="C343" s="11"/>
      <c r="D343" s="11"/>
      <c r="E343" s="11" t="s">
        <v>124</v>
      </c>
      <c r="K343" s="8">
        <f>SUM(K344:K347)</f>
        <v>5668.65</v>
      </c>
      <c r="L343" s="8">
        <f t="shared" ref="L343:M343" si="54">SUM(L344:L347)</f>
        <v>983.51077500000008</v>
      </c>
      <c r="M343" s="8">
        <f t="shared" si="54"/>
        <v>608.95359251999992</v>
      </c>
    </row>
    <row r="344" spans="3:15" x14ac:dyDescent="0.3">
      <c r="C344" s="23"/>
      <c r="D344" s="23"/>
      <c r="E344" s="23" t="s">
        <v>120</v>
      </c>
      <c r="K344" s="7">
        <f>J301*(1-K330)</f>
        <v>4931.7254999999996</v>
      </c>
      <c r="L344" s="82">
        <f>K382*(1-L330)+K345*(1-L331)</f>
        <v>384.10772400000013</v>
      </c>
    </row>
    <row r="345" spans="3:15" x14ac:dyDescent="0.3">
      <c r="C345" s="24"/>
      <c r="D345" s="24"/>
      <c r="E345" s="24" t="s">
        <v>122</v>
      </c>
      <c r="K345" s="7">
        <f>J301*K330</f>
        <v>736.92449999999997</v>
      </c>
      <c r="L345" s="7">
        <f>K382*L330</f>
        <v>9.8634510000000084</v>
      </c>
      <c r="M345" s="7">
        <f>L344*M330</f>
        <v>11.523231720000004</v>
      </c>
      <c r="N345" s="7">
        <f>M344*N330</f>
        <v>0</v>
      </c>
    </row>
    <row r="346" spans="3:15" x14ac:dyDescent="0.3">
      <c r="C346" s="23"/>
      <c r="D346" s="23"/>
      <c r="E346" s="23" t="s">
        <v>121</v>
      </c>
      <c r="L346" s="7">
        <f>K345*L331</f>
        <v>589.53959999999995</v>
      </c>
      <c r="M346" s="7">
        <f>L345*M331</f>
        <v>7.8907608000000069</v>
      </c>
      <c r="N346" s="7">
        <f>M345*N331</f>
        <v>9.2185853760000036</v>
      </c>
    </row>
    <row r="347" spans="3:15" x14ac:dyDescent="0.3">
      <c r="C347" s="23"/>
      <c r="D347" s="23"/>
      <c r="E347" s="23" t="s">
        <v>138</v>
      </c>
      <c r="L347" s="7"/>
      <c r="M347" s="7">
        <f>L346*M332</f>
        <v>589.53959999999995</v>
      </c>
      <c r="N347" s="7">
        <f>M346*N332+M347</f>
        <v>597.4303607999999</v>
      </c>
      <c r="O347" s="7">
        <f>N346*O332+N347</f>
        <v>606.64894617599987</v>
      </c>
    </row>
    <row r="348" spans="3:15" x14ac:dyDescent="0.3">
      <c r="C348" s="23"/>
      <c r="D348" s="23"/>
      <c r="E348" s="23"/>
      <c r="L348" s="7"/>
    </row>
    <row r="349" spans="3:15" x14ac:dyDescent="0.3">
      <c r="C349" s="23"/>
      <c r="D349" s="23"/>
      <c r="E349" s="23" t="s">
        <v>137</v>
      </c>
      <c r="L349" s="7"/>
      <c r="M349" s="7">
        <f>L344*(1-M330)+L345*(1-M331)+L346*(1-M332)</f>
        <v>374.55718248000011</v>
      </c>
      <c r="N349" s="7">
        <f>M345*(1-N331)+M349</f>
        <v>376.8618288240001</v>
      </c>
      <c r="O349" s="7">
        <f>N346*(1-O332)+N349</f>
        <v>376.8618288240001</v>
      </c>
    </row>
    <row r="350" spans="3:15" x14ac:dyDescent="0.3">
      <c r="C350" s="23"/>
      <c r="D350" s="23"/>
      <c r="E350" s="23"/>
      <c r="L350" s="7"/>
    </row>
    <row r="351" spans="3:15" x14ac:dyDescent="0.3">
      <c r="C351" s="11"/>
      <c r="D351" s="11"/>
      <c r="E351" s="11" t="s">
        <v>139</v>
      </c>
      <c r="K351" s="8">
        <f>SUM(K352:K353)</f>
        <v>4931.7254999999996</v>
      </c>
      <c r="L351" s="8">
        <f>SUM(L352:L353)</f>
        <v>384.10772400000013</v>
      </c>
      <c r="M351" s="8">
        <f>SUM(M352:M353)</f>
        <v>374.55718248000011</v>
      </c>
      <c r="N351" s="8">
        <f>SUM(N352:N353)</f>
        <v>2.304646344</v>
      </c>
    </row>
    <row r="352" spans="3:15" x14ac:dyDescent="0.3">
      <c r="C352" s="23"/>
      <c r="D352" s="23"/>
      <c r="E352" s="23" t="s">
        <v>120</v>
      </c>
      <c r="K352" s="7">
        <f>K344</f>
        <v>4931.7254999999996</v>
      </c>
      <c r="L352" s="7">
        <f>K382*(1-L330)</f>
        <v>236.72282400000017</v>
      </c>
      <c r="M352" s="7">
        <f>L344*(1-M330)</f>
        <v>372.58449228000012</v>
      </c>
    </row>
    <row r="353" spans="3:15" x14ac:dyDescent="0.3">
      <c r="C353" s="24"/>
      <c r="D353" s="24"/>
      <c r="E353" s="24" t="s">
        <v>122</v>
      </c>
      <c r="L353" s="7">
        <f>K345*(1-L331)</f>
        <v>147.38489999999996</v>
      </c>
      <c r="M353" s="7">
        <f>L345*(1-M331)</f>
        <v>1.9726902000000013</v>
      </c>
      <c r="N353" s="7">
        <f>M345*(1-N331)</f>
        <v>2.304646344</v>
      </c>
    </row>
    <row r="354" spans="3:15" x14ac:dyDescent="0.3">
      <c r="C354" s="23"/>
      <c r="D354" s="23"/>
      <c r="E354" s="23"/>
      <c r="L354" s="7"/>
      <c r="M354" s="7">
        <f>L346*(1-M332)</f>
        <v>0</v>
      </c>
      <c r="N354" s="7">
        <f>M346*(1-N332)</f>
        <v>0</v>
      </c>
    </row>
    <row r="355" spans="3:15" x14ac:dyDescent="0.3">
      <c r="C355" s="81"/>
      <c r="D355" s="81"/>
      <c r="E355" s="81" t="s">
        <v>123</v>
      </c>
    </row>
    <row r="356" spans="3:15" x14ac:dyDescent="0.3">
      <c r="C356" s="23"/>
      <c r="D356" s="23"/>
      <c r="E356" s="23" t="s">
        <v>120</v>
      </c>
      <c r="K356" s="7">
        <f>J317-K324</f>
        <v>25.641025641025642</v>
      </c>
      <c r="L356" s="7">
        <f>K356-L324</f>
        <v>12.820512820512823</v>
      </c>
      <c r="M356" s="7">
        <f>L356-M324</f>
        <v>0</v>
      </c>
    </row>
    <row r="357" spans="3:15" x14ac:dyDescent="0.3">
      <c r="C357" s="24"/>
      <c r="D357" s="24"/>
      <c r="E357" s="24" t="s">
        <v>122</v>
      </c>
      <c r="K357" s="7">
        <f>J317</f>
        <v>38.46153846153846</v>
      </c>
      <c r="L357" s="7">
        <f>K356</f>
        <v>25.641025641025642</v>
      </c>
      <c r="M357" s="7">
        <f>L356</f>
        <v>12.820512820512823</v>
      </c>
    </row>
    <row r="358" spans="3:15" x14ac:dyDescent="0.3">
      <c r="C358" s="23"/>
      <c r="D358" s="23"/>
      <c r="E358" s="23" t="s">
        <v>121</v>
      </c>
      <c r="L358" s="7">
        <f>K357</f>
        <v>38.46153846153846</v>
      </c>
      <c r="M358" s="7">
        <f>L357</f>
        <v>25.641025641025642</v>
      </c>
      <c r="N358" s="7">
        <f>M357</f>
        <v>12.820512820512823</v>
      </c>
    </row>
    <row r="359" spans="3:15" x14ac:dyDescent="0.3">
      <c r="C359" s="23"/>
      <c r="D359" s="23"/>
      <c r="E359" s="23"/>
      <c r="M359" s="7"/>
      <c r="N359" s="7"/>
    </row>
    <row r="360" spans="3:15" x14ac:dyDescent="0.3">
      <c r="C360" s="23"/>
      <c r="D360" s="23"/>
      <c r="E360" s="23"/>
      <c r="M360" s="7"/>
      <c r="N360" s="7"/>
    </row>
    <row r="361" spans="3:15" x14ac:dyDescent="0.3">
      <c r="C361" s="11"/>
      <c r="D361" s="11"/>
      <c r="E361" s="11" t="s">
        <v>130</v>
      </c>
      <c r="K361" s="8">
        <f>SUM(K362:K365)</f>
        <v>154797.75</v>
      </c>
      <c r="L361" s="8">
        <f t="shared" ref="L361:N361" si="55">SUM(L362:L365)</f>
        <v>27851.967000000001</v>
      </c>
      <c r="M361" s="8">
        <f t="shared" si="55"/>
        <v>23024.660939999998</v>
      </c>
      <c r="N361" s="8">
        <f t="shared" si="55"/>
        <v>22995.114191999997</v>
      </c>
    </row>
    <row r="362" spans="3:15" x14ac:dyDescent="0.3">
      <c r="C362" s="23"/>
      <c r="D362" s="23"/>
      <c r="E362" s="23" t="s">
        <v>120</v>
      </c>
      <c r="K362" s="7">
        <f>K356*K344</f>
        <v>126454.5</v>
      </c>
      <c r="L362" s="7">
        <f t="shared" ref="L362:M363" si="56">L356*L344</f>
        <v>4924.4580000000024</v>
      </c>
      <c r="M362" s="7">
        <f t="shared" si="56"/>
        <v>0</v>
      </c>
    </row>
    <row r="363" spans="3:15" x14ac:dyDescent="0.3">
      <c r="C363" s="24"/>
      <c r="D363" s="24"/>
      <c r="E363" s="24" t="s">
        <v>122</v>
      </c>
      <c r="K363" s="7">
        <f>K357*K345</f>
        <v>28343.249999999996</v>
      </c>
      <c r="L363" s="7">
        <f t="shared" si="56"/>
        <v>252.90900000000022</v>
      </c>
      <c r="M363" s="7">
        <f t="shared" si="56"/>
        <v>147.73374000000007</v>
      </c>
      <c r="N363" s="7">
        <f>N357*N345</f>
        <v>0</v>
      </c>
    </row>
    <row r="364" spans="3:15" x14ac:dyDescent="0.3">
      <c r="C364" s="23"/>
      <c r="D364" s="23"/>
      <c r="E364" s="23" t="s">
        <v>121</v>
      </c>
      <c r="L364" s="7">
        <f>L358*L346</f>
        <v>22674.6</v>
      </c>
      <c r="M364" s="7">
        <f>M358*M346</f>
        <v>202.32720000000018</v>
      </c>
      <c r="N364" s="7">
        <f>N358*N346</f>
        <v>118.18699200000007</v>
      </c>
    </row>
    <row r="365" spans="3:15" x14ac:dyDescent="0.3">
      <c r="C365" s="23"/>
      <c r="D365" s="23"/>
      <c r="E365" s="23" t="s">
        <v>299</v>
      </c>
      <c r="M365" s="8">
        <f>L364</f>
        <v>22674.6</v>
      </c>
      <c r="N365" s="8">
        <f>M365+M364</f>
        <v>22876.927199999998</v>
      </c>
      <c r="O365" s="8">
        <f>N365+N364</f>
        <v>22995.114191999997</v>
      </c>
    </row>
    <row r="366" spans="3:15" x14ac:dyDescent="0.3">
      <c r="C366" s="23"/>
      <c r="D366" s="23"/>
      <c r="E366" s="23"/>
    </row>
    <row r="367" spans="3:15" x14ac:dyDescent="0.3">
      <c r="C367" s="105"/>
      <c r="D367" s="105"/>
      <c r="E367" s="105" t="s">
        <v>300</v>
      </c>
      <c r="J367" s="8">
        <f>O365</f>
        <v>22995.114191999997</v>
      </c>
    </row>
    <row r="368" spans="3:15" x14ac:dyDescent="0.3">
      <c r="C368" s="23"/>
      <c r="D368" s="23"/>
      <c r="E368" s="23"/>
    </row>
    <row r="369" spans="3:14" x14ac:dyDescent="0.3">
      <c r="C369" s="11"/>
      <c r="D369" s="11"/>
      <c r="E369" s="11" t="s">
        <v>140</v>
      </c>
      <c r="K369" s="8">
        <f>SUM(K371:K374)</f>
        <v>183359.02499999994</v>
      </c>
      <c r="L369" s="8">
        <f>SUM(L371:L374)</f>
        <v>6814.0080000000007</v>
      </c>
      <c r="M369" s="8">
        <f t="shared" ref="M369:N369" si="57">SUM(M371:M374)</f>
        <v>4827.3060600000008</v>
      </c>
      <c r="N369" s="8">
        <f t="shared" si="57"/>
        <v>29.546747999999997</v>
      </c>
    </row>
    <row r="370" spans="3:14" x14ac:dyDescent="0.3">
      <c r="C370" s="11"/>
      <c r="D370" s="11"/>
      <c r="E370" s="11"/>
      <c r="K370" s="8"/>
      <c r="L370" s="8"/>
      <c r="M370" s="8"/>
      <c r="N370" s="8"/>
    </row>
    <row r="371" spans="3:14" x14ac:dyDescent="0.3">
      <c r="E371" t="s">
        <v>131</v>
      </c>
      <c r="G371" s="23" t="s">
        <v>120</v>
      </c>
      <c r="K371" s="6">
        <f>K380*K325</f>
        <v>180197.66249999995</v>
      </c>
    </row>
    <row r="372" spans="3:14" x14ac:dyDescent="0.3">
      <c r="G372" s="23"/>
      <c r="K372" s="6"/>
    </row>
    <row r="373" spans="3:14" x14ac:dyDescent="0.3">
      <c r="E373" t="s">
        <v>200</v>
      </c>
      <c r="G373" s="23" t="s">
        <v>120</v>
      </c>
      <c r="K373" s="6">
        <f>K382*K324</f>
        <v>3161.3625000000025</v>
      </c>
      <c r="L373" s="27">
        <f>L352*L324</f>
        <v>3034.9080000000022</v>
      </c>
      <c r="M373" s="27">
        <f>M352*M324</f>
        <v>4776.7242600000009</v>
      </c>
      <c r="N373" s="27">
        <f>N352*N324</f>
        <v>0</v>
      </c>
    </row>
    <row r="374" spans="3:14" x14ac:dyDescent="0.3">
      <c r="E374" t="s">
        <v>200</v>
      </c>
      <c r="G374" s="24" t="s">
        <v>122</v>
      </c>
      <c r="K374" s="6"/>
      <c r="L374" s="27">
        <f>L353*(K324+L324)</f>
        <v>3779.0999999999985</v>
      </c>
      <c r="M374" s="27">
        <f>M353*(L324+M324)</f>
        <v>50.58180000000003</v>
      </c>
      <c r="N374" s="27">
        <f>N353*(M324+N324)</f>
        <v>29.546747999999997</v>
      </c>
    </row>
    <row r="376" spans="3:14" x14ac:dyDescent="0.3">
      <c r="C376" s="11"/>
      <c r="D376" s="11"/>
      <c r="E376" s="11" t="s">
        <v>283</v>
      </c>
      <c r="K376" s="8">
        <f>SUM(K373:N374)</f>
        <v>14832.223308000004</v>
      </c>
    </row>
    <row r="378" spans="3:14" x14ac:dyDescent="0.3">
      <c r="E378" t="s">
        <v>202</v>
      </c>
      <c r="K378" s="28">
        <f>K380*(L324+M324)</f>
        <v>120131.77499999997</v>
      </c>
    </row>
    <row r="380" spans="3:14" x14ac:dyDescent="0.3">
      <c r="C380" s="72"/>
      <c r="D380" s="72"/>
      <c r="E380" s="72" t="s">
        <v>132</v>
      </c>
      <c r="K380" s="73">
        <f>K344*J326</f>
        <v>4685.139224999999</v>
      </c>
    </row>
    <row r="382" spans="3:14" x14ac:dyDescent="0.3">
      <c r="E382" t="s">
        <v>201</v>
      </c>
      <c r="K382" s="7">
        <f>K344*J327</f>
        <v>246.5862750000002</v>
      </c>
    </row>
    <row r="385" spans="3:34" x14ac:dyDescent="0.3">
      <c r="E385" s="160" t="s">
        <v>204</v>
      </c>
      <c r="F385" s="161"/>
      <c r="G385" s="161"/>
      <c r="H385" s="161"/>
      <c r="I385" s="161"/>
      <c r="J385" s="161"/>
      <c r="K385" s="161"/>
      <c r="L385" s="161"/>
      <c r="M385" s="161"/>
      <c r="N385" s="161"/>
      <c r="O385" s="161"/>
      <c r="P385" s="161"/>
      <c r="Q385" s="161"/>
      <c r="R385" s="161"/>
      <c r="S385" s="161"/>
      <c r="T385" s="161"/>
      <c r="U385" s="161"/>
      <c r="V385" s="161"/>
      <c r="W385" s="161"/>
      <c r="X385" s="161"/>
      <c r="Y385" s="161"/>
      <c r="Z385" s="161"/>
      <c r="AA385" s="161"/>
      <c r="AB385" s="161"/>
      <c r="AC385" s="161"/>
      <c r="AD385" s="161"/>
      <c r="AE385" s="161"/>
      <c r="AF385" s="161"/>
      <c r="AG385" s="161"/>
      <c r="AH385" s="162"/>
    </row>
    <row r="387" spans="3:34" x14ac:dyDescent="0.3">
      <c r="E387" t="s">
        <v>197</v>
      </c>
      <c r="L387" s="83">
        <f>I127</f>
        <v>7020</v>
      </c>
    </row>
    <row r="388" spans="3:34" x14ac:dyDescent="0.3">
      <c r="E388" t="s">
        <v>206</v>
      </c>
      <c r="L388" s="7">
        <f>L390*L387</f>
        <v>430.15452508828815</v>
      </c>
      <c r="O388" s="77"/>
    </row>
    <row r="389" spans="3:34" x14ac:dyDescent="0.3">
      <c r="L389" s="7"/>
      <c r="O389" s="77"/>
    </row>
    <row r="390" spans="3:34" x14ac:dyDescent="0.3">
      <c r="C390" s="11"/>
      <c r="D390" s="11"/>
      <c r="E390" s="11" t="s">
        <v>134</v>
      </c>
      <c r="F390" s="11"/>
      <c r="G390" s="11"/>
      <c r="L390" s="87">
        <f>L391*L392*L393*L394</f>
        <v>6.1275573374400025E-2</v>
      </c>
      <c r="M390" s="11"/>
      <c r="N390" s="11"/>
      <c r="P390" s="11"/>
    </row>
    <row r="391" spans="3:34" x14ac:dyDescent="0.3">
      <c r="E391" t="s">
        <v>35</v>
      </c>
      <c r="L391" s="84">
        <f>N340</f>
        <v>6.6481760000000029E-2</v>
      </c>
    </row>
    <row r="392" spans="3:34" x14ac:dyDescent="0.3">
      <c r="E392" t="s">
        <v>36</v>
      </c>
      <c r="L392" s="86">
        <f>0.95</f>
        <v>0.95</v>
      </c>
    </row>
    <row r="393" spans="3:34" x14ac:dyDescent="0.3">
      <c r="E393" t="s">
        <v>142</v>
      </c>
      <c r="L393" s="86">
        <v>0.99</v>
      </c>
    </row>
    <row r="394" spans="3:34" x14ac:dyDescent="0.3">
      <c r="E394" t="s">
        <v>37</v>
      </c>
      <c r="L394" s="86">
        <v>0.98</v>
      </c>
    </row>
    <row r="397" spans="3:34" x14ac:dyDescent="0.3">
      <c r="E397" t="s">
        <v>125</v>
      </c>
      <c r="L397" s="83">
        <f>$F$32</f>
        <v>32.051282051282051</v>
      </c>
    </row>
    <row r="398" spans="3:34" x14ac:dyDescent="0.3">
      <c r="C398" s="100"/>
      <c r="D398" s="100"/>
      <c r="E398" s="100" t="s">
        <v>135</v>
      </c>
      <c r="L398" s="101">
        <f>L397</f>
        <v>32.051282051282051</v>
      </c>
    </row>
    <row r="400" spans="3:34" x14ac:dyDescent="0.3">
      <c r="E400" t="s">
        <v>126</v>
      </c>
      <c r="L400" s="88">
        <f>$H$52</f>
        <v>0.2</v>
      </c>
    </row>
    <row r="401" spans="3:15" x14ac:dyDescent="0.3">
      <c r="E401" t="s">
        <v>117</v>
      </c>
      <c r="L401" s="7">
        <f>L400*L397</f>
        <v>6.4102564102564106</v>
      </c>
    </row>
    <row r="403" spans="3:15" x14ac:dyDescent="0.3">
      <c r="E403" t="s">
        <v>118</v>
      </c>
      <c r="L403" s="7">
        <f>L398</f>
        <v>32.051282051282051</v>
      </c>
    </row>
    <row r="404" spans="3:15" x14ac:dyDescent="0.3">
      <c r="E404" t="s">
        <v>106</v>
      </c>
      <c r="L404" s="7">
        <f>L397*(1+L400)</f>
        <v>38.46153846153846</v>
      </c>
    </row>
    <row r="405" spans="3:15" x14ac:dyDescent="0.3">
      <c r="L405" s="7"/>
    </row>
    <row r="406" spans="3:15" x14ac:dyDescent="0.3">
      <c r="E406" t="s">
        <v>136</v>
      </c>
      <c r="L406" s="7">
        <f>L403*L388</f>
        <v>13787.004009240005</v>
      </c>
    </row>
    <row r="407" spans="3:15" x14ac:dyDescent="0.3">
      <c r="E407" t="s">
        <v>119</v>
      </c>
      <c r="L407" s="7">
        <f>L404*L388</f>
        <v>16544.404811088007</v>
      </c>
    </row>
    <row r="408" spans="3:15" x14ac:dyDescent="0.3">
      <c r="L408" s="7"/>
    </row>
    <row r="409" spans="3:15" x14ac:dyDescent="0.3">
      <c r="E409" t="s">
        <v>302</v>
      </c>
      <c r="L409" s="6">
        <f>L401*L388</f>
        <v>2757.4008018480013</v>
      </c>
    </row>
    <row r="410" spans="3:15" x14ac:dyDescent="0.3">
      <c r="L410" s="7"/>
    </row>
    <row r="411" spans="3:15" x14ac:dyDescent="0.3">
      <c r="E411" t="s">
        <v>127</v>
      </c>
      <c r="M411" s="7">
        <f>L404/3</f>
        <v>12.820512820512819</v>
      </c>
      <c r="N411" s="7">
        <f>L404/3</f>
        <v>12.820512820512819</v>
      </c>
      <c r="O411" s="7">
        <f>L404/3</f>
        <v>12.820512820512819</v>
      </c>
    </row>
    <row r="412" spans="3:15" x14ac:dyDescent="0.3">
      <c r="M412" s="7">
        <f>L404</f>
        <v>38.46153846153846</v>
      </c>
    </row>
    <row r="413" spans="3:15" x14ac:dyDescent="0.3">
      <c r="E413" t="s">
        <v>128</v>
      </c>
      <c r="L413" s="21">
        <f>'Summary500-600'!E40</f>
        <v>0.95</v>
      </c>
    </row>
    <row r="414" spans="3:15" x14ac:dyDescent="0.3">
      <c r="E414" t="s">
        <v>129</v>
      </c>
      <c r="L414" s="21">
        <f>1-L413</f>
        <v>5.0000000000000044E-2</v>
      </c>
    </row>
    <row r="416" spans="3:15" x14ac:dyDescent="0.3">
      <c r="C416" s="71"/>
      <c r="D416" s="71"/>
      <c r="E416" s="71" t="s">
        <v>16</v>
      </c>
    </row>
    <row r="417" spans="3:17" x14ac:dyDescent="0.3">
      <c r="E417" t="s">
        <v>17</v>
      </c>
      <c r="M417" s="74">
        <f>'Summary500-600'!$D$72</f>
        <v>0.13</v>
      </c>
      <c r="N417" s="74">
        <f>'Summary500-600'!$D$73</f>
        <v>0.04</v>
      </c>
      <c r="O417" s="74">
        <f>'Summary500-600'!$D$74</f>
        <v>0.03</v>
      </c>
      <c r="P417" s="75"/>
      <c r="Q417" s="75"/>
    </row>
    <row r="418" spans="3:17" x14ac:dyDescent="0.3">
      <c r="E418" t="s">
        <v>18</v>
      </c>
      <c r="G418" s="75"/>
      <c r="N418" s="74">
        <f>'Summary500-600'!$D$75</f>
        <v>0.8</v>
      </c>
      <c r="O418" s="76">
        <f>N418</f>
        <v>0.8</v>
      </c>
      <c r="P418" s="76">
        <f>O418</f>
        <v>0.8</v>
      </c>
      <c r="Q418" s="75"/>
    </row>
    <row r="419" spans="3:17" x14ac:dyDescent="0.3">
      <c r="E419" t="s">
        <v>19</v>
      </c>
      <c r="G419" s="75"/>
      <c r="N419" s="75"/>
      <c r="O419" s="74">
        <f>'Summary500-600'!$D$76</f>
        <v>1</v>
      </c>
      <c r="P419" s="74">
        <f>O419</f>
        <v>1</v>
      </c>
      <c r="Q419" s="74">
        <f>P419</f>
        <v>1</v>
      </c>
    </row>
    <row r="420" spans="3:17" x14ac:dyDescent="0.3">
      <c r="E420" t="s">
        <v>20</v>
      </c>
      <c r="O420" s="21"/>
    </row>
    <row r="421" spans="3:17" x14ac:dyDescent="0.3">
      <c r="O421" s="21"/>
    </row>
    <row r="422" spans="3:17" x14ac:dyDescent="0.3">
      <c r="C422" s="11"/>
      <c r="D422" s="11"/>
      <c r="E422" s="11" t="s">
        <v>196</v>
      </c>
      <c r="M422" s="90">
        <f>SUM(M423:M426)</f>
        <v>0.17350000000000004</v>
      </c>
      <c r="N422" s="90">
        <f t="shared" ref="N422:P422" si="58">SUM(N423:N426)</f>
        <v>0.17350000000000004</v>
      </c>
      <c r="O422" s="90">
        <f t="shared" si="58"/>
        <v>0.10742480000000001</v>
      </c>
      <c r="P422" s="90">
        <f t="shared" si="58"/>
        <v>0.10701824000000001</v>
      </c>
    </row>
    <row r="423" spans="3:17" x14ac:dyDescent="0.3">
      <c r="E423" t="s">
        <v>17</v>
      </c>
      <c r="M423" s="22">
        <f>(1-M417)*L414</f>
        <v>4.3500000000000039E-2</v>
      </c>
      <c r="N423" s="22">
        <f>M423*(1-N417)+M424*(1-N418)</f>
        <v>6.7760000000000029E-2</v>
      </c>
    </row>
    <row r="424" spans="3:17" x14ac:dyDescent="0.3">
      <c r="E424" t="s">
        <v>18</v>
      </c>
      <c r="M424" s="22">
        <f>M417</f>
        <v>0.13</v>
      </c>
      <c r="N424" s="22">
        <f>M423*N417</f>
        <v>1.7400000000000015E-3</v>
      </c>
      <c r="O424" s="22">
        <f>N423*O417</f>
        <v>2.0328000000000008E-3</v>
      </c>
      <c r="Q424" s="22"/>
    </row>
    <row r="425" spans="3:17" x14ac:dyDescent="0.3">
      <c r="E425" t="s">
        <v>19</v>
      </c>
      <c r="N425" s="22">
        <f>M424*N418</f>
        <v>0.10400000000000001</v>
      </c>
      <c r="O425" s="22">
        <f>N424*O418+N425</f>
        <v>0.10539200000000001</v>
      </c>
      <c r="P425" s="22">
        <f>O424*P418+O425</f>
        <v>0.10701824000000001</v>
      </c>
    </row>
    <row r="426" spans="3:17" x14ac:dyDescent="0.3">
      <c r="N426" s="22"/>
      <c r="O426" s="22"/>
    </row>
    <row r="427" spans="3:17" x14ac:dyDescent="0.3">
      <c r="E427" t="s">
        <v>195</v>
      </c>
      <c r="M427" s="22">
        <f>(1-M417)*L413</f>
        <v>0.82650000000000001</v>
      </c>
      <c r="O427" s="29">
        <f>N423*(1-O417)+N424*(1-O418)+N425*(1-O419)</f>
        <v>6.6075200000000028E-2</v>
      </c>
      <c r="P427" s="29">
        <f>O424*(1-P418)+O427</f>
        <v>6.6481760000000029E-2</v>
      </c>
      <c r="Q427" s="22"/>
    </row>
    <row r="428" spans="3:17" x14ac:dyDescent="0.3">
      <c r="M428" s="22"/>
      <c r="O428" s="29"/>
      <c r="P428" s="29"/>
      <c r="Q428" s="22"/>
    </row>
    <row r="429" spans="3:17" x14ac:dyDescent="0.3">
      <c r="M429" s="25" t="s">
        <v>32</v>
      </c>
    </row>
    <row r="430" spans="3:17" x14ac:dyDescent="0.3">
      <c r="C430" s="11"/>
      <c r="D430" s="11"/>
      <c r="E430" s="11" t="s">
        <v>124</v>
      </c>
      <c r="M430" s="8">
        <f>SUM(M431:M434)</f>
        <v>430.15452508828815</v>
      </c>
      <c r="N430" s="8">
        <f t="shared" ref="N430:O430" si="59">SUM(N431:N434)</f>
        <v>74.631810102818008</v>
      </c>
      <c r="O430" s="8">
        <f t="shared" si="59"/>
        <v>46.209263826704344</v>
      </c>
    </row>
    <row r="431" spans="3:17" x14ac:dyDescent="0.3">
      <c r="C431" s="23"/>
      <c r="D431" s="23"/>
      <c r="E431" s="23" t="s">
        <v>120</v>
      </c>
      <c r="M431" s="7">
        <f>L388*(1-M417)</f>
        <v>374.23443682681068</v>
      </c>
      <c r="N431" s="82">
        <f>M469*(1-N417)+M432*(1-N418)</f>
        <v>29.147270619982422</v>
      </c>
    </row>
    <row r="432" spans="3:17" x14ac:dyDescent="0.3">
      <c r="C432" s="24"/>
      <c r="D432" s="24"/>
      <c r="E432" s="24" t="s">
        <v>122</v>
      </c>
      <c r="M432" s="7">
        <f>L388*M417</f>
        <v>55.92008826147746</v>
      </c>
      <c r="N432" s="7">
        <f>M469*N417</f>
        <v>0.74846887365362214</v>
      </c>
      <c r="O432" s="7">
        <f>N431*O417</f>
        <v>0.8744181185994726</v>
      </c>
      <c r="P432" s="7">
        <f>O431*P417</f>
        <v>0</v>
      </c>
    </row>
    <row r="433" spans="3:17" x14ac:dyDescent="0.3">
      <c r="C433" s="23"/>
      <c r="D433" s="23"/>
      <c r="E433" s="23" t="s">
        <v>121</v>
      </c>
      <c r="N433" s="7">
        <f>M432*N418</f>
        <v>44.736070609181972</v>
      </c>
      <c r="O433" s="7">
        <f>N432*O418</f>
        <v>0.59877509892289771</v>
      </c>
      <c r="P433" s="7">
        <f>O432*P418</f>
        <v>0.69953449487957808</v>
      </c>
    </row>
    <row r="434" spans="3:17" x14ac:dyDescent="0.3">
      <c r="C434" s="23"/>
      <c r="D434" s="23"/>
      <c r="E434" s="23" t="s">
        <v>138</v>
      </c>
      <c r="N434" s="7"/>
      <c r="O434" s="7">
        <f>N433*O419</f>
        <v>44.736070609181972</v>
      </c>
      <c r="P434" s="7">
        <f>O433*P419+O434</f>
        <v>45.334845708104872</v>
      </c>
      <c r="Q434" s="7">
        <f>P433*Q419+P434</f>
        <v>46.034380202984451</v>
      </c>
    </row>
    <row r="435" spans="3:17" x14ac:dyDescent="0.3">
      <c r="C435" s="23"/>
      <c r="D435" s="23"/>
      <c r="E435" s="23"/>
      <c r="N435" s="7"/>
    </row>
    <row r="436" spans="3:17" x14ac:dyDescent="0.3">
      <c r="C436" s="23"/>
      <c r="D436" s="23"/>
      <c r="E436" s="23" t="s">
        <v>137</v>
      </c>
      <c r="N436" s="7"/>
      <c r="O436" s="7">
        <f>N431*(1-O417)+N432*(1-O418)+N433*(1-O419)</f>
        <v>28.422546276113675</v>
      </c>
      <c r="P436" s="7">
        <f>O432*(1-P418)+O436</f>
        <v>28.597429899833568</v>
      </c>
      <c r="Q436" s="7">
        <f>P433*(1-Q419)+P436</f>
        <v>28.597429899833568</v>
      </c>
    </row>
    <row r="437" spans="3:17" x14ac:dyDescent="0.3">
      <c r="C437" s="23"/>
      <c r="D437" s="23"/>
      <c r="E437" s="23"/>
      <c r="N437" s="7"/>
    </row>
    <row r="438" spans="3:17" x14ac:dyDescent="0.3">
      <c r="C438" s="11"/>
      <c r="D438" s="11"/>
      <c r="E438" s="11" t="s">
        <v>139</v>
      </c>
      <c r="M438" s="8">
        <f>SUM(M439:M440)</f>
        <v>374.23443682681068</v>
      </c>
      <c r="N438" s="8">
        <f>SUM(N439:N440)</f>
        <v>29.147270619982422</v>
      </c>
      <c r="O438" s="8">
        <f>SUM(O439:O440)</f>
        <v>28.422546276113675</v>
      </c>
      <c r="P438" s="8">
        <f>SUM(P439:P440)</f>
        <v>0.17488362371989449</v>
      </c>
    </row>
    <row r="439" spans="3:17" x14ac:dyDescent="0.3">
      <c r="C439" s="23"/>
      <c r="D439" s="23"/>
      <c r="E439" s="23" t="s">
        <v>120</v>
      </c>
      <c r="M439" s="7">
        <f>M431</f>
        <v>374.23443682681068</v>
      </c>
      <c r="N439" s="7">
        <f>M469*(1-N417)</f>
        <v>17.96325296768693</v>
      </c>
      <c r="O439" s="7">
        <f>N431*(1-O417)</f>
        <v>28.27285250138295</v>
      </c>
    </row>
    <row r="440" spans="3:17" x14ac:dyDescent="0.3">
      <c r="C440" s="24"/>
      <c r="D440" s="24"/>
      <c r="E440" s="24" t="s">
        <v>122</v>
      </c>
      <c r="N440" s="7">
        <f>M432*(1-N418)</f>
        <v>11.184017652295489</v>
      </c>
      <c r="O440" s="7">
        <f>N432*(1-O418)</f>
        <v>0.1496937747307244</v>
      </c>
      <c r="P440" s="7">
        <f>O432*(1-P418)</f>
        <v>0.17488362371989449</v>
      </c>
    </row>
    <row r="441" spans="3:17" x14ac:dyDescent="0.3">
      <c r="C441" s="23"/>
      <c r="D441" s="23"/>
      <c r="E441" s="23"/>
      <c r="N441" s="7"/>
      <c r="O441" s="7">
        <f>N433*(1-O419)</f>
        <v>0</v>
      </c>
      <c r="P441" s="7">
        <f>O433*(1-P419)</f>
        <v>0</v>
      </c>
    </row>
    <row r="442" spans="3:17" x14ac:dyDescent="0.3">
      <c r="C442" s="81"/>
      <c r="D442" s="81"/>
      <c r="E442" s="81" t="s">
        <v>123</v>
      </c>
    </row>
    <row r="443" spans="3:17" x14ac:dyDescent="0.3">
      <c r="C443" s="23"/>
      <c r="D443" s="23"/>
      <c r="E443" s="23" t="s">
        <v>120</v>
      </c>
      <c r="M443" s="7">
        <f>L404-M411</f>
        <v>25.641025641025642</v>
      </c>
      <c r="N443" s="7">
        <f>M443-N411</f>
        <v>12.820512820512823</v>
      </c>
      <c r="O443" s="7">
        <f>N443-O411</f>
        <v>0</v>
      </c>
    </row>
    <row r="444" spans="3:17" x14ac:dyDescent="0.3">
      <c r="C444" s="24"/>
      <c r="D444" s="24"/>
      <c r="E444" s="24" t="s">
        <v>122</v>
      </c>
      <c r="M444" s="7">
        <f>L404</f>
        <v>38.46153846153846</v>
      </c>
      <c r="N444" s="7">
        <f>M443</f>
        <v>25.641025641025642</v>
      </c>
      <c r="O444" s="7">
        <f>N443</f>
        <v>12.820512820512823</v>
      </c>
    </row>
    <row r="445" spans="3:17" x14ac:dyDescent="0.3">
      <c r="C445" s="23"/>
      <c r="D445" s="23"/>
      <c r="E445" s="23" t="s">
        <v>121</v>
      </c>
      <c r="N445" s="7">
        <f>M444</f>
        <v>38.46153846153846</v>
      </c>
      <c r="O445" s="7">
        <f>N444</f>
        <v>25.641025641025642</v>
      </c>
      <c r="P445" s="7">
        <f>O444</f>
        <v>12.820512820512823</v>
      </c>
    </row>
    <row r="446" spans="3:17" x14ac:dyDescent="0.3">
      <c r="C446" s="23"/>
      <c r="D446" s="23"/>
      <c r="E446" s="23"/>
      <c r="O446" s="7"/>
      <c r="P446" s="7"/>
    </row>
    <row r="447" spans="3:17" x14ac:dyDescent="0.3">
      <c r="C447" s="23"/>
      <c r="D447" s="23"/>
      <c r="E447" s="23"/>
      <c r="O447" s="7"/>
      <c r="P447" s="7"/>
    </row>
    <row r="448" spans="3:17" x14ac:dyDescent="0.3">
      <c r="C448" s="11"/>
      <c r="D448" s="11"/>
      <c r="E448" s="11" t="s">
        <v>130</v>
      </c>
      <c r="M448" s="8">
        <f>SUM(M449:M452)</f>
        <v>11746.527415872484</v>
      </c>
      <c r="N448" s="8">
        <f t="shared" ref="N448:P448" si="60">SUM(N449:N452)</f>
        <v>2113.492566600456</v>
      </c>
      <c r="O448" s="8">
        <f t="shared" si="60"/>
        <v>1747.1817967178356</v>
      </c>
      <c r="P448" s="8">
        <f t="shared" si="60"/>
        <v>1744.939698977837</v>
      </c>
    </row>
    <row r="449" spans="3:17" x14ac:dyDescent="0.3">
      <c r="C449" s="23"/>
      <c r="D449" s="23"/>
      <c r="E449" s="23" t="s">
        <v>120</v>
      </c>
      <c r="M449" s="7">
        <f>M443*M431</f>
        <v>9595.7547904310431</v>
      </c>
      <c r="N449" s="7">
        <f t="shared" ref="N449:O450" si="61">N443*N431</f>
        <v>373.68295666644138</v>
      </c>
      <c r="O449" s="7">
        <f t="shared" si="61"/>
        <v>0</v>
      </c>
    </row>
    <row r="450" spans="3:17" x14ac:dyDescent="0.3">
      <c r="C450" s="24"/>
      <c r="D450" s="24"/>
      <c r="E450" s="24" t="s">
        <v>122</v>
      </c>
      <c r="M450" s="7">
        <f>M444*M432</f>
        <v>2150.7726254414406</v>
      </c>
      <c r="N450" s="7">
        <f t="shared" si="61"/>
        <v>19.191509580862107</v>
      </c>
      <c r="O450" s="7">
        <f t="shared" si="61"/>
        <v>11.21048869999324</v>
      </c>
      <c r="P450" s="7">
        <f>P444*P432</f>
        <v>0</v>
      </c>
    </row>
    <row r="451" spans="3:17" x14ac:dyDescent="0.3">
      <c r="C451" s="23"/>
      <c r="D451" s="23"/>
      <c r="E451" s="23" t="s">
        <v>121</v>
      </c>
      <c r="N451" s="7">
        <f>N445*N433</f>
        <v>1720.6181003531526</v>
      </c>
      <c r="O451" s="7">
        <f>O445*O433</f>
        <v>15.353207664689686</v>
      </c>
      <c r="P451" s="7">
        <f>P445*P433</f>
        <v>8.9683909599945917</v>
      </c>
    </row>
    <row r="452" spans="3:17" x14ac:dyDescent="0.3">
      <c r="C452" s="23"/>
      <c r="D452" s="23"/>
      <c r="E452" s="23" t="s">
        <v>301</v>
      </c>
      <c r="O452" s="8">
        <f>N451</f>
        <v>1720.6181003531526</v>
      </c>
      <c r="P452" s="8">
        <f>O452+O451</f>
        <v>1735.9713080178424</v>
      </c>
      <c r="Q452" s="8">
        <f>P452+P451</f>
        <v>1744.939698977837</v>
      </c>
    </row>
    <row r="453" spans="3:17" x14ac:dyDescent="0.3">
      <c r="C453" s="23"/>
      <c r="D453" s="23"/>
      <c r="E453" s="23"/>
    </row>
    <row r="454" spans="3:17" x14ac:dyDescent="0.3">
      <c r="C454" s="105"/>
      <c r="D454" s="105"/>
      <c r="E454" s="105" t="s">
        <v>300</v>
      </c>
      <c r="L454" s="8">
        <f>Q452</f>
        <v>1744.939698977837</v>
      </c>
    </row>
    <row r="455" spans="3:17" x14ac:dyDescent="0.3">
      <c r="C455" s="23"/>
      <c r="D455" s="23"/>
      <c r="E455" s="23"/>
    </row>
    <row r="456" spans="3:17" x14ac:dyDescent="0.3">
      <c r="C456" s="11"/>
      <c r="D456" s="11"/>
      <c r="E456" s="11" t="s">
        <v>140</v>
      </c>
      <c r="M456" s="8">
        <f>SUM(M458:M461)</f>
        <v>13913.844446125011</v>
      </c>
      <c r="N456" s="8">
        <f>SUM(N458:N461)</f>
        <v>517.06779836253725</v>
      </c>
      <c r="O456" s="8">
        <f t="shared" ref="O456:P456" si="62">SUM(O458:O461)</f>
        <v>366.31076988262049</v>
      </c>
      <c r="P456" s="8">
        <f t="shared" si="62"/>
        <v>2.242097739998647</v>
      </c>
    </row>
    <row r="457" spans="3:17" x14ac:dyDescent="0.3">
      <c r="C457" s="11"/>
      <c r="D457" s="11"/>
      <c r="E457" s="11"/>
      <c r="M457" s="8"/>
      <c r="N457" s="8"/>
      <c r="O457" s="8"/>
      <c r="P457" s="8"/>
    </row>
    <row r="458" spans="3:17" x14ac:dyDescent="0.3">
      <c r="E458" t="s">
        <v>131</v>
      </c>
      <c r="G458" s="23" t="s">
        <v>120</v>
      </c>
      <c r="M458" s="6">
        <f>M467*M412</f>
        <v>13673.950576364236</v>
      </c>
    </row>
    <row r="459" spans="3:17" x14ac:dyDescent="0.3">
      <c r="G459" s="23"/>
      <c r="M459" s="6"/>
    </row>
    <row r="460" spans="3:17" x14ac:dyDescent="0.3">
      <c r="E460" t="s">
        <v>200</v>
      </c>
      <c r="G460" s="23" t="s">
        <v>120</v>
      </c>
      <c r="M460" s="6">
        <f>M469*M411</f>
        <v>239.89386976077628</v>
      </c>
      <c r="N460" s="27">
        <f>N439*N411</f>
        <v>230.29811497034524</v>
      </c>
      <c r="O460" s="27">
        <f>O439*O411</f>
        <v>362.47246796644805</v>
      </c>
      <c r="P460" s="27">
        <f>P439*P411</f>
        <v>0</v>
      </c>
    </row>
    <row r="461" spans="3:17" x14ac:dyDescent="0.3">
      <c r="E461" t="s">
        <v>200</v>
      </c>
      <c r="G461" s="24" t="s">
        <v>122</v>
      </c>
      <c r="M461" s="6"/>
      <c r="N461" s="27">
        <f>N440*(M411+N411)</f>
        <v>286.76968339219201</v>
      </c>
      <c r="O461" s="27">
        <f>O440*(N411+O411)</f>
        <v>3.8383019161724201</v>
      </c>
      <c r="P461" s="27">
        <f>P440*(O411+P411)</f>
        <v>2.242097739998647</v>
      </c>
    </row>
    <row r="463" spans="3:17" x14ac:dyDescent="0.3">
      <c r="C463" s="11"/>
      <c r="D463" s="11"/>
      <c r="E463" s="11" t="s">
        <v>283</v>
      </c>
      <c r="M463" s="8">
        <f>SUM(M460:P461)</f>
        <v>1125.5145357459326</v>
      </c>
    </row>
    <row r="465" spans="3:25" x14ac:dyDescent="0.3">
      <c r="E465" t="s">
        <v>202</v>
      </c>
      <c r="M465" s="28">
        <f>M467*(N411+O411)</f>
        <v>9115.9670509094904</v>
      </c>
    </row>
    <row r="467" spans="3:25" x14ac:dyDescent="0.3">
      <c r="C467" s="72"/>
      <c r="D467" s="72"/>
      <c r="E467" s="72" t="s">
        <v>132</v>
      </c>
      <c r="M467" s="73">
        <f>M431*L413</f>
        <v>355.52271498547015</v>
      </c>
    </row>
    <row r="469" spans="3:25" x14ac:dyDescent="0.3">
      <c r="E469" t="s">
        <v>201</v>
      </c>
      <c r="M469" s="7">
        <f>M431*L414</f>
        <v>18.711721841340552</v>
      </c>
    </row>
    <row r="472" spans="3:25" x14ac:dyDescent="0.3">
      <c r="E472" s="152" t="s">
        <v>218</v>
      </c>
      <c r="F472" s="153"/>
      <c r="G472" s="153"/>
      <c r="H472" s="153"/>
      <c r="I472" s="153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4"/>
    </row>
    <row r="474" spans="3:25" x14ac:dyDescent="0.3">
      <c r="E474" t="s">
        <v>197</v>
      </c>
      <c r="L474" s="83">
        <f>K293</f>
        <v>501.18038949825018</v>
      </c>
    </row>
    <row r="475" spans="3:25" x14ac:dyDescent="0.3">
      <c r="E475" t="s">
        <v>206</v>
      </c>
      <c r="L475" s="7">
        <f>L477*L474</f>
        <v>501.18038949825018</v>
      </c>
      <c r="O475" s="77"/>
    </row>
    <row r="476" spans="3:25" x14ac:dyDescent="0.3">
      <c r="L476" s="7"/>
      <c r="O476" s="77"/>
    </row>
    <row r="477" spans="3:25" x14ac:dyDescent="0.3">
      <c r="C477" s="11"/>
      <c r="D477" s="11"/>
      <c r="E477" s="11" t="s">
        <v>134</v>
      </c>
      <c r="F477" s="11"/>
      <c r="G477" s="11"/>
      <c r="L477" s="104">
        <f>$I$129</f>
        <v>1</v>
      </c>
      <c r="M477" s="11"/>
      <c r="N477" s="11"/>
      <c r="P477" s="11"/>
    </row>
    <row r="478" spans="3:25" x14ac:dyDescent="0.3">
      <c r="E478" t="s">
        <v>35</v>
      </c>
      <c r="L478" s="79">
        <f>O253</f>
        <v>6.7339000000000024E-2</v>
      </c>
    </row>
    <row r="479" spans="3:25" x14ac:dyDescent="0.3">
      <c r="E479" t="s">
        <v>36</v>
      </c>
      <c r="L479" s="79">
        <f>0.95</f>
        <v>0.95</v>
      </c>
    </row>
    <row r="480" spans="3:25" x14ac:dyDescent="0.3">
      <c r="E480" t="s">
        <v>142</v>
      </c>
      <c r="L480" s="79">
        <v>0.99</v>
      </c>
    </row>
    <row r="481" spans="5:12" x14ac:dyDescent="0.3">
      <c r="E481" t="s">
        <v>37</v>
      </c>
      <c r="L481" s="79">
        <v>0.98</v>
      </c>
    </row>
    <row r="484" spans="5:12" x14ac:dyDescent="0.3">
      <c r="E484" t="s">
        <v>125</v>
      </c>
      <c r="L484" s="83">
        <f>$F$32</f>
        <v>32.051282051282051</v>
      </c>
    </row>
    <row r="485" spans="5:12" x14ac:dyDescent="0.3">
      <c r="E485" t="s">
        <v>135</v>
      </c>
      <c r="L485" s="82">
        <f>L484</f>
        <v>32.051282051282051</v>
      </c>
    </row>
    <row r="487" spans="5:12" x14ac:dyDescent="0.3">
      <c r="E487" t="s">
        <v>126</v>
      </c>
      <c r="L487" s="88">
        <f>$H$52</f>
        <v>0.2</v>
      </c>
    </row>
    <row r="488" spans="5:12" x14ac:dyDescent="0.3">
      <c r="E488" t="s">
        <v>117</v>
      </c>
      <c r="L488" s="7">
        <f>L487*L484</f>
        <v>6.4102564102564106</v>
      </c>
    </row>
    <row r="490" spans="5:12" x14ac:dyDescent="0.3">
      <c r="E490" t="s">
        <v>118</v>
      </c>
      <c r="L490" s="7">
        <f>L485</f>
        <v>32.051282051282051</v>
      </c>
    </row>
    <row r="491" spans="5:12" x14ac:dyDescent="0.3">
      <c r="E491" t="s">
        <v>106</v>
      </c>
      <c r="L491" s="7">
        <f>L484*(1+L487)</f>
        <v>38.46153846153846</v>
      </c>
    </row>
    <row r="492" spans="5:12" x14ac:dyDescent="0.3">
      <c r="L492" s="7"/>
    </row>
    <row r="493" spans="5:12" x14ac:dyDescent="0.3">
      <c r="E493" t="s">
        <v>136</v>
      </c>
      <c r="L493" s="7">
        <f>L490*L475</f>
        <v>16063.474022379813</v>
      </c>
    </row>
    <row r="494" spans="5:12" x14ac:dyDescent="0.3">
      <c r="E494" t="s">
        <v>119</v>
      </c>
      <c r="L494" s="7">
        <f>L491*L475</f>
        <v>19276.168826855774</v>
      </c>
    </row>
    <row r="495" spans="5:12" x14ac:dyDescent="0.3">
      <c r="L495" s="7"/>
    </row>
    <row r="496" spans="5:12" x14ac:dyDescent="0.3">
      <c r="E496" t="s">
        <v>302</v>
      </c>
      <c r="L496" s="6">
        <f>L488*L475</f>
        <v>3212.6948044759629</v>
      </c>
    </row>
    <row r="497" spans="3:17" x14ac:dyDescent="0.3">
      <c r="L497" s="7"/>
    </row>
    <row r="498" spans="3:17" x14ac:dyDescent="0.3">
      <c r="E498" t="s">
        <v>127</v>
      </c>
      <c r="M498" s="7">
        <f>L491/3</f>
        <v>12.820512820512819</v>
      </c>
      <c r="N498" s="7">
        <f>L491/3</f>
        <v>12.820512820512819</v>
      </c>
      <c r="O498" s="7">
        <f>L491/3</f>
        <v>12.820512820512819</v>
      </c>
    </row>
    <row r="499" spans="3:17" x14ac:dyDescent="0.3">
      <c r="M499" s="7">
        <f>L491</f>
        <v>38.46153846153846</v>
      </c>
    </row>
    <row r="500" spans="3:17" x14ac:dyDescent="0.3">
      <c r="E500" t="s">
        <v>128</v>
      </c>
      <c r="L500" s="21">
        <f>'Summary500-600'!C40</f>
        <v>0.95</v>
      </c>
    </row>
    <row r="501" spans="3:17" x14ac:dyDescent="0.3">
      <c r="E501" t="s">
        <v>129</v>
      </c>
      <c r="L501" s="21">
        <f>1-L500</f>
        <v>5.0000000000000044E-2</v>
      </c>
    </row>
    <row r="503" spans="3:17" x14ac:dyDescent="0.3">
      <c r="C503" s="71"/>
      <c r="D503" s="71"/>
      <c r="E503" s="71" t="s">
        <v>16</v>
      </c>
    </row>
    <row r="504" spans="3:17" x14ac:dyDescent="0.3">
      <c r="E504" t="s">
        <v>17</v>
      </c>
      <c r="M504" s="74">
        <f>'Summary500-600'!$C$72</f>
        <v>0.13</v>
      </c>
      <c r="N504" s="74">
        <f>'Summary500-600'!$C$73</f>
        <v>0.04</v>
      </c>
      <c r="O504" s="74">
        <f>'Summary500-600'!$C$74</f>
        <v>0.03</v>
      </c>
      <c r="P504" s="75"/>
      <c r="Q504" s="75"/>
    </row>
    <row r="505" spans="3:17" x14ac:dyDescent="0.3">
      <c r="E505" t="s">
        <v>18</v>
      </c>
      <c r="G505" s="75"/>
      <c r="N505" s="74">
        <f>'Summary500-600'!$C$75</f>
        <v>0.8</v>
      </c>
      <c r="O505" s="76">
        <f>N505</f>
        <v>0.8</v>
      </c>
      <c r="P505" s="76">
        <f>O505</f>
        <v>0.8</v>
      </c>
      <c r="Q505" s="75"/>
    </row>
    <row r="506" spans="3:17" x14ac:dyDescent="0.3">
      <c r="E506" t="s">
        <v>19</v>
      </c>
      <c r="G506" s="75"/>
      <c r="N506" s="75"/>
      <c r="O506" s="74">
        <f>'Summary500-600'!$C$76</f>
        <v>1</v>
      </c>
      <c r="P506" s="74">
        <f>O506</f>
        <v>1</v>
      </c>
      <c r="Q506" s="74">
        <f>P506</f>
        <v>1</v>
      </c>
    </row>
    <row r="507" spans="3:17" x14ac:dyDescent="0.3">
      <c r="E507" t="s">
        <v>20</v>
      </c>
      <c r="O507" s="21"/>
    </row>
    <row r="508" spans="3:17" x14ac:dyDescent="0.3">
      <c r="O508" s="21"/>
    </row>
    <row r="509" spans="3:17" x14ac:dyDescent="0.3">
      <c r="C509" s="11"/>
      <c r="D509" s="11"/>
      <c r="E509" s="11" t="s">
        <v>196</v>
      </c>
      <c r="M509" s="90">
        <f>SUM(M510:M513)</f>
        <v>0.17350000000000004</v>
      </c>
      <c r="N509" s="90">
        <f t="shared" ref="N509:P509" si="63">SUM(N510:N513)</f>
        <v>0.17350000000000004</v>
      </c>
      <c r="O509" s="90">
        <f t="shared" si="63"/>
        <v>0.10742480000000001</v>
      </c>
      <c r="P509" s="90">
        <f t="shared" si="63"/>
        <v>0.10701824000000001</v>
      </c>
    </row>
    <row r="510" spans="3:17" x14ac:dyDescent="0.3">
      <c r="E510" t="s">
        <v>17</v>
      </c>
      <c r="M510" s="22">
        <f>(1-M504)*L501</f>
        <v>4.3500000000000039E-2</v>
      </c>
      <c r="N510" s="22">
        <f>M510*(1-N504)+M511*(1-N505)</f>
        <v>6.7760000000000029E-2</v>
      </c>
    </row>
    <row r="511" spans="3:17" x14ac:dyDescent="0.3">
      <c r="E511" t="s">
        <v>18</v>
      </c>
      <c r="M511" s="22">
        <f>M504</f>
        <v>0.13</v>
      </c>
      <c r="N511" s="22">
        <f>M510*N504</f>
        <v>1.7400000000000015E-3</v>
      </c>
      <c r="O511" s="22">
        <f>N510*O504</f>
        <v>2.0328000000000008E-3</v>
      </c>
      <c r="Q511" s="22"/>
    </row>
    <row r="512" spans="3:17" x14ac:dyDescent="0.3">
      <c r="E512" t="s">
        <v>19</v>
      </c>
      <c r="N512" s="22">
        <f>M511*N505</f>
        <v>0.10400000000000001</v>
      </c>
      <c r="O512" s="22">
        <f>N511*O505+N512</f>
        <v>0.10539200000000001</v>
      </c>
      <c r="P512" s="22">
        <f>O511*P505+O512</f>
        <v>0.10701824000000001</v>
      </c>
    </row>
    <row r="513" spans="3:17" x14ac:dyDescent="0.3">
      <c r="N513" s="22"/>
      <c r="O513" s="22"/>
    </row>
    <row r="514" spans="3:17" x14ac:dyDescent="0.3">
      <c r="E514" t="s">
        <v>195</v>
      </c>
      <c r="M514" s="22">
        <f>(1-M504)*L500</f>
        <v>0.82650000000000001</v>
      </c>
      <c r="O514" s="29">
        <f>N510*(1-O504)+N511*(1-O505)+N512*(1-O506)</f>
        <v>6.6075200000000028E-2</v>
      </c>
      <c r="P514" s="29">
        <f>O511*(1-P505)+O514</f>
        <v>6.6481760000000029E-2</v>
      </c>
      <c r="Q514" s="22"/>
    </row>
    <row r="515" spans="3:17" x14ac:dyDescent="0.3">
      <c r="M515" s="22"/>
      <c r="O515" s="29"/>
      <c r="P515" s="29"/>
      <c r="Q515" s="22"/>
    </row>
    <row r="516" spans="3:17" x14ac:dyDescent="0.3">
      <c r="M516" s="25" t="s">
        <v>32</v>
      </c>
    </row>
    <row r="517" spans="3:17" x14ac:dyDescent="0.3">
      <c r="C517" s="11"/>
      <c r="D517" s="11"/>
      <c r="E517" s="11" t="s">
        <v>124</v>
      </c>
      <c r="M517" s="8">
        <f>SUM(M518:M521)</f>
        <v>501.18038949825018</v>
      </c>
      <c r="N517" s="8">
        <f t="shared" ref="N517:O517" si="64">SUM(N518:N521)</f>
        <v>86.954797577946422</v>
      </c>
      <c r="O517" s="8">
        <f t="shared" si="64"/>
        <v>53.839203105771631</v>
      </c>
    </row>
    <row r="518" spans="3:17" x14ac:dyDescent="0.3">
      <c r="C518" s="23"/>
      <c r="D518" s="23"/>
      <c r="E518" s="23" t="s">
        <v>120</v>
      </c>
      <c r="M518" s="7">
        <f>L475*(1-M504)</f>
        <v>436.02693886347765</v>
      </c>
      <c r="N518" s="82">
        <f>M556*(1-N504)+M519*(1-N505)</f>
        <v>33.959983192401445</v>
      </c>
    </row>
    <row r="519" spans="3:17" x14ac:dyDescent="0.3">
      <c r="C519" s="24"/>
      <c r="D519" s="24"/>
      <c r="E519" s="24" t="s">
        <v>122</v>
      </c>
      <c r="M519" s="7">
        <f>L475*M504</f>
        <v>65.153450634772526</v>
      </c>
      <c r="N519" s="7">
        <f>M556*N504</f>
        <v>0.87205387772695608</v>
      </c>
      <c r="O519" s="7">
        <f>N518*O504</f>
        <v>1.0187994957720434</v>
      </c>
      <c r="P519" s="7">
        <f>O518*P504</f>
        <v>0</v>
      </c>
    </row>
    <row r="520" spans="3:17" x14ac:dyDescent="0.3">
      <c r="C520" s="23"/>
      <c r="D520" s="23"/>
      <c r="E520" s="23" t="s">
        <v>121</v>
      </c>
      <c r="N520" s="7">
        <f>M519*N505</f>
        <v>52.122760507818022</v>
      </c>
      <c r="O520" s="7">
        <f>N519*O505</f>
        <v>0.69764310218156489</v>
      </c>
      <c r="P520" s="7">
        <f>O519*P505</f>
        <v>0.81503959661763481</v>
      </c>
    </row>
    <row r="521" spans="3:17" x14ac:dyDescent="0.3">
      <c r="C521" s="23"/>
      <c r="D521" s="23"/>
      <c r="E521" s="23" t="s">
        <v>138</v>
      </c>
      <c r="N521" s="7"/>
      <c r="O521" s="7">
        <f>N520*O506</f>
        <v>52.122760507818022</v>
      </c>
      <c r="P521" s="7">
        <f>O520*P506+O521</f>
        <v>52.820403609999588</v>
      </c>
      <c r="Q521" s="7">
        <f>P520*Q506+P521</f>
        <v>53.635443206617225</v>
      </c>
    </row>
    <row r="522" spans="3:17" x14ac:dyDescent="0.3">
      <c r="C522" s="23"/>
      <c r="D522" s="23"/>
      <c r="E522" s="23"/>
      <c r="N522" s="7"/>
    </row>
    <row r="523" spans="3:17" x14ac:dyDescent="0.3">
      <c r="C523" s="23"/>
      <c r="D523" s="23"/>
      <c r="E523" s="23" t="s">
        <v>137</v>
      </c>
      <c r="N523" s="7"/>
      <c r="O523" s="7">
        <f>N518*(1-O504)+N519*(1-O505)+N520*(1-O506)</f>
        <v>33.115594472174791</v>
      </c>
      <c r="P523" s="7">
        <f>O519*(1-P505)+O523</f>
        <v>33.319354371329197</v>
      </c>
      <c r="Q523" s="7">
        <f>P520*(1-Q506)+P523</f>
        <v>33.319354371329197</v>
      </c>
    </row>
    <row r="524" spans="3:17" x14ac:dyDescent="0.3">
      <c r="C524" s="23"/>
      <c r="D524" s="23"/>
      <c r="E524" s="23"/>
      <c r="N524" s="7"/>
    </row>
    <row r="525" spans="3:17" x14ac:dyDescent="0.3">
      <c r="C525" s="11"/>
      <c r="D525" s="11"/>
      <c r="E525" s="11" t="s">
        <v>139</v>
      </c>
      <c r="M525" s="8">
        <f>SUM(M526:M527)</f>
        <v>436.02693886347765</v>
      </c>
      <c r="N525" s="8">
        <f>SUM(N526:N527)</f>
        <v>33.959983192401445</v>
      </c>
      <c r="O525" s="8">
        <f>SUM(O526:O527)</f>
        <v>33.115594472174791</v>
      </c>
      <c r="P525" s="8">
        <f>SUM(P526:P527)</f>
        <v>0.20375989915440865</v>
      </c>
    </row>
    <row r="526" spans="3:17" x14ac:dyDescent="0.3">
      <c r="C526" s="23"/>
      <c r="D526" s="23"/>
      <c r="E526" s="23" t="s">
        <v>120</v>
      </c>
      <c r="M526" s="7">
        <f>M518</f>
        <v>436.02693886347765</v>
      </c>
      <c r="N526" s="7">
        <f>M556*(1-N504)</f>
        <v>20.929293065446945</v>
      </c>
      <c r="O526" s="7">
        <f>N518*(1-O504)</f>
        <v>32.941183696629402</v>
      </c>
    </row>
    <row r="527" spans="3:17" x14ac:dyDescent="0.3">
      <c r="C527" s="24"/>
      <c r="D527" s="24"/>
      <c r="E527" s="24" t="s">
        <v>122</v>
      </c>
      <c r="N527" s="7">
        <f>M519*(1-N505)</f>
        <v>13.030690126954502</v>
      </c>
      <c r="O527" s="7">
        <f>N519*(1-O505)</f>
        <v>0.17441077554539117</v>
      </c>
      <c r="P527" s="7">
        <f>O519*(1-P505)</f>
        <v>0.20375989915440865</v>
      </c>
    </row>
    <row r="528" spans="3:17" x14ac:dyDescent="0.3">
      <c r="C528" s="23"/>
      <c r="D528" s="23"/>
      <c r="E528" s="23"/>
      <c r="N528" s="7"/>
      <c r="O528" s="7">
        <f>N520*(1-O506)</f>
        <v>0</v>
      </c>
      <c r="P528" s="7">
        <f>O520*(1-P506)</f>
        <v>0</v>
      </c>
    </row>
    <row r="529" spans="3:17" x14ac:dyDescent="0.3">
      <c r="C529" s="81"/>
      <c r="D529" s="81"/>
      <c r="E529" s="81" t="s">
        <v>123</v>
      </c>
    </row>
    <row r="530" spans="3:17" x14ac:dyDescent="0.3">
      <c r="C530" s="23"/>
      <c r="D530" s="23"/>
      <c r="E530" s="23" t="s">
        <v>120</v>
      </c>
      <c r="M530" s="7">
        <f>L491-M498</f>
        <v>25.641025641025642</v>
      </c>
      <c r="N530" s="7">
        <f>M530-N498</f>
        <v>12.820512820512823</v>
      </c>
      <c r="O530" s="7">
        <f>N530-O498</f>
        <v>0</v>
      </c>
    </row>
    <row r="531" spans="3:17" x14ac:dyDescent="0.3">
      <c r="C531" s="24"/>
      <c r="D531" s="24"/>
      <c r="E531" s="24" t="s">
        <v>122</v>
      </c>
      <c r="M531" s="7">
        <f>L491</f>
        <v>38.46153846153846</v>
      </c>
      <c r="N531" s="7">
        <f>M530</f>
        <v>25.641025641025642</v>
      </c>
      <c r="O531" s="7">
        <f>N530</f>
        <v>12.820512820512823</v>
      </c>
    </row>
    <row r="532" spans="3:17" x14ac:dyDescent="0.3">
      <c r="C532" s="23"/>
      <c r="D532" s="23"/>
      <c r="E532" s="23" t="s">
        <v>121</v>
      </c>
      <c r="N532" s="7">
        <f>M531</f>
        <v>38.46153846153846</v>
      </c>
      <c r="O532" s="7">
        <f>N531</f>
        <v>25.641025641025642</v>
      </c>
      <c r="P532" s="7">
        <f>O531</f>
        <v>12.820512820512823</v>
      </c>
    </row>
    <row r="533" spans="3:17" x14ac:dyDescent="0.3">
      <c r="C533" s="23"/>
      <c r="D533" s="23"/>
      <c r="E533" s="23"/>
      <c r="O533" s="7"/>
      <c r="P533" s="7"/>
    </row>
    <row r="534" spans="3:17" x14ac:dyDescent="0.3">
      <c r="C534" s="23"/>
      <c r="D534" s="23"/>
      <c r="E534" s="23"/>
      <c r="O534" s="7"/>
      <c r="P534" s="7"/>
    </row>
    <row r="535" spans="3:17" x14ac:dyDescent="0.3">
      <c r="C535" s="11"/>
      <c r="D535" s="11"/>
      <c r="E535" s="11" t="s">
        <v>130</v>
      </c>
      <c r="M535" s="8">
        <f>SUM(M536:M539)</f>
        <v>13686.079867067601</v>
      </c>
      <c r="N535" s="8">
        <f t="shared" ref="N535:P535" si="65">SUM(N536:N539)</f>
        <v>2462.4663137347361</v>
      </c>
      <c r="O535" s="8">
        <f t="shared" si="65"/>
        <v>2035.6713746614005</v>
      </c>
      <c r="P535" s="8">
        <f t="shared" si="65"/>
        <v>2033.059068261985</v>
      </c>
    </row>
    <row r="536" spans="3:17" x14ac:dyDescent="0.3">
      <c r="C536" s="23"/>
      <c r="D536" s="23"/>
      <c r="E536" s="23" t="s">
        <v>120</v>
      </c>
      <c r="M536" s="7">
        <f>M530*M518</f>
        <v>11180.17791957635</v>
      </c>
      <c r="N536" s="7">
        <f t="shared" ref="N536:O537" si="66">N530*N518</f>
        <v>435.38439990258269</v>
      </c>
      <c r="O536" s="7">
        <f t="shared" si="66"/>
        <v>0</v>
      </c>
    </row>
    <row r="537" spans="3:17" x14ac:dyDescent="0.3">
      <c r="C537" s="24"/>
      <c r="D537" s="24"/>
      <c r="E537" s="24" t="s">
        <v>122</v>
      </c>
      <c r="M537" s="7">
        <f>M531*M519</f>
        <v>2505.9019474912507</v>
      </c>
      <c r="N537" s="7">
        <f t="shared" si="66"/>
        <v>22.360355839152721</v>
      </c>
      <c r="O537" s="7">
        <f t="shared" si="66"/>
        <v>13.061531997077482</v>
      </c>
      <c r="P537" s="7">
        <f>P531*P519</f>
        <v>0</v>
      </c>
    </row>
    <row r="538" spans="3:17" x14ac:dyDescent="0.3">
      <c r="C538" s="23"/>
      <c r="D538" s="23"/>
      <c r="E538" s="23" t="s">
        <v>121</v>
      </c>
      <c r="N538" s="7">
        <f>N532*N520</f>
        <v>2004.7215579930007</v>
      </c>
      <c r="O538" s="7">
        <f>O532*O520</f>
        <v>17.888284671322179</v>
      </c>
      <c r="P538" s="7">
        <f>P532*P520</f>
        <v>10.449225597661986</v>
      </c>
    </row>
    <row r="539" spans="3:17" x14ac:dyDescent="0.3">
      <c r="C539" s="23"/>
      <c r="D539" s="23"/>
      <c r="E539" s="23" t="s">
        <v>299</v>
      </c>
      <c r="O539" s="8">
        <f>N538</f>
        <v>2004.7215579930007</v>
      </c>
      <c r="P539" s="8">
        <f>O539+O538</f>
        <v>2022.609842664323</v>
      </c>
      <c r="Q539" s="8">
        <f>P539+P538</f>
        <v>2033.059068261985</v>
      </c>
    </row>
    <row r="540" spans="3:17" x14ac:dyDescent="0.3">
      <c r="C540" s="23"/>
      <c r="D540" s="23"/>
      <c r="E540" s="23"/>
    </row>
    <row r="541" spans="3:17" x14ac:dyDescent="0.3">
      <c r="C541" s="105"/>
      <c r="D541" s="105"/>
      <c r="E541" s="105" t="s">
        <v>300</v>
      </c>
      <c r="L541" s="8">
        <f>Q539</f>
        <v>2033.059068261985</v>
      </c>
    </row>
    <row r="542" spans="3:17" x14ac:dyDescent="0.3">
      <c r="C542" s="23"/>
      <c r="D542" s="23"/>
      <c r="E542" s="23"/>
    </row>
    <row r="543" spans="3:17" x14ac:dyDescent="0.3">
      <c r="C543" s="11"/>
      <c r="D543" s="11"/>
      <c r="E543" s="11" t="s">
        <v>140</v>
      </c>
      <c r="M543" s="8">
        <f>SUM(M545:M548)</f>
        <v>16211.257983385707</v>
      </c>
      <c r="N543" s="8">
        <f>SUM(N545:N548)</f>
        <v>602.44452973533271</v>
      </c>
      <c r="O543" s="8">
        <f t="shared" ref="O543:P543" si="67">SUM(O545:O548)</f>
        <v>426.79493907333568</v>
      </c>
      <c r="P543" s="8">
        <f t="shared" si="67"/>
        <v>2.6123063994154951</v>
      </c>
    </row>
    <row r="544" spans="3:17" x14ac:dyDescent="0.3">
      <c r="C544" s="11"/>
      <c r="D544" s="11"/>
      <c r="E544" s="11"/>
      <c r="M544" s="8"/>
      <c r="N544" s="8"/>
      <c r="O544" s="8"/>
      <c r="P544" s="8"/>
    </row>
    <row r="545" spans="3:34" x14ac:dyDescent="0.3">
      <c r="E545" t="s">
        <v>131</v>
      </c>
      <c r="G545" s="23" t="s">
        <v>120</v>
      </c>
      <c r="M545" s="6">
        <f>M554*M499</f>
        <v>15931.753535396298</v>
      </c>
    </row>
    <row r="546" spans="3:34" x14ac:dyDescent="0.3">
      <c r="G546" s="23"/>
      <c r="M546" s="6"/>
    </row>
    <row r="547" spans="3:34" x14ac:dyDescent="0.3">
      <c r="E547" t="s">
        <v>200</v>
      </c>
      <c r="G547" s="23" t="s">
        <v>120</v>
      </c>
      <c r="M547" s="6">
        <f>M556*M498</f>
        <v>279.50444798940896</v>
      </c>
      <c r="N547" s="27">
        <f>N526*N498</f>
        <v>268.32427006983261</v>
      </c>
      <c r="O547" s="27">
        <f>O526*O498</f>
        <v>422.32286790550512</v>
      </c>
      <c r="P547" s="27">
        <f>P526*P498</f>
        <v>0</v>
      </c>
    </row>
    <row r="548" spans="3:34" x14ac:dyDescent="0.3">
      <c r="E548" t="s">
        <v>200</v>
      </c>
      <c r="G548" s="24" t="s">
        <v>122</v>
      </c>
      <c r="M548" s="6"/>
      <c r="N548" s="27">
        <f>N527*(M498+N498)</f>
        <v>334.12025966550004</v>
      </c>
      <c r="O548" s="27">
        <f>O527*(N498+O498)</f>
        <v>4.472071167830542</v>
      </c>
      <c r="P548" s="27">
        <f>P527*(O498+P498)</f>
        <v>2.6123063994154951</v>
      </c>
    </row>
    <row r="550" spans="3:34" x14ac:dyDescent="0.3">
      <c r="C550" s="11"/>
      <c r="D550" s="11"/>
      <c r="E550" s="11" t="s">
        <v>283</v>
      </c>
      <c r="M550" s="8">
        <f>SUM(M547:P548)</f>
        <v>1311.3562231974927</v>
      </c>
    </row>
    <row r="552" spans="3:34" x14ac:dyDescent="0.3">
      <c r="E552" t="s">
        <v>202</v>
      </c>
      <c r="M552" s="28">
        <f>M554*(N498+O498)</f>
        <v>10621.169023597531</v>
      </c>
    </row>
    <row r="554" spans="3:34" x14ac:dyDescent="0.3">
      <c r="C554" s="72"/>
      <c r="D554" s="72"/>
      <c r="E554" s="72" t="s">
        <v>132</v>
      </c>
      <c r="M554" s="73">
        <f>M518*L500</f>
        <v>414.22559192030377</v>
      </c>
    </row>
    <row r="556" spans="3:34" x14ac:dyDescent="0.3">
      <c r="E556" t="s">
        <v>201</v>
      </c>
      <c r="M556" s="7">
        <f>M518*L501</f>
        <v>21.8013469431739</v>
      </c>
    </row>
    <row r="559" spans="3:34" x14ac:dyDescent="0.3">
      <c r="E559" s="160" t="s">
        <v>220</v>
      </c>
      <c r="F559" s="161"/>
      <c r="G559" s="161"/>
      <c r="H559" s="161"/>
      <c r="I559" s="161"/>
      <c r="J559" s="161"/>
      <c r="K559" s="161"/>
      <c r="L559" s="161"/>
      <c r="M559" s="161"/>
      <c r="N559" s="161"/>
      <c r="O559" s="161"/>
      <c r="P559" s="161"/>
      <c r="Q559" s="161"/>
      <c r="R559" s="161"/>
      <c r="S559" s="161"/>
      <c r="T559" s="161"/>
      <c r="U559" s="161"/>
      <c r="V559" s="161"/>
      <c r="W559" s="161"/>
      <c r="X559" s="161"/>
      <c r="Y559" s="161"/>
      <c r="Z559" s="161"/>
      <c r="AA559" s="161"/>
      <c r="AB559" s="161"/>
      <c r="AC559" s="161"/>
      <c r="AD559" s="161"/>
      <c r="AE559" s="161"/>
      <c r="AF559" s="161"/>
      <c r="AG559" s="161"/>
      <c r="AH559" s="162"/>
    </row>
    <row r="561" spans="3:18" x14ac:dyDescent="0.3">
      <c r="E561" t="s">
        <v>197</v>
      </c>
      <c r="N561" s="83">
        <f>K214</f>
        <v>620.65682910000021</v>
      </c>
    </row>
    <row r="562" spans="3:18" x14ac:dyDescent="0.3">
      <c r="E562" t="s">
        <v>206</v>
      </c>
      <c r="N562" s="7">
        <f>N564*N561</f>
        <v>38.521489950846686</v>
      </c>
      <c r="Q562" s="77"/>
    </row>
    <row r="563" spans="3:18" x14ac:dyDescent="0.3">
      <c r="N563" s="7"/>
      <c r="Q563" s="77"/>
    </row>
    <row r="564" spans="3:18" x14ac:dyDescent="0.3">
      <c r="C564" s="11"/>
      <c r="D564" s="11"/>
      <c r="E564" s="11" t="s">
        <v>134</v>
      </c>
      <c r="F564" s="11"/>
      <c r="G564" s="11"/>
      <c r="N564" s="87">
        <f>N565*N566*N567*N568</f>
        <v>6.2065682910000017E-2</v>
      </c>
      <c r="O564" s="11"/>
      <c r="P564" s="11"/>
      <c r="R564" s="11"/>
    </row>
    <row r="565" spans="3:18" x14ac:dyDescent="0.3">
      <c r="E565" t="s">
        <v>35</v>
      </c>
      <c r="N565" s="84">
        <f>O253</f>
        <v>6.7339000000000024E-2</v>
      </c>
    </row>
    <row r="566" spans="3:18" x14ac:dyDescent="0.3">
      <c r="E566" t="s">
        <v>36</v>
      </c>
      <c r="N566" s="86">
        <f>0.95</f>
        <v>0.95</v>
      </c>
    </row>
    <row r="567" spans="3:18" x14ac:dyDescent="0.3">
      <c r="E567" t="s">
        <v>142</v>
      </c>
      <c r="N567" s="86">
        <v>0.99</v>
      </c>
    </row>
    <row r="568" spans="3:18" x14ac:dyDescent="0.3">
      <c r="E568" t="s">
        <v>37</v>
      </c>
      <c r="N568" s="86">
        <v>0.98</v>
      </c>
    </row>
    <row r="571" spans="3:18" x14ac:dyDescent="0.3">
      <c r="E571" t="s">
        <v>125</v>
      </c>
      <c r="N571" s="83">
        <f>$F$32</f>
        <v>32.051282051282051</v>
      </c>
    </row>
    <row r="572" spans="3:18" x14ac:dyDescent="0.3">
      <c r="C572" s="100"/>
      <c r="D572" s="100"/>
      <c r="E572" s="100" t="s">
        <v>135</v>
      </c>
      <c r="N572" s="101">
        <f>N571</f>
        <v>32.051282051282051</v>
      </c>
    </row>
    <row r="574" spans="3:18" x14ac:dyDescent="0.3">
      <c r="E574" t="s">
        <v>126</v>
      </c>
      <c r="N574" s="88">
        <f>$H$52</f>
        <v>0.2</v>
      </c>
    </row>
    <row r="575" spans="3:18" x14ac:dyDescent="0.3">
      <c r="E575" t="s">
        <v>117</v>
      </c>
      <c r="N575" s="7">
        <f>N574*N571</f>
        <v>6.4102564102564106</v>
      </c>
    </row>
    <row r="577" spans="3:19" x14ac:dyDescent="0.3">
      <c r="E577" t="s">
        <v>118</v>
      </c>
      <c r="N577" s="7">
        <f>N572</f>
        <v>32.051282051282051</v>
      </c>
    </row>
    <row r="578" spans="3:19" x14ac:dyDescent="0.3">
      <c r="E578" t="s">
        <v>106</v>
      </c>
      <c r="N578" s="7">
        <f>N571*(1+N574)</f>
        <v>38.46153846153846</v>
      </c>
    </row>
    <row r="579" spans="3:19" x14ac:dyDescent="0.3">
      <c r="N579" s="7"/>
    </row>
    <row r="580" spans="3:19" x14ac:dyDescent="0.3">
      <c r="E580" t="s">
        <v>136</v>
      </c>
      <c r="N580" s="7">
        <f>N577*N562</f>
        <v>1234.6631394502142</v>
      </c>
    </row>
    <row r="581" spans="3:19" x14ac:dyDescent="0.3">
      <c r="E581" t="s">
        <v>119</v>
      </c>
      <c r="N581" s="7">
        <f>N578*N562</f>
        <v>1481.595767340257</v>
      </c>
    </row>
    <row r="582" spans="3:19" x14ac:dyDescent="0.3">
      <c r="N582" s="7"/>
    </row>
    <row r="583" spans="3:19" x14ac:dyDescent="0.3">
      <c r="E583" t="s">
        <v>302</v>
      </c>
      <c r="N583" s="6">
        <f>N575*N562</f>
        <v>246.93262789004288</v>
      </c>
    </row>
    <row r="584" spans="3:19" x14ac:dyDescent="0.3">
      <c r="N584" s="7"/>
    </row>
    <row r="585" spans="3:19" x14ac:dyDescent="0.3">
      <c r="E585" t="s">
        <v>127</v>
      </c>
      <c r="O585" s="7">
        <f>N578/3</f>
        <v>12.820512820512819</v>
      </c>
      <c r="P585" s="7">
        <f>N578/3</f>
        <v>12.820512820512819</v>
      </c>
      <c r="Q585" s="7">
        <f>N578/3</f>
        <v>12.820512820512819</v>
      </c>
    </row>
    <row r="586" spans="3:19" x14ac:dyDescent="0.3">
      <c r="O586" s="7">
        <f>N578</f>
        <v>38.46153846153846</v>
      </c>
    </row>
    <row r="587" spans="3:19" x14ac:dyDescent="0.3">
      <c r="E587" t="s">
        <v>128</v>
      </c>
      <c r="N587" s="21">
        <f>'Summary500-600'!E39</f>
        <v>0.95</v>
      </c>
    </row>
    <row r="588" spans="3:19" x14ac:dyDescent="0.3">
      <c r="E588" t="s">
        <v>129</v>
      </c>
      <c r="N588" s="21">
        <f>1-N587</f>
        <v>5.0000000000000044E-2</v>
      </c>
    </row>
    <row r="590" spans="3:19" x14ac:dyDescent="0.3">
      <c r="C590" s="71"/>
      <c r="D590" s="71"/>
      <c r="E590" s="71" t="s">
        <v>16</v>
      </c>
    </row>
    <row r="591" spans="3:19" x14ac:dyDescent="0.3">
      <c r="E591" t="s">
        <v>17</v>
      </c>
      <c r="O591" s="74">
        <f>'Summary500-600'!$D$72</f>
        <v>0.13</v>
      </c>
      <c r="P591" s="74">
        <f>'Summary500-600'!$D$73</f>
        <v>0.04</v>
      </c>
      <c r="Q591" s="74">
        <f>'Summary500-600'!$D$74</f>
        <v>0.03</v>
      </c>
      <c r="R591" s="75"/>
      <c r="S591" s="75"/>
    </row>
    <row r="592" spans="3:19" x14ac:dyDescent="0.3">
      <c r="E592" t="s">
        <v>18</v>
      </c>
      <c r="G592" s="75"/>
      <c r="P592" s="74">
        <f>'Summary500-600'!$D$75</f>
        <v>0.8</v>
      </c>
      <c r="Q592" s="76">
        <f>P592</f>
        <v>0.8</v>
      </c>
      <c r="R592" s="76">
        <f>Q592</f>
        <v>0.8</v>
      </c>
      <c r="S592" s="75"/>
    </row>
    <row r="593" spans="3:19" x14ac:dyDescent="0.3">
      <c r="E593" t="s">
        <v>19</v>
      </c>
      <c r="G593" s="75"/>
      <c r="P593" s="75"/>
      <c r="Q593" s="74">
        <f>'Summary500-600'!$D$76</f>
        <v>1</v>
      </c>
      <c r="R593" s="74">
        <f>Q593</f>
        <v>1</v>
      </c>
      <c r="S593" s="74">
        <f>R593</f>
        <v>1</v>
      </c>
    </row>
    <row r="594" spans="3:19" x14ac:dyDescent="0.3">
      <c r="E594" t="s">
        <v>20</v>
      </c>
      <c r="Q594" s="21"/>
    </row>
    <row r="595" spans="3:19" x14ac:dyDescent="0.3">
      <c r="Q595" s="21"/>
    </row>
    <row r="596" spans="3:19" x14ac:dyDescent="0.3">
      <c r="C596" s="11"/>
      <c r="D596" s="11"/>
      <c r="E596" s="11" t="s">
        <v>196</v>
      </c>
      <c r="O596" s="90">
        <f>SUM(O597:O600)</f>
        <v>0.17350000000000004</v>
      </c>
      <c r="P596" s="90">
        <f t="shared" ref="P596:R596" si="68">SUM(P597:P600)</f>
        <v>0.17350000000000004</v>
      </c>
      <c r="Q596" s="90">
        <f t="shared" si="68"/>
        <v>0.10742480000000001</v>
      </c>
      <c r="R596" s="90">
        <f t="shared" si="68"/>
        <v>0.10701824000000001</v>
      </c>
    </row>
    <row r="597" spans="3:19" x14ac:dyDescent="0.3">
      <c r="E597" t="s">
        <v>17</v>
      </c>
      <c r="O597" s="22">
        <f>(1-O591)*N588</f>
        <v>4.3500000000000039E-2</v>
      </c>
      <c r="P597" s="22">
        <f>O597*(1-P591)+O598*(1-P592)</f>
        <v>6.7760000000000029E-2</v>
      </c>
    </row>
    <row r="598" spans="3:19" x14ac:dyDescent="0.3">
      <c r="E598" t="s">
        <v>18</v>
      </c>
      <c r="O598" s="22">
        <f>O591</f>
        <v>0.13</v>
      </c>
      <c r="P598" s="22">
        <f>O597*P591</f>
        <v>1.7400000000000015E-3</v>
      </c>
      <c r="Q598" s="22">
        <f>P597*Q591</f>
        <v>2.0328000000000008E-3</v>
      </c>
      <c r="S598" s="22"/>
    </row>
    <row r="599" spans="3:19" x14ac:dyDescent="0.3">
      <c r="E599" t="s">
        <v>19</v>
      </c>
      <c r="P599" s="22">
        <f>O598*P592</f>
        <v>0.10400000000000001</v>
      </c>
      <c r="Q599" s="22">
        <f>P598*Q592+P599</f>
        <v>0.10539200000000001</v>
      </c>
      <c r="R599" s="22">
        <f>Q598*R592+Q599</f>
        <v>0.10701824000000001</v>
      </c>
    </row>
    <row r="600" spans="3:19" x14ac:dyDescent="0.3">
      <c r="P600" s="22"/>
      <c r="Q600" s="22"/>
    </row>
    <row r="601" spans="3:19" x14ac:dyDescent="0.3">
      <c r="E601" t="s">
        <v>195</v>
      </c>
      <c r="O601" s="22">
        <f>(1-O591)*N587</f>
        <v>0.82650000000000001</v>
      </c>
      <c r="Q601" s="29">
        <f>P597*(1-Q591)+P598*(1-Q592)+P599*(1-Q593)</f>
        <v>6.6075200000000028E-2</v>
      </c>
      <c r="R601" s="29">
        <f>Q598*(1-R592)+Q601</f>
        <v>6.6481760000000029E-2</v>
      </c>
      <c r="S601" s="22"/>
    </row>
    <row r="602" spans="3:19" x14ac:dyDescent="0.3">
      <c r="O602" s="22"/>
      <c r="Q602" s="29"/>
      <c r="R602" s="29"/>
      <c r="S602" s="22"/>
    </row>
    <row r="603" spans="3:19" x14ac:dyDescent="0.3">
      <c r="O603" s="25" t="s">
        <v>32</v>
      </c>
    </row>
    <row r="604" spans="3:19" x14ac:dyDescent="0.3">
      <c r="C604" s="11"/>
      <c r="D604" s="11"/>
      <c r="E604" s="11" t="s">
        <v>124</v>
      </c>
      <c r="O604" s="8">
        <f>SUM(O605:O608)</f>
        <v>38.521489950846686</v>
      </c>
      <c r="P604" s="8">
        <f t="shared" ref="P604:Q604" si="69">SUM(P605:P608)</f>
        <v>6.6834785064719018</v>
      </c>
      <c r="Q604" s="8">
        <f t="shared" si="69"/>
        <v>4.1381633536717155</v>
      </c>
    </row>
    <row r="605" spans="3:19" x14ac:dyDescent="0.3">
      <c r="C605" s="23"/>
      <c r="D605" s="23"/>
      <c r="E605" s="23" t="s">
        <v>120</v>
      </c>
      <c r="O605" s="7">
        <f>N562*(1-O591)</f>
        <v>33.513696257236617</v>
      </c>
      <c r="P605" s="82">
        <f>O643*(1-P591)+O606*(1-P592)</f>
        <v>2.6102161590693731</v>
      </c>
    </row>
    <row r="606" spans="3:19" x14ac:dyDescent="0.3">
      <c r="C606" s="24"/>
      <c r="D606" s="24"/>
      <c r="E606" s="24" t="s">
        <v>122</v>
      </c>
      <c r="O606" s="7">
        <f>N562*O591</f>
        <v>5.0077936936100693</v>
      </c>
      <c r="P606" s="7">
        <f>O643*P591</f>
        <v>6.7027392514473302E-2</v>
      </c>
      <c r="Q606" s="7">
        <f>P605*Q591</f>
        <v>7.8306484772081186E-2</v>
      </c>
      <c r="R606" s="7">
        <f>Q605*R591</f>
        <v>0</v>
      </c>
    </row>
    <row r="607" spans="3:19" x14ac:dyDescent="0.3">
      <c r="C607" s="23"/>
      <c r="D607" s="23"/>
      <c r="E607" s="23" t="s">
        <v>121</v>
      </c>
      <c r="P607" s="7">
        <f>O606*P592</f>
        <v>4.0062349548880558</v>
      </c>
      <c r="Q607" s="7">
        <f>P606*Q592</f>
        <v>5.3621914011578647E-2</v>
      </c>
      <c r="R607" s="7">
        <f>Q606*R592</f>
        <v>6.2645187817664955E-2</v>
      </c>
    </row>
    <row r="608" spans="3:19" x14ac:dyDescent="0.3">
      <c r="C608" s="23"/>
      <c r="D608" s="23"/>
      <c r="E608" s="23" t="s">
        <v>138</v>
      </c>
      <c r="P608" s="7"/>
      <c r="Q608" s="7">
        <f>P607*Q593</f>
        <v>4.0062349548880558</v>
      </c>
      <c r="R608" s="7">
        <f>Q607*R593+Q608</f>
        <v>4.0598568688996348</v>
      </c>
      <c r="S608" s="7">
        <f>R607*S593+R608</f>
        <v>4.1225020567173001</v>
      </c>
    </row>
    <row r="609" spans="3:19" x14ac:dyDescent="0.3">
      <c r="C609" s="23"/>
      <c r="D609" s="23"/>
      <c r="E609" s="23"/>
      <c r="P609" s="7"/>
    </row>
    <row r="610" spans="3:19" x14ac:dyDescent="0.3">
      <c r="C610" s="23"/>
      <c r="D610" s="23"/>
      <c r="E610" s="23" t="s">
        <v>137</v>
      </c>
      <c r="P610" s="7"/>
      <c r="Q610" s="7">
        <f>P605*(1-Q591)+P606*(1-Q592)+P607*(1-Q593)</f>
        <v>2.5453151528001867</v>
      </c>
      <c r="R610" s="7">
        <f>Q606*(1-R592)+Q610</f>
        <v>2.560976449754603</v>
      </c>
      <c r="S610" s="7">
        <f>R607*(1-S593)+R610</f>
        <v>2.560976449754603</v>
      </c>
    </row>
    <row r="611" spans="3:19" x14ac:dyDescent="0.3">
      <c r="C611" s="23"/>
      <c r="D611" s="23"/>
      <c r="E611" s="23"/>
      <c r="P611" s="7"/>
    </row>
    <row r="612" spans="3:19" x14ac:dyDescent="0.3">
      <c r="C612" s="11"/>
      <c r="D612" s="11"/>
      <c r="E612" s="11" t="s">
        <v>139</v>
      </c>
      <c r="O612" s="8">
        <f>SUM(O613:O614)</f>
        <v>33.513696257236617</v>
      </c>
      <c r="P612" s="8">
        <f>SUM(P613:P614)</f>
        <v>2.6102161590693731</v>
      </c>
      <c r="Q612" s="8">
        <f>SUM(Q613:Q614)</f>
        <v>2.5453151528001867</v>
      </c>
      <c r="R612" s="8">
        <f>SUM(R613:R614)</f>
        <v>1.5661296954416235E-2</v>
      </c>
    </row>
    <row r="613" spans="3:19" x14ac:dyDescent="0.3">
      <c r="C613" s="23"/>
      <c r="D613" s="23"/>
      <c r="E613" s="23" t="s">
        <v>120</v>
      </c>
      <c r="O613" s="7">
        <f>O605</f>
        <v>33.513696257236617</v>
      </c>
      <c r="P613" s="7">
        <f>O643*(1-P591)</f>
        <v>1.6086574203473591</v>
      </c>
      <c r="Q613" s="7">
        <f>P605*(1-Q591)</f>
        <v>2.531909674297292</v>
      </c>
    </row>
    <row r="614" spans="3:19" x14ac:dyDescent="0.3">
      <c r="C614" s="24"/>
      <c r="D614" s="24"/>
      <c r="E614" s="24" t="s">
        <v>122</v>
      </c>
      <c r="P614" s="7">
        <f>O606*(1-P592)</f>
        <v>1.0015587387220137</v>
      </c>
      <c r="Q614" s="7">
        <f>P606*(1-Q592)</f>
        <v>1.3405478502894657E-2</v>
      </c>
      <c r="R614" s="7">
        <f>Q606*(1-R592)</f>
        <v>1.5661296954416235E-2</v>
      </c>
    </row>
    <row r="615" spans="3:19" x14ac:dyDescent="0.3">
      <c r="C615" s="23"/>
      <c r="D615" s="23"/>
      <c r="E615" s="23"/>
      <c r="P615" s="7"/>
      <c r="Q615" s="7">
        <f>P607*(1-Q593)</f>
        <v>0</v>
      </c>
      <c r="R615" s="7">
        <f>Q607*(1-R593)</f>
        <v>0</v>
      </c>
    </row>
    <row r="616" spans="3:19" x14ac:dyDescent="0.3">
      <c r="C616" s="81"/>
      <c r="D616" s="81"/>
      <c r="E616" s="81" t="s">
        <v>123</v>
      </c>
    </row>
    <row r="617" spans="3:19" x14ac:dyDescent="0.3">
      <c r="C617" s="23"/>
      <c r="D617" s="23"/>
      <c r="E617" s="23" t="s">
        <v>120</v>
      </c>
      <c r="O617" s="7">
        <f>N578-O585</f>
        <v>25.641025641025642</v>
      </c>
      <c r="P617" s="7">
        <f>O617-P585</f>
        <v>12.820512820512823</v>
      </c>
      <c r="Q617" s="7">
        <f>P617-Q585</f>
        <v>0</v>
      </c>
    </row>
    <row r="618" spans="3:19" x14ac:dyDescent="0.3">
      <c r="C618" s="24"/>
      <c r="D618" s="24"/>
      <c r="E618" s="24" t="s">
        <v>122</v>
      </c>
      <c r="O618" s="7">
        <f>N578</f>
        <v>38.46153846153846</v>
      </c>
      <c r="P618" s="7">
        <f>O617</f>
        <v>25.641025641025642</v>
      </c>
      <c r="Q618" s="7">
        <f>P617</f>
        <v>12.820512820512823</v>
      </c>
    </row>
    <row r="619" spans="3:19" x14ac:dyDescent="0.3">
      <c r="C619" s="23"/>
      <c r="D619" s="23"/>
      <c r="E619" s="23" t="s">
        <v>121</v>
      </c>
      <c r="P619" s="7">
        <f>O618</f>
        <v>38.46153846153846</v>
      </c>
      <c r="Q619" s="7">
        <f>P618</f>
        <v>25.641025641025642</v>
      </c>
      <c r="R619" s="7">
        <f>Q618</f>
        <v>12.820512820512823</v>
      </c>
    </row>
    <row r="620" spans="3:19" x14ac:dyDescent="0.3">
      <c r="C620" s="23"/>
      <c r="D620" s="23"/>
      <c r="E620" s="23"/>
      <c r="Q620" s="7"/>
      <c r="R620" s="7"/>
    </row>
    <row r="621" spans="3:19" x14ac:dyDescent="0.3">
      <c r="C621" s="23"/>
      <c r="D621" s="23"/>
      <c r="E621" s="23"/>
      <c r="Q621" s="7"/>
      <c r="R621" s="7"/>
    </row>
    <row r="622" spans="3:19" x14ac:dyDescent="0.3">
      <c r="C622" s="11"/>
      <c r="D622" s="11"/>
      <c r="E622" s="11" t="s">
        <v>130</v>
      </c>
      <c r="O622" s="8">
        <f>SUM(O623:O626)</f>
        <v>1051.9329948115826</v>
      </c>
      <c r="P622" s="8">
        <f t="shared" ref="P622:R622" si="70">SUM(P623:P626)</f>
        <v>189.26892062516009</v>
      </c>
      <c r="Q622" s="8">
        <f t="shared" si="70"/>
        <v>156.46480996742827</v>
      </c>
      <c r="R622" s="8">
        <f t="shared" si="70"/>
        <v>156.2640241090383</v>
      </c>
    </row>
    <row r="623" spans="3:19" x14ac:dyDescent="0.3">
      <c r="C623" s="23"/>
      <c r="D623" s="23"/>
      <c r="E623" s="23" t="s">
        <v>120</v>
      </c>
      <c r="O623" s="7">
        <f>O617*O605</f>
        <v>859.32554505734925</v>
      </c>
      <c r="P623" s="7">
        <f t="shared" ref="P623:Q624" si="71">P617*P605</f>
        <v>33.464309731658638</v>
      </c>
      <c r="Q623" s="7">
        <f t="shared" si="71"/>
        <v>0</v>
      </c>
    </row>
    <row r="624" spans="3:19" x14ac:dyDescent="0.3">
      <c r="C624" s="24"/>
      <c r="D624" s="24"/>
      <c r="E624" s="24" t="s">
        <v>122</v>
      </c>
      <c r="O624" s="7">
        <f>O618*O606</f>
        <v>192.60744975423341</v>
      </c>
      <c r="P624" s="7">
        <f t="shared" si="71"/>
        <v>1.7186510901147001</v>
      </c>
      <c r="Q624" s="7">
        <f t="shared" si="71"/>
        <v>1.0039292919497589</v>
      </c>
      <c r="R624" s="7">
        <f>R618*R606</f>
        <v>0</v>
      </c>
    </row>
    <row r="625" spans="3:19" x14ac:dyDescent="0.3">
      <c r="C625" s="23"/>
      <c r="D625" s="23"/>
      <c r="E625" s="23" t="s">
        <v>121</v>
      </c>
      <c r="P625" s="7">
        <f>P619*P607</f>
        <v>154.08595980338674</v>
      </c>
      <c r="Q625" s="7">
        <f>Q619*Q607</f>
        <v>1.3749208720917603</v>
      </c>
      <c r="R625" s="7">
        <f>R619*R607</f>
        <v>0.80314343355980722</v>
      </c>
    </row>
    <row r="626" spans="3:19" x14ac:dyDescent="0.3">
      <c r="C626" s="23"/>
      <c r="D626" s="23"/>
      <c r="E626" s="23" t="s">
        <v>299</v>
      </c>
      <c r="Q626" s="8">
        <f>P625</f>
        <v>154.08595980338674</v>
      </c>
      <c r="R626" s="8">
        <f>Q626+Q625</f>
        <v>155.46088067547851</v>
      </c>
      <c r="S626" s="8">
        <f>R626+R625</f>
        <v>156.2640241090383</v>
      </c>
    </row>
    <row r="627" spans="3:19" x14ac:dyDescent="0.3">
      <c r="C627" s="23"/>
      <c r="D627" s="23"/>
      <c r="E627" s="23"/>
    </row>
    <row r="628" spans="3:19" x14ac:dyDescent="0.3">
      <c r="C628" s="105"/>
      <c r="D628" s="105"/>
      <c r="E628" s="105" t="s">
        <v>300</v>
      </c>
      <c r="N628" s="8">
        <f>S626</f>
        <v>156.2640241090383</v>
      </c>
    </row>
    <row r="629" spans="3:19" x14ac:dyDescent="0.3">
      <c r="C629" s="23"/>
      <c r="D629" s="23"/>
      <c r="E629" s="23"/>
    </row>
    <row r="630" spans="3:19" x14ac:dyDescent="0.3">
      <c r="C630" s="11"/>
      <c r="D630" s="11"/>
      <c r="E630" s="11" t="s">
        <v>140</v>
      </c>
      <c r="O630" s="8">
        <f>SUM(O632:O635)</f>
        <v>1246.0220403331564</v>
      </c>
      <c r="P630" s="8">
        <f>SUM(P632:P635)</f>
        <v>46.30480638194085</v>
      </c>
      <c r="Q630" s="8">
        <f t="shared" ref="Q630:R630" si="72">SUM(Q632:Q635)</f>
        <v>32.804110657731812</v>
      </c>
      <c r="R630" s="8">
        <f t="shared" si="72"/>
        <v>0.20078585838995172</v>
      </c>
    </row>
    <row r="631" spans="3:19" x14ac:dyDescent="0.3">
      <c r="C631" s="11"/>
      <c r="D631" s="11"/>
      <c r="E631" s="11"/>
      <c r="O631" s="8"/>
      <c r="P631" s="8"/>
      <c r="Q631" s="8"/>
      <c r="R631" s="8"/>
    </row>
    <row r="632" spans="3:19" x14ac:dyDescent="0.3">
      <c r="E632" t="s">
        <v>131</v>
      </c>
      <c r="G632" s="23" t="s">
        <v>120</v>
      </c>
      <c r="O632" s="6">
        <f>O641*O586</f>
        <v>1224.5389017067225</v>
      </c>
    </row>
    <row r="633" spans="3:19" x14ac:dyDescent="0.3">
      <c r="G633" s="23"/>
      <c r="O633" s="6"/>
    </row>
    <row r="634" spans="3:19" x14ac:dyDescent="0.3">
      <c r="E634" t="s">
        <v>200</v>
      </c>
      <c r="G634" s="23" t="s">
        <v>120</v>
      </c>
      <c r="O634" s="6">
        <f>O643*O585</f>
        <v>21.483138626433746</v>
      </c>
      <c r="P634" s="27">
        <f>P613*P585</f>
        <v>20.623813081376397</v>
      </c>
      <c r="Q634" s="27">
        <f>Q613*Q585</f>
        <v>32.460380439708871</v>
      </c>
      <c r="R634" s="27">
        <f>R613*R585</f>
        <v>0</v>
      </c>
    </row>
    <row r="635" spans="3:19" x14ac:dyDescent="0.3">
      <c r="E635" t="s">
        <v>200</v>
      </c>
      <c r="G635" s="24" t="s">
        <v>122</v>
      </c>
      <c r="O635" s="6"/>
      <c r="P635" s="27">
        <f>P614*(O585+P585)</f>
        <v>25.680993300564452</v>
      </c>
      <c r="Q635" s="27">
        <f>Q614*(P585+Q585)</f>
        <v>0.3437302180229399</v>
      </c>
      <c r="R635" s="27">
        <f>R614*(Q585+R585)</f>
        <v>0.20078585838995172</v>
      </c>
    </row>
    <row r="637" spans="3:19" x14ac:dyDescent="0.3">
      <c r="C637" s="11"/>
      <c r="D637" s="11"/>
      <c r="E637" s="11" t="s">
        <v>283</v>
      </c>
      <c r="O637" s="8">
        <f>SUM(O634:R635)</f>
        <v>100.79284152449635</v>
      </c>
    </row>
    <row r="639" spans="3:19" x14ac:dyDescent="0.3">
      <c r="E639" t="s">
        <v>202</v>
      </c>
      <c r="O639" s="28">
        <f>O641*(P585+Q585)</f>
        <v>816.35926780448165</v>
      </c>
    </row>
    <row r="641" spans="3:25" x14ac:dyDescent="0.3">
      <c r="C641" s="72"/>
      <c r="D641" s="72"/>
      <c r="E641" s="72" t="s">
        <v>132</v>
      </c>
      <c r="O641" s="73">
        <f>O605*N587</f>
        <v>31.838011444374786</v>
      </c>
    </row>
    <row r="643" spans="3:25" x14ac:dyDescent="0.3">
      <c r="E643" t="s">
        <v>201</v>
      </c>
      <c r="O643" s="7">
        <f>O605*N588</f>
        <v>1.6756848128618325</v>
      </c>
    </row>
    <row r="646" spans="3:25" x14ac:dyDescent="0.3">
      <c r="E646" s="152" t="s">
        <v>224</v>
      </c>
      <c r="F646" s="153"/>
      <c r="G646" s="153"/>
      <c r="H646" s="153"/>
      <c r="I646" s="153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4"/>
    </row>
    <row r="648" spans="3:25" x14ac:dyDescent="0.3">
      <c r="E648" t="s">
        <v>197</v>
      </c>
      <c r="K648" s="83">
        <f>K380</f>
        <v>4685.139224999999</v>
      </c>
    </row>
    <row r="649" spans="3:25" x14ac:dyDescent="0.3">
      <c r="E649" t="s">
        <v>206</v>
      </c>
      <c r="K649" s="7">
        <f>K651*K648</f>
        <v>4685.139224999999</v>
      </c>
      <c r="N649" s="77"/>
    </row>
    <row r="650" spans="3:25" x14ac:dyDescent="0.3">
      <c r="K650" s="7"/>
      <c r="N650" s="77"/>
    </row>
    <row r="651" spans="3:25" x14ac:dyDescent="0.3">
      <c r="C651" s="11"/>
      <c r="D651" s="11"/>
      <c r="E651" s="11" t="s">
        <v>134</v>
      </c>
      <c r="F651" s="11"/>
      <c r="G651" s="11"/>
      <c r="K651" s="104">
        <f>$I$129</f>
        <v>1</v>
      </c>
      <c r="L651" s="11"/>
      <c r="M651" s="11"/>
      <c r="O651" s="11"/>
    </row>
    <row r="652" spans="3:25" x14ac:dyDescent="0.3">
      <c r="E652" t="s">
        <v>35</v>
      </c>
      <c r="K652" s="84">
        <f>O340</f>
        <v>0</v>
      </c>
    </row>
    <row r="653" spans="3:25" x14ac:dyDescent="0.3">
      <c r="E653" t="s">
        <v>36</v>
      </c>
      <c r="K653" s="89">
        <f>0.95</f>
        <v>0.95</v>
      </c>
    </row>
    <row r="654" spans="3:25" x14ac:dyDescent="0.3">
      <c r="E654" t="s">
        <v>142</v>
      </c>
      <c r="K654" s="89">
        <v>0.99</v>
      </c>
    </row>
    <row r="655" spans="3:25" x14ac:dyDescent="0.3">
      <c r="E655" t="s">
        <v>37</v>
      </c>
      <c r="K655" s="89">
        <v>0.98</v>
      </c>
    </row>
    <row r="658" spans="5:14" x14ac:dyDescent="0.3">
      <c r="E658" t="s">
        <v>125</v>
      </c>
      <c r="K658" s="83">
        <f>$F$33</f>
        <v>32.051282051282051</v>
      </c>
    </row>
    <row r="659" spans="5:14" x14ac:dyDescent="0.3">
      <c r="E659" t="s">
        <v>135</v>
      </c>
      <c r="K659" s="82">
        <f>K658</f>
        <v>32.051282051282051</v>
      </c>
    </row>
    <row r="661" spans="5:14" x14ac:dyDescent="0.3">
      <c r="E661" t="s">
        <v>126</v>
      </c>
      <c r="K661" s="88">
        <f>$H$52</f>
        <v>0.2</v>
      </c>
    </row>
    <row r="662" spans="5:14" x14ac:dyDescent="0.3">
      <c r="E662" t="s">
        <v>117</v>
      </c>
      <c r="K662" s="7">
        <f>K661*K658</f>
        <v>6.4102564102564106</v>
      </c>
    </row>
    <row r="664" spans="5:14" x14ac:dyDescent="0.3">
      <c r="E664" t="s">
        <v>118</v>
      </c>
      <c r="K664" s="7">
        <f>K659</f>
        <v>32.051282051282051</v>
      </c>
    </row>
    <row r="665" spans="5:14" x14ac:dyDescent="0.3">
      <c r="E665" t="s">
        <v>106</v>
      </c>
      <c r="K665" s="7">
        <f>K658*(1+K661)</f>
        <v>38.46153846153846</v>
      </c>
    </row>
    <row r="666" spans="5:14" x14ac:dyDescent="0.3">
      <c r="K666" s="7"/>
    </row>
    <row r="667" spans="5:14" x14ac:dyDescent="0.3">
      <c r="E667" t="s">
        <v>136</v>
      </c>
      <c r="K667" s="7">
        <f>K664*K649</f>
        <v>150164.71874999997</v>
      </c>
    </row>
    <row r="668" spans="5:14" x14ac:dyDescent="0.3">
      <c r="E668" t="s">
        <v>119</v>
      </c>
      <c r="K668" s="7">
        <f>K665*K649</f>
        <v>180197.66249999995</v>
      </c>
    </row>
    <row r="669" spans="5:14" x14ac:dyDescent="0.3">
      <c r="K669" s="7"/>
    </row>
    <row r="670" spans="5:14" x14ac:dyDescent="0.3">
      <c r="E670" t="s">
        <v>302</v>
      </c>
      <c r="K670" s="6">
        <f>K662*K649</f>
        <v>30032.943749999995</v>
      </c>
    </row>
    <row r="671" spans="5:14" x14ac:dyDescent="0.3">
      <c r="K671" s="7"/>
    </row>
    <row r="672" spans="5:14" x14ac:dyDescent="0.3">
      <c r="E672" t="s">
        <v>127</v>
      </c>
      <c r="L672" s="7">
        <f>K665/3</f>
        <v>12.820512820512819</v>
      </c>
      <c r="M672" s="7">
        <f>K665/3</f>
        <v>12.820512820512819</v>
      </c>
      <c r="N672" s="7">
        <f>K665/3</f>
        <v>12.820512820512819</v>
      </c>
    </row>
    <row r="673" spans="3:16" x14ac:dyDescent="0.3">
      <c r="L673" s="7">
        <f>K665</f>
        <v>38.46153846153846</v>
      </c>
    </row>
    <row r="674" spans="3:16" x14ac:dyDescent="0.3">
      <c r="E674" t="s">
        <v>128</v>
      </c>
      <c r="K674" s="21">
        <f>'Summary500-600'!C41</f>
        <v>0.95</v>
      </c>
    </row>
    <row r="675" spans="3:16" x14ac:dyDescent="0.3">
      <c r="E675" t="s">
        <v>129</v>
      </c>
      <c r="K675" s="21">
        <f>1-K674</f>
        <v>5.0000000000000044E-2</v>
      </c>
    </row>
    <row r="677" spans="3:16" x14ac:dyDescent="0.3">
      <c r="C677" s="71"/>
      <c r="D677" s="71"/>
      <c r="E677" s="71" t="s">
        <v>16</v>
      </c>
    </row>
    <row r="678" spans="3:16" x14ac:dyDescent="0.3">
      <c r="E678" t="s">
        <v>17</v>
      </c>
      <c r="L678" s="74">
        <f>'Summary500-600'!$C$79</f>
        <v>0.13</v>
      </c>
      <c r="M678" s="74">
        <f>'Summary500-600'!$C$80</f>
        <v>0.04</v>
      </c>
      <c r="N678" s="74">
        <f>'Summary500-600'!$C$81</f>
        <v>0.03</v>
      </c>
      <c r="O678" s="75"/>
      <c r="P678" s="75"/>
    </row>
    <row r="679" spans="3:16" x14ac:dyDescent="0.3">
      <c r="E679" t="s">
        <v>18</v>
      </c>
      <c r="G679" s="75"/>
      <c r="M679" s="74">
        <f>'Summary500-600'!$C$82</f>
        <v>0.8</v>
      </c>
      <c r="N679" s="76">
        <f>M679</f>
        <v>0.8</v>
      </c>
      <c r="O679" s="76">
        <f>N679</f>
        <v>0.8</v>
      </c>
      <c r="P679" s="75"/>
    </row>
    <row r="680" spans="3:16" x14ac:dyDescent="0.3">
      <c r="E680" t="s">
        <v>19</v>
      </c>
      <c r="G680" s="75"/>
      <c r="M680" s="75"/>
      <c r="N680" s="74">
        <f>'Summary500-600'!$C$83</f>
        <v>1</v>
      </c>
      <c r="O680" s="74">
        <f>N680</f>
        <v>1</v>
      </c>
      <c r="P680" s="74">
        <f>O680</f>
        <v>1</v>
      </c>
    </row>
    <row r="681" spans="3:16" x14ac:dyDescent="0.3">
      <c r="E681" t="s">
        <v>20</v>
      </c>
      <c r="N681" s="21"/>
    </row>
    <row r="682" spans="3:16" x14ac:dyDescent="0.3">
      <c r="N682" s="21"/>
    </row>
    <row r="683" spans="3:16" x14ac:dyDescent="0.3">
      <c r="C683" s="11"/>
      <c r="D683" s="11"/>
      <c r="E683" s="11" t="s">
        <v>196</v>
      </c>
      <c r="L683" s="90">
        <f>SUM(L684:L687)</f>
        <v>0.17350000000000004</v>
      </c>
      <c r="M683" s="90">
        <f t="shared" ref="M683:O683" si="73">SUM(M684:M687)</f>
        <v>0.17350000000000004</v>
      </c>
      <c r="N683" s="90">
        <f t="shared" si="73"/>
        <v>0.10742480000000001</v>
      </c>
      <c r="O683" s="90">
        <f t="shared" si="73"/>
        <v>0.10701824000000001</v>
      </c>
    </row>
    <row r="684" spans="3:16" x14ac:dyDescent="0.3">
      <c r="E684" t="s">
        <v>17</v>
      </c>
      <c r="L684" s="22">
        <f>(1-L678)*K675</f>
        <v>4.3500000000000039E-2</v>
      </c>
      <c r="M684" s="22">
        <f>L684*(1-M678)+L685*(1-M679)</f>
        <v>6.7760000000000029E-2</v>
      </c>
    </row>
    <row r="685" spans="3:16" x14ac:dyDescent="0.3">
      <c r="E685" t="s">
        <v>18</v>
      </c>
      <c r="L685" s="22">
        <f>L678</f>
        <v>0.13</v>
      </c>
      <c r="M685" s="22">
        <f>L684*M678</f>
        <v>1.7400000000000015E-3</v>
      </c>
      <c r="N685" s="22">
        <f>M684*N678</f>
        <v>2.0328000000000008E-3</v>
      </c>
      <c r="P685" s="22"/>
    </row>
    <row r="686" spans="3:16" x14ac:dyDescent="0.3">
      <c r="E686" t="s">
        <v>19</v>
      </c>
      <c r="M686" s="22">
        <f>L685*M679</f>
        <v>0.10400000000000001</v>
      </c>
      <c r="N686" s="22">
        <f>M685*N679+M686</f>
        <v>0.10539200000000001</v>
      </c>
      <c r="O686" s="22">
        <f>N685*O679+N686</f>
        <v>0.10701824000000001</v>
      </c>
    </row>
    <row r="687" spans="3:16" x14ac:dyDescent="0.3">
      <c r="M687" s="22"/>
      <c r="N687" s="22"/>
    </row>
    <row r="688" spans="3:16" x14ac:dyDescent="0.3">
      <c r="E688" t="s">
        <v>195</v>
      </c>
      <c r="L688" s="22">
        <f>(1-L678)*K674</f>
        <v>0.82650000000000001</v>
      </c>
      <c r="N688" s="29">
        <f>M684*(1-N678)+M685*(1-N679)+M686*(1-N680)</f>
        <v>6.6075200000000028E-2</v>
      </c>
      <c r="O688" s="29">
        <f>N685*(1-O679)+N688</f>
        <v>6.6481760000000029E-2</v>
      </c>
      <c r="P688" s="22"/>
    </row>
    <row r="689" spans="3:16" x14ac:dyDescent="0.3">
      <c r="L689" s="22"/>
      <c r="N689" s="29"/>
      <c r="O689" s="29"/>
      <c r="P689" s="22"/>
    </row>
    <row r="690" spans="3:16" x14ac:dyDescent="0.3">
      <c r="L690" s="25" t="s">
        <v>32</v>
      </c>
    </row>
    <row r="691" spans="3:16" x14ac:dyDescent="0.3">
      <c r="C691" s="11"/>
      <c r="D691" s="11"/>
      <c r="E691" s="11" t="s">
        <v>124</v>
      </c>
      <c r="L691" s="8">
        <f>SUM(L692:L695)</f>
        <v>4685.139224999999</v>
      </c>
      <c r="M691" s="8">
        <f t="shared" ref="M691:N691" si="74">SUM(M692:M695)</f>
        <v>812.87165553750015</v>
      </c>
      <c r="N691" s="8">
        <f t="shared" si="74"/>
        <v>503.30014421777997</v>
      </c>
    </row>
    <row r="692" spans="3:16" x14ac:dyDescent="0.3">
      <c r="C692" s="23"/>
      <c r="D692" s="23"/>
      <c r="E692" s="23" t="s">
        <v>120</v>
      </c>
      <c r="L692" s="7">
        <f>K649*(1-L678)</f>
        <v>4076.0711257499993</v>
      </c>
      <c r="M692" s="82">
        <f>L730*(1-M678)+L693*(1-M679)</f>
        <v>317.46503388600013</v>
      </c>
    </row>
    <row r="693" spans="3:16" x14ac:dyDescent="0.3">
      <c r="C693" s="24"/>
      <c r="D693" s="24"/>
      <c r="E693" s="24" t="s">
        <v>122</v>
      </c>
      <c r="L693" s="7">
        <f>K649*L678</f>
        <v>609.06809924999993</v>
      </c>
      <c r="M693" s="7">
        <f>L730*M678</f>
        <v>8.1521422515000062</v>
      </c>
      <c r="N693" s="7">
        <f>M692*N678</f>
        <v>9.5239510165800034</v>
      </c>
      <c r="O693" s="7">
        <f>N692*O678</f>
        <v>0</v>
      </c>
    </row>
    <row r="694" spans="3:16" x14ac:dyDescent="0.3">
      <c r="C694" s="23"/>
      <c r="D694" s="23"/>
      <c r="E694" s="23" t="s">
        <v>121</v>
      </c>
      <c r="M694" s="7">
        <f>L693*M679</f>
        <v>487.25447939999998</v>
      </c>
      <c r="N694" s="7">
        <f>M693*N679</f>
        <v>6.5217138012000051</v>
      </c>
      <c r="O694" s="7">
        <f>N693*O679</f>
        <v>7.6191608132640027</v>
      </c>
    </row>
    <row r="695" spans="3:16" x14ac:dyDescent="0.3">
      <c r="C695" s="23"/>
      <c r="D695" s="23"/>
      <c r="E695" s="23" t="s">
        <v>138</v>
      </c>
      <c r="M695" s="7"/>
      <c r="N695" s="7">
        <f>M694*N680</f>
        <v>487.25447939999998</v>
      </c>
      <c r="O695" s="7">
        <f>N694*O680+N695</f>
        <v>493.77619320119999</v>
      </c>
      <c r="P695" s="7">
        <f>O694*P680+O695</f>
        <v>501.39535401446398</v>
      </c>
    </row>
    <row r="696" spans="3:16" x14ac:dyDescent="0.3">
      <c r="C696" s="23"/>
      <c r="D696" s="23"/>
      <c r="E696" s="23"/>
      <c r="M696" s="7"/>
    </row>
    <row r="697" spans="3:16" x14ac:dyDescent="0.3">
      <c r="C697" s="23"/>
      <c r="D697" s="23"/>
      <c r="E697" s="23" t="s">
        <v>137</v>
      </c>
      <c r="M697" s="7"/>
      <c r="N697" s="7">
        <f>M692*(1-N678)+M693*(1-N679)+M694*(1-N680)</f>
        <v>309.57151131972012</v>
      </c>
      <c r="O697" s="7">
        <f>N693*(1-O679)+N697</f>
        <v>311.47630152303611</v>
      </c>
      <c r="P697" s="7">
        <f>O694*(1-P680)+O697</f>
        <v>311.47630152303611</v>
      </c>
    </row>
    <row r="698" spans="3:16" x14ac:dyDescent="0.3">
      <c r="C698" s="23"/>
      <c r="D698" s="23"/>
      <c r="E698" s="23"/>
      <c r="M698" s="7"/>
    </row>
    <row r="699" spans="3:16" x14ac:dyDescent="0.3">
      <c r="C699" s="11"/>
      <c r="D699" s="11"/>
      <c r="E699" s="11" t="s">
        <v>139</v>
      </c>
      <c r="L699" s="8">
        <f>SUM(L700:L701)</f>
        <v>4076.0711257499993</v>
      </c>
      <c r="M699" s="8">
        <f>SUM(M700:M701)</f>
        <v>317.46503388600013</v>
      </c>
      <c r="N699" s="8">
        <f>SUM(N700:N701)</f>
        <v>309.57151131972012</v>
      </c>
      <c r="O699" s="8">
        <f>SUM(O700:O701)</f>
        <v>1.9047902033160002</v>
      </c>
    </row>
    <row r="700" spans="3:16" x14ac:dyDescent="0.3">
      <c r="C700" s="23"/>
      <c r="D700" s="23"/>
      <c r="E700" s="23" t="s">
        <v>120</v>
      </c>
      <c r="L700" s="7">
        <f>L692</f>
        <v>4076.0711257499993</v>
      </c>
      <c r="M700" s="7">
        <f>L730*(1-M678)</f>
        <v>195.65141403600015</v>
      </c>
      <c r="N700" s="7">
        <f>M692*(1-N678)</f>
        <v>307.94108286942014</v>
      </c>
    </row>
    <row r="701" spans="3:16" x14ac:dyDescent="0.3">
      <c r="C701" s="24"/>
      <c r="D701" s="24"/>
      <c r="E701" s="24" t="s">
        <v>122</v>
      </c>
      <c r="M701" s="7">
        <f>L693*(1-M679)</f>
        <v>121.81361984999995</v>
      </c>
      <c r="N701" s="7">
        <f>M693*(1-N679)</f>
        <v>1.6304284503000008</v>
      </c>
      <c r="O701" s="7">
        <f>N693*(1-O679)</f>
        <v>1.9047902033160002</v>
      </c>
    </row>
    <row r="702" spans="3:16" x14ac:dyDescent="0.3">
      <c r="C702" s="23"/>
      <c r="D702" s="23"/>
      <c r="E702" s="23"/>
      <c r="M702" s="7"/>
      <c r="N702" s="7">
        <f>M694*(1-N680)</f>
        <v>0</v>
      </c>
      <c r="O702" s="7">
        <f>N694*(1-O680)</f>
        <v>0</v>
      </c>
    </row>
    <row r="703" spans="3:16" x14ac:dyDescent="0.3">
      <c r="C703" s="81"/>
      <c r="D703" s="81"/>
      <c r="E703" s="81" t="s">
        <v>123</v>
      </c>
    </row>
    <row r="704" spans="3:16" x14ac:dyDescent="0.3">
      <c r="C704" s="23"/>
      <c r="D704" s="23"/>
      <c r="E704" s="23" t="s">
        <v>120</v>
      </c>
      <c r="L704" s="7">
        <f>K665-L672</f>
        <v>25.641025641025642</v>
      </c>
      <c r="M704" s="7">
        <f>L704-M672</f>
        <v>12.820512820512823</v>
      </c>
      <c r="N704" s="7">
        <f>M704-N672</f>
        <v>0</v>
      </c>
    </row>
    <row r="705" spans="3:16" x14ac:dyDescent="0.3">
      <c r="C705" s="24"/>
      <c r="D705" s="24"/>
      <c r="E705" s="24" t="s">
        <v>122</v>
      </c>
      <c r="L705" s="7">
        <f>K665</f>
        <v>38.46153846153846</v>
      </c>
      <c r="M705" s="7">
        <f>L704</f>
        <v>25.641025641025642</v>
      </c>
      <c r="N705" s="7">
        <f>M704</f>
        <v>12.820512820512823</v>
      </c>
    </row>
    <row r="706" spans="3:16" x14ac:dyDescent="0.3">
      <c r="C706" s="23"/>
      <c r="D706" s="23"/>
      <c r="E706" s="23" t="s">
        <v>121</v>
      </c>
      <c r="M706" s="7">
        <f>L705</f>
        <v>38.46153846153846</v>
      </c>
      <c r="N706" s="7">
        <f>M705</f>
        <v>25.641025641025642</v>
      </c>
      <c r="O706" s="7">
        <f>N705</f>
        <v>12.820512820512823</v>
      </c>
    </row>
    <row r="707" spans="3:16" x14ac:dyDescent="0.3">
      <c r="C707" s="23"/>
      <c r="D707" s="23"/>
      <c r="E707" s="23"/>
      <c r="N707" s="7"/>
      <c r="O707" s="7"/>
    </row>
    <row r="708" spans="3:16" x14ac:dyDescent="0.3">
      <c r="C708" s="23"/>
      <c r="D708" s="23"/>
      <c r="E708" s="23"/>
      <c r="N708" s="7"/>
      <c r="O708" s="7"/>
    </row>
    <row r="709" spans="3:16" x14ac:dyDescent="0.3">
      <c r="C709" s="11"/>
      <c r="D709" s="11"/>
      <c r="E709" s="11" t="s">
        <v>130</v>
      </c>
      <c r="L709" s="8">
        <f>SUM(L710:L713)</f>
        <v>127940.34037499997</v>
      </c>
      <c r="M709" s="8">
        <f t="shared" ref="M709:O709" si="75">SUM(M710:M713)</f>
        <v>23019.650725500003</v>
      </c>
      <c r="N709" s="8">
        <f t="shared" si="75"/>
        <v>19029.882266910001</v>
      </c>
      <c r="O709" s="8">
        <f t="shared" si="75"/>
        <v>19005.461879687999</v>
      </c>
    </row>
    <row r="710" spans="3:16" x14ac:dyDescent="0.3">
      <c r="C710" s="23"/>
      <c r="D710" s="23"/>
      <c r="E710" s="23" t="s">
        <v>120</v>
      </c>
      <c r="L710" s="7">
        <f>L704*L692</f>
        <v>104514.64424999998</v>
      </c>
      <c r="M710" s="7">
        <f t="shared" ref="M710:N711" si="76">M704*M692</f>
        <v>4070.0645370000025</v>
      </c>
      <c r="N710" s="7">
        <f t="shared" si="76"/>
        <v>0</v>
      </c>
    </row>
    <row r="711" spans="3:16" x14ac:dyDescent="0.3">
      <c r="C711" s="24"/>
      <c r="D711" s="24"/>
      <c r="E711" s="24" t="s">
        <v>122</v>
      </c>
      <c r="L711" s="7">
        <f>L705*L693</f>
        <v>23425.696124999995</v>
      </c>
      <c r="M711" s="7">
        <f t="shared" si="76"/>
        <v>209.02928850000018</v>
      </c>
      <c r="N711" s="7">
        <f t="shared" si="76"/>
        <v>122.10193611000007</v>
      </c>
      <c r="O711" s="7">
        <f>O705*O693</f>
        <v>0</v>
      </c>
    </row>
    <row r="712" spans="3:16" x14ac:dyDescent="0.3">
      <c r="C712" s="23"/>
      <c r="D712" s="23"/>
      <c r="E712" s="23" t="s">
        <v>121</v>
      </c>
      <c r="M712" s="7">
        <f>M706*M694</f>
        <v>18740.5569</v>
      </c>
      <c r="N712" s="7">
        <f>N706*N694</f>
        <v>167.22343080000013</v>
      </c>
      <c r="O712" s="7">
        <f>O706*O694</f>
        <v>97.681548888000052</v>
      </c>
    </row>
    <row r="713" spans="3:16" x14ac:dyDescent="0.3">
      <c r="C713" s="23"/>
      <c r="D713" s="23"/>
      <c r="E713" s="23" t="s">
        <v>299</v>
      </c>
      <c r="N713" s="8">
        <f>M712</f>
        <v>18740.5569</v>
      </c>
      <c r="O713" s="8">
        <f>N713+N712</f>
        <v>18907.7803308</v>
      </c>
      <c r="P713" s="8">
        <f>O713+O712</f>
        <v>19005.461879687999</v>
      </c>
    </row>
    <row r="714" spans="3:16" x14ac:dyDescent="0.3">
      <c r="C714" s="23"/>
      <c r="D714" s="23"/>
      <c r="E714" s="23"/>
    </row>
    <row r="715" spans="3:16" x14ac:dyDescent="0.3">
      <c r="C715" s="105"/>
      <c r="D715" s="105"/>
      <c r="E715" s="105" t="s">
        <v>300</v>
      </c>
      <c r="K715" s="8">
        <f>P713</f>
        <v>19005.461879687999</v>
      </c>
    </row>
    <row r="716" spans="3:16" x14ac:dyDescent="0.3">
      <c r="C716" s="23"/>
      <c r="D716" s="23"/>
      <c r="E716" s="23"/>
    </row>
    <row r="717" spans="3:16" x14ac:dyDescent="0.3">
      <c r="C717" s="11"/>
      <c r="D717" s="11"/>
      <c r="E717" s="11" t="s">
        <v>140</v>
      </c>
      <c r="L717" s="8">
        <f>SUM(L719:L722)</f>
        <v>151546.23416249995</v>
      </c>
      <c r="M717" s="8">
        <f>SUM(M719:M722)</f>
        <v>5631.7776119999999</v>
      </c>
      <c r="N717" s="8">
        <f t="shared" ref="N717:O717" si="77">SUM(N719:N722)</f>
        <v>3989.7684585900015</v>
      </c>
      <c r="O717" s="8">
        <f t="shared" si="77"/>
        <v>24.420387222000002</v>
      </c>
    </row>
    <row r="718" spans="3:16" x14ac:dyDescent="0.3">
      <c r="C718" s="11"/>
      <c r="D718" s="11"/>
      <c r="E718" s="11"/>
      <c r="L718" s="8"/>
      <c r="M718" s="8"/>
      <c r="N718" s="8"/>
      <c r="O718" s="8"/>
    </row>
    <row r="719" spans="3:16" x14ac:dyDescent="0.3">
      <c r="E719" t="s">
        <v>131</v>
      </c>
      <c r="G719" s="23" t="s">
        <v>120</v>
      </c>
      <c r="L719" s="6">
        <f>L728*L673</f>
        <v>148933.36805624995</v>
      </c>
    </row>
    <row r="720" spans="3:16" x14ac:dyDescent="0.3">
      <c r="G720" s="23"/>
      <c r="L720" s="6"/>
    </row>
    <row r="721" spans="3:34" x14ac:dyDescent="0.3">
      <c r="E721" t="s">
        <v>200</v>
      </c>
      <c r="G721" s="23" t="s">
        <v>120</v>
      </c>
      <c r="L721" s="6">
        <f>L730*L672</f>
        <v>2612.8661062500018</v>
      </c>
      <c r="M721" s="27">
        <f>M700*M672</f>
        <v>2508.3514620000014</v>
      </c>
      <c r="N721" s="27">
        <f>N700*N672</f>
        <v>3947.9626008900013</v>
      </c>
      <c r="O721" s="27">
        <f>O700*O672</f>
        <v>0</v>
      </c>
    </row>
    <row r="722" spans="3:34" x14ac:dyDescent="0.3">
      <c r="E722" t="s">
        <v>200</v>
      </c>
      <c r="G722" s="24" t="s">
        <v>122</v>
      </c>
      <c r="L722" s="6"/>
      <c r="M722" s="27">
        <f>M701*(L672+M672)</f>
        <v>3123.4261499999984</v>
      </c>
      <c r="N722" s="27">
        <f>N701*(M672+N672)</f>
        <v>41.805857700000018</v>
      </c>
      <c r="O722" s="27">
        <f>O701*(N672+O672)</f>
        <v>24.420387222000002</v>
      </c>
    </row>
    <row r="724" spans="3:34" x14ac:dyDescent="0.3">
      <c r="C724" s="11"/>
      <c r="D724" s="11"/>
      <c r="E724" s="11" t="s">
        <v>283</v>
      </c>
      <c r="L724" s="8">
        <f>SUM(L721:O722)</f>
        <v>12258.832564062002</v>
      </c>
    </row>
    <row r="726" spans="3:34" x14ac:dyDescent="0.3">
      <c r="E726" t="s">
        <v>202</v>
      </c>
      <c r="L726" s="28">
        <f>L728*(M672+N672)</f>
        <v>99288.912037499962</v>
      </c>
    </row>
    <row r="728" spans="3:34" x14ac:dyDescent="0.3">
      <c r="C728" s="72"/>
      <c r="D728" s="72"/>
      <c r="E728" s="72" t="s">
        <v>132</v>
      </c>
      <c r="L728" s="73">
        <f>L692*K674</f>
        <v>3872.2675694624991</v>
      </c>
    </row>
    <row r="730" spans="3:34" x14ac:dyDescent="0.3">
      <c r="E730" t="s">
        <v>201</v>
      </c>
      <c r="L730" s="7">
        <f>L692*K675</f>
        <v>203.80355628750016</v>
      </c>
    </row>
    <row r="733" spans="3:34" x14ac:dyDescent="0.3">
      <c r="E733" s="160" t="s">
        <v>230</v>
      </c>
      <c r="F733" s="161"/>
      <c r="G733" s="161"/>
      <c r="H733" s="161"/>
      <c r="I733" s="161"/>
      <c r="J733" s="161"/>
      <c r="K733" s="161"/>
      <c r="L733" s="161"/>
      <c r="M733" s="161"/>
      <c r="N733" s="161"/>
      <c r="O733" s="161"/>
      <c r="P733" s="161"/>
      <c r="Q733" s="161"/>
      <c r="R733" s="161"/>
      <c r="S733" s="161"/>
      <c r="T733" s="161"/>
      <c r="U733" s="161"/>
      <c r="V733" s="161"/>
      <c r="W733" s="161"/>
      <c r="X733" s="161"/>
      <c r="Y733" s="161"/>
      <c r="Z733" s="161"/>
      <c r="AA733" s="161"/>
      <c r="AB733" s="161"/>
      <c r="AC733" s="161"/>
      <c r="AD733" s="161"/>
      <c r="AE733" s="161"/>
      <c r="AF733" s="161"/>
      <c r="AG733" s="161"/>
      <c r="AH733" s="162"/>
    </row>
    <row r="735" spans="3:34" x14ac:dyDescent="0.3">
      <c r="E735" t="s">
        <v>197</v>
      </c>
      <c r="M735" s="83">
        <f>J301</f>
        <v>5668.65</v>
      </c>
    </row>
    <row r="736" spans="3:34" x14ac:dyDescent="0.3">
      <c r="E736" t="s">
        <v>206</v>
      </c>
      <c r="M736" s="7">
        <f>M738*M735</f>
        <v>347.34977900879267</v>
      </c>
      <c r="P736" s="77"/>
    </row>
    <row r="737" spans="3:17" x14ac:dyDescent="0.3">
      <c r="M737" s="7"/>
      <c r="P737" s="77"/>
    </row>
    <row r="738" spans="3:17" x14ac:dyDescent="0.3">
      <c r="C738" s="11"/>
      <c r="D738" s="11"/>
      <c r="E738" s="11" t="s">
        <v>134</v>
      </c>
      <c r="F738" s="11"/>
      <c r="G738" s="11"/>
      <c r="M738" s="91">
        <f>M739*M740*M741*M742</f>
        <v>6.1275573374400025E-2</v>
      </c>
      <c r="N738" s="11"/>
      <c r="O738" s="11"/>
      <c r="Q738" s="11"/>
    </row>
    <row r="739" spans="3:17" x14ac:dyDescent="0.3">
      <c r="E739" t="s">
        <v>35</v>
      </c>
      <c r="M739" s="84">
        <f>N340</f>
        <v>6.6481760000000029E-2</v>
      </c>
    </row>
    <row r="740" spans="3:17" x14ac:dyDescent="0.3">
      <c r="E740" t="s">
        <v>36</v>
      </c>
      <c r="M740" s="86">
        <f>0.95</f>
        <v>0.95</v>
      </c>
    </row>
    <row r="741" spans="3:17" x14ac:dyDescent="0.3">
      <c r="E741" t="s">
        <v>142</v>
      </c>
      <c r="M741" s="86">
        <v>0.99</v>
      </c>
    </row>
    <row r="742" spans="3:17" x14ac:dyDescent="0.3">
      <c r="E742" t="s">
        <v>37</v>
      </c>
      <c r="M742" s="86">
        <v>0.98</v>
      </c>
    </row>
    <row r="745" spans="3:17" x14ac:dyDescent="0.3">
      <c r="E745" t="s">
        <v>125</v>
      </c>
      <c r="M745" s="83">
        <f>$F$33</f>
        <v>32.051282051282051</v>
      </c>
    </row>
    <row r="746" spans="3:17" x14ac:dyDescent="0.3">
      <c r="C746" s="100"/>
      <c r="D746" s="100"/>
      <c r="E746" s="100" t="s">
        <v>135</v>
      </c>
      <c r="M746" s="101">
        <f>M745</f>
        <v>32.051282051282051</v>
      </c>
    </row>
    <row r="748" spans="3:17" x14ac:dyDescent="0.3">
      <c r="E748" t="s">
        <v>126</v>
      </c>
      <c r="M748" s="88">
        <f>$H$52</f>
        <v>0.2</v>
      </c>
    </row>
    <row r="749" spans="3:17" x14ac:dyDescent="0.3">
      <c r="E749" t="s">
        <v>117</v>
      </c>
      <c r="M749" s="7">
        <f>M748*M745</f>
        <v>6.4102564102564106</v>
      </c>
    </row>
    <row r="751" spans="3:17" x14ac:dyDescent="0.3">
      <c r="E751" t="s">
        <v>118</v>
      </c>
      <c r="M751" s="7">
        <f>M746</f>
        <v>32.051282051282051</v>
      </c>
    </row>
    <row r="752" spans="3:17" x14ac:dyDescent="0.3">
      <c r="E752" t="s">
        <v>106</v>
      </c>
      <c r="M752" s="7">
        <f>M745*(1+M748)</f>
        <v>38.46153846153846</v>
      </c>
    </row>
    <row r="753" spans="3:18" x14ac:dyDescent="0.3">
      <c r="M753" s="7"/>
    </row>
    <row r="754" spans="3:18" x14ac:dyDescent="0.3">
      <c r="E754" t="s">
        <v>136</v>
      </c>
      <c r="M754" s="7">
        <f>M751*M736</f>
        <v>11133.005737461302</v>
      </c>
    </row>
    <row r="755" spans="3:18" x14ac:dyDescent="0.3">
      <c r="E755" t="s">
        <v>119</v>
      </c>
      <c r="M755" s="7">
        <f>M752*M736</f>
        <v>13359.606884953564</v>
      </c>
    </row>
    <row r="756" spans="3:18" x14ac:dyDescent="0.3">
      <c r="M756" s="7"/>
    </row>
    <row r="757" spans="3:18" x14ac:dyDescent="0.3">
      <c r="E757" t="s">
        <v>302</v>
      </c>
      <c r="M757" s="6">
        <f>M749*M736</f>
        <v>2226.6011474922607</v>
      </c>
    </row>
    <row r="758" spans="3:18" x14ac:dyDescent="0.3">
      <c r="M758" s="7"/>
    </row>
    <row r="759" spans="3:18" x14ac:dyDescent="0.3">
      <c r="E759" t="s">
        <v>127</v>
      </c>
      <c r="N759" s="7">
        <f>M752/3</f>
        <v>12.820512820512819</v>
      </c>
      <c r="O759" s="7">
        <f>M752/3</f>
        <v>12.820512820512819</v>
      </c>
      <c r="P759" s="7">
        <f>M752/3</f>
        <v>12.820512820512819</v>
      </c>
    </row>
    <row r="760" spans="3:18" x14ac:dyDescent="0.3">
      <c r="N760" s="7">
        <f>M752</f>
        <v>38.46153846153846</v>
      </c>
    </row>
    <row r="761" spans="3:18" x14ac:dyDescent="0.3">
      <c r="E761" t="s">
        <v>128</v>
      </c>
      <c r="M761" s="21">
        <f>'Summary500-600'!E41</f>
        <v>0.95</v>
      </c>
    </row>
    <row r="762" spans="3:18" x14ac:dyDescent="0.3">
      <c r="E762" t="s">
        <v>129</v>
      </c>
      <c r="M762" s="21">
        <f>1-M761</f>
        <v>5.0000000000000044E-2</v>
      </c>
    </row>
    <row r="764" spans="3:18" x14ac:dyDescent="0.3">
      <c r="C764" s="71"/>
      <c r="D764" s="71"/>
      <c r="E764" s="71" t="s">
        <v>16</v>
      </c>
    </row>
    <row r="765" spans="3:18" x14ac:dyDescent="0.3">
      <c r="E765" t="s">
        <v>17</v>
      </c>
      <c r="N765" s="74">
        <f>'Summary500-600'!$D$79</f>
        <v>0.13</v>
      </c>
      <c r="O765" s="74">
        <f>'Summary500-600'!$D$80</f>
        <v>0.04</v>
      </c>
      <c r="P765" s="74">
        <f>'Summary500-600'!$D$81</f>
        <v>0.03</v>
      </c>
      <c r="Q765" s="75"/>
      <c r="R765" s="75"/>
    </row>
    <row r="766" spans="3:18" x14ac:dyDescent="0.3">
      <c r="E766" t="s">
        <v>18</v>
      </c>
      <c r="G766" s="75"/>
      <c r="O766" s="74">
        <f>'Summary500-600'!$D$82</f>
        <v>0.8</v>
      </c>
      <c r="P766" s="76">
        <f>O766</f>
        <v>0.8</v>
      </c>
      <c r="Q766" s="76">
        <f>P766</f>
        <v>0.8</v>
      </c>
      <c r="R766" s="75"/>
    </row>
    <row r="767" spans="3:18" x14ac:dyDescent="0.3">
      <c r="E767" t="s">
        <v>19</v>
      </c>
      <c r="G767" s="75"/>
      <c r="O767" s="75"/>
      <c r="P767" s="74">
        <f>'Summary500-600'!$D$83</f>
        <v>1</v>
      </c>
      <c r="Q767" s="74">
        <f>P767</f>
        <v>1</v>
      </c>
      <c r="R767" s="74">
        <f>Q767</f>
        <v>1</v>
      </c>
    </row>
    <row r="768" spans="3:18" x14ac:dyDescent="0.3">
      <c r="E768" t="s">
        <v>20</v>
      </c>
      <c r="P768" s="21"/>
    </row>
    <row r="769" spans="3:18" x14ac:dyDescent="0.3">
      <c r="P769" s="21"/>
    </row>
    <row r="770" spans="3:18" x14ac:dyDescent="0.3">
      <c r="C770" s="11"/>
      <c r="D770" s="11"/>
      <c r="E770" s="11" t="s">
        <v>196</v>
      </c>
      <c r="N770" s="90">
        <f>SUM(N771:N774)</f>
        <v>0.17350000000000004</v>
      </c>
      <c r="O770" s="90">
        <f t="shared" ref="O770:Q770" si="78">SUM(O771:O774)</f>
        <v>0.17350000000000004</v>
      </c>
      <c r="P770" s="90">
        <f t="shared" si="78"/>
        <v>0.10742480000000001</v>
      </c>
      <c r="Q770" s="90">
        <f t="shared" si="78"/>
        <v>0.10701824000000001</v>
      </c>
    </row>
    <row r="771" spans="3:18" x14ac:dyDescent="0.3">
      <c r="E771" t="s">
        <v>17</v>
      </c>
      <c r="N771" s="22">
        <f>(1-N765)*M762</f>
        <v>4.3500000000000039E-2</v>
      </c>
      <c r="O771" s="22">
        <f>N771*(1-O765)+N772*(1-O766)</f>
        <v>6.7760000000000029E-2</v>
      </c>
    </row>
    <row r="772" spans="3:18" x14ac:dyDescent="0.3">
      <c r="E772" t="s">
        <v>18</v>
      </c>
      <c r="N772" s="22">
        <f>N765</f>
        <v>0.13</v>
      </c>
      <c r="O772" s="22">
        <f>N771*O765</f>
        <v>1.7400000000000015E-3</v>
      </c>
      <c r="P772" s="22">
        <f>O771*P765</f>
        <v>2.0328000000000008E-3</v>
      </c>
      <c r="R772" s="22"/>
    </row>
    <row r="773" spans="3:18" x14ac:dyDescent="0.3">
      <c r="E773" t="s">
        <v>19</v>
      </c>
      <c r="O773" s="22">
        <f>N772*O766</f>
        <v>0.10400000000000001</v>
      </c>
      <c r="P773" s="22">
        <f>O772*P766+O773</f>
        <v>0.10539200000000001</v>
      </c>
      <c r="Q773" s="22">
        <f>P772*Q766+P773</f>
        <v>0.10701824000000001</v>
      </c>
    </row>
    <row r="774" spans="3:18" x14ac:dyDescent="0.3">
      <c r="O774" s="22"/>
      <c r="P774" s="22"/>
    </row>
    <row r="775" spans="3:18" x14ac:dyDescent="0.3">
      <c r="E775" t="s">
        <v>195</v>
      </c>
      <c r="N775" s="22">
        <f>(1-N765)*M761</f>
        <v>0.82650000000000001</v>
      </c>
      <c r="P775" s="29">
        <f>O771*(1-P765)+O772*(1-P766)+O773*(1-P767)</f>
        <v>6.6075200000000028E-2</v>
      </c>
      <c r="Q775" s="29">
        <f>P772*(1-Q766)+P775</f>
        <v>6.6481760000000029E-2</v>
      </c>
      <c r="R775" s="22"/>
    </row>
    <row r="776" spans="3:18" x14ac:dyDescent="0.3">
      <c r="N776" s="22"/>
      <c r="P776" s="29"/>
      <c r="Q776" s="29"/>
      <c r="R776" s="22"/>
    </row>
    <row r="777" spans="3:18" x14ac:dyDescent="0.3">
      <c r="N777" s="25" t="s">
        <v>32</v>
      </c>
    </row>
    <row r="778" spans="3:18" x14ac:dyDescent="0.3">
      <c r="C778" s="11"/>
      <c r="D778" s="11"/>
      <c r="E778" s="11" t="s">
        <v>124</v>
      </c>
      <c r="N778" s="8">
        <f>SUM(N779:N782)</f>
        <v>347.34977900879267</v>
      </c>
      <c r="O778" s="8">
        <f t="shared" ref="O778:P778" si="79">SUM(O779:O782)</f>
        <v>60.265186658025549</v>
      </c>
      <c r="P778" s="8">
        <f t="shared" si="79"/>
        <v>37.31398054006376</v>
      </c>
    </row>
    <row r="779" spans="3:18" x14ac:dyDescent="0.3">
      <c r="C779" s="23"/>
      <c r="D779" s="23"/>
      <c r="E779" s="23" t="s">
        <v>120</v>
      </c>
      <c r="N779" s="7">
        <f>M736*(1-N765)</f>
        <v>302.19430773764964</v>
      </c>
      <c r="O779" s="82">
        <f>N817*(1-O765)+N780*(1-O766)</f>
        <v>23.536421025635804</v>
      </c>
    </row>
    <row r="780" spans="3:18" x14ac:dyDescent="0.3">
      <c r="C780" s="24"/>
      <c r="D780" s="24"/>
      <c r="E780" s="24" t="s">
        <v>122</v>
      </c>
      <c r="N780" s="7">
        <f>M736*N765</f>
        <v>45.15547127114305</v>
      </c>
      <c r="O780" s="7">
        <f>N817*O765</f>
        <v>0.60438861547529987</v>
      </c>
      <c r="P780" s="7">
        <f>O779*P765</f>
        <v>0.70609263076907403</v>
      </c>
      <c r="Q780" s="7">
        <f>P779*Q765</f>
        <v>0</v>
      </c>
    </row>
    <row r="781" spans="3:18" x14ac:dyDescent="0.3">
      <c r="C781" s="23"/>
      <c r="D781" s="23"/>
      <c r="E781" s="23" t="s">
        <v>121</v>
      </c>
      <c r="O781" s="7">
        <f>N780*O766</f>
        <v>36.124377016914444</v>
      </c>
      <c r="P781" s="7">
        <f>O780*P766</f>
        <v>0.48351089238023992</v>
      </c>
      <c r="Q781" s="7">
        <f>P780*Q766</f>
        <v>0.56487410461525922</v>
      </c>
    </row>
    <row r="782" spans="3:18" x14ac:dyDescent="0.3">
      <c r="C782" s="23"/>
      <c r="D782" s="23"/>
      <c r="E782" s="23" t="s">
        <v>138</v>
      </c>
      <c r="O782" s="7"/>
      <c r="P782" s="7">
        <f>O781*P767</f>
        <v>36.124377016914444</v>
      </c>
      <c r="Q782" s="7">
        <f>P781*Q767+P782</f>
        <v>36.607887909294682</v>
      </c>
      <c r="R782" s="7">
        <f>Q781*R767+Q782</f>
        <v>37.172762013909939</v>
      </c>
    </row>
    <row r="783" spans="3:18" x14ac:dyDescent="0.3">
      <c r="C783" s="23"/>
      <c r="D783" s="23"/>
      <c r="E783" s="23"/>
      <c r="O783" s="7"/>
    </row>
    <row r="784" spans="3:18" x14ac:dyDescent="0.3">
      <c r="C784" s="23"/>
      <c r="D784" s="23"/>
      <c r="E784" s="23" t="s">
        <v>137</v>
      </c>
      <c r="O784" s="7"/>
      <c r="P784" s="7">
        <f>O779*(1-P765)+O780*(1-P766)+O781*(1-P767)</f>
        <v>22.951206117961789</v>
      </c>
      <c r="Q784" s="7">
        <f>P780*(1-Q766)+P784</f>
        <v>23.092424644115603</v>
      </c>
      <c r="R784" s="7">
        <f>Q781*(1-R767)+Q784</f>
        <v>23.092424644115603</v>
      </c>
    </row>
    <row r="785" spans="3:18" x14ac:dyDescent="0.3">
      <c r="C785" s="23"/>
      <c r="D785" s="23"/>
      <c r="E785" s="23"/>
      <c r="O785" s="7"/>
    </row>
    <row r="786" spans="3:18" x14ac:dyDescent="0.3">
      <c r="C786" s="11"/>
      <c r="D786" s="11"/>
      <c r="E786" s="11" t="s">
        <v>139</v>
      </c>
      <c r="N786" s="8">
        <f>SUM(N787:N788)</f>
        <v>302.19430773764964</v>
      </c>
      <c r="O786" s="8">
        <f>SUM(O787:O788)</f>
        <v>23.536421025635804</v>
      </c>
      <c r="P786" s="8">
        <f>SUM(P787:P788)</f>
        <v>22.951206117961789</v>
      </c>
      <c r="Q786" s="8">
        <f>SUM(Q787:Q788)</f>
        <v>0.14121852615381478</v>
      </c>
    </row>
    <row r="787" spans="3:18" x14ac:dyDescent="0.3">
      <c r="C787" s="23"/>
      <c r="D787" s="23"/>
      <c r="E787" s="23" t="s">
        <v>120</v>
      </c>
      <c r="N787" s="7">
        <f>N779</f>
        <v>302.19430773764964</v>
      </c>
      <c r="O787" s="7">
        <f>N817*(1-O765)</f>
        <v>14.505326771407194</v>
      </c>
      <c r="P787" s="7">
        <f>O779*(1-P765)</f>
        <v>22.830328394866729</v>
      </c>
    </row>
    <row r="788" spans="3:18" x14ac:dyDescent="0.3">
      <c r="C788" s="24"/>
      <c r="D788" s="24"/>
      <c r="E788" s="24" t="s">
        <v>122</v>
      </c>
      <c r="O788" s="7">
        <f>N780*(1-O766)</f>
        <v>9.0310942542286075</v>
      </c>
      <c r="P788" s="7">
        <f>O780*(1-P766)</f>
        <v>0.12087772309505995</v>
      </c>
      <c r="Q788" s="7">
        <f>P780*(1-Q766)</f>
        <v>0.14121852615381478</v>
      </c>
    </row>
    <row r="789" spans="3:18" x14ac:dyDescent="0.3">
      <c r="C789" s="23"/>
      <c r="D789" s="23"/>
      <c r="E789" s="23"/>
      <c r="O789" s="7"/>
      <c r="P789" s="7">
        <f>O781*(1-P767)</f>
        <v>0</v>
      </c>
      <c r="Q789" s="7">
        <f>P781*(1-Q767)</f>
        <v>0</v>
      </c>
    </row>
    <row r="790" spans="3:18" x14ac:dyDescent="0.3">
      <c r="C790" s="81"/>
      <c r="D790" s="81"/>
      <c r="E790" s="81" t="s">
        <v>123</v>
      </c>
    </row>
    <row r="791" spans="3:18" x14ac:dyDescent="0.3">
      <c r="C791" s="23"/>
      <c r="D791" s="23"/>
      <c r="E791" s="23" t="s">
        <v>120</v>
      </c>
      <c r="N791" s="7">
        <f>M752-N759</f>
        <v>25.641025641025642</v>
      </c>
      <c r="O791" s="7">
        <f>N791-O759</f>
        <v>12.820512820512823</v>
      </c>
      <c r="P791" s="7">
        <f>O791-P759</f>
        <v>0</v>
      </c>
    </row>
    <row r="792" spans="3:18" x14ac:dyDescent="0.3">
      <c r="C792" s="24"/>
      <c r="D792" s="24"/>
      <c r="E792" s="24" t="s">
        <v>122</v>
      </c>
      <c r="N792" s="7">
        <f>M752</f>
        <v>38.46153846153846</v>
      </c>
      <c r="O792" s="7">
        <f>N791</f>
        <v>25.641025641025642</v>
      </c>
      <c r="P792" s="7">
        <f>O791</f>
        <v>12.820512820512823</v>
      </c>
    </row>
    <row r="793" spans="3:18" x14ac:dyDescent="0.3">
      <c r="C793" s="23"/>
      <c r="D793" s="23"/>
      <c r="E793" s="23" t="s">
        <v>121</v>
      </c>
      <c r="O793" s="7">
        <f>N792</f>
        <v>38.46153846153846</v>
      </c>
      <c r="P793" s="7">
        <f>O792</f>
        <v>25.641025641025642</v>
      </c>
      <c r="Q793" s="7">
        <f>P792</f>
        <v>12.820512820512823</v>
      </c>
    </row>
    <row r="794" spans="3:18" x14ac:dyDescent="0.3">
      <c r="C794" s="23"/>
      <c r="D794" s="23"/>
      <c r="E794" s="23"/>
      <c r="P794" s="7"/>
      <c r="Q794" s="7"/>
    </row>
    <row r="795" spans="3:18" x14ac:dyDescent="0.3">
      <c r="C795" s="23"/>
      <c r="D795" s="23"/>
      <c r="E795" s="23"/>
      <c r="P795" s="7"/>
      <c r="Q795" s="7"/>
    </row>
    <row r="796" spans="3:18" x14ac:dyDescent="0.3">
      <c r="C796" s="11"/>
      <c r="D796" s="11"/>
      <c r="E796" s="11" t="s">
        <v>130</v>
      </c>
      <c r="N796" s="8">
        <f>SUM(N797:N800)</f>
        <v>9485.3208883170319</v>
      </c>
      <c r="O796" s="8">
        <f t="shared" ref="O796:Q796" si="80">SUM(O797:O800)</f>
        <v>1706.6452475298684</v>
      </c>
      <c r="P796" s="8">
        <f t="shared" si="80"/>
        <v>1410.8493008496523</v>
      </c>
      <c r="Q796" s="8">
        <f t="shared" si="80"/>
        <v>1409.0388069246035</v>
      </c>
    </row>
    <row r="797" spans="3:18" x14ac:dyDescent="0.3">
      <c r="C797" s="23"/>
      <c r="D797" s="23"/>
      <c r="E797" s="23" t="s">
        <v>120</v>
      </c>
      <c r="N797" s="7">
        <f>N791*N779</f>
        <v>7748.5719932730681</v>
      </c>
      <c r="O797" s="7">
        <f t="shared" ref="O797:P798" si="81">O791*O779</f>
        <v>301.7489875081514</v>
      </c>
      <c r="P797" s="7">
        <f t="shared" si="81"/>
        <v>0</v>
      </c>
    </row>
    <row r="798" spans="3:18" x14ac:dyDescent="0.3">
      <c r="C798" s="24"/>
      <c r="D798" s="24"/>
      <c r="E798" s="24" t="s">
        <v>122</v>
      </c>
      <c r="N798" s="7">
        <f>N792*N780</f>
        <v>1736.7488950439633</v>
      </c>
      <c r="O798" s="7">
        <f t="shared" si="81"/>
        <v>15.497143986546151</v>
      </c>
      <c r="P798" s="7">
        <f t="shared" si="81"/>
        <v>9.0524696252445409</v>
      </c>
      <c r="Q798" s="7">
        <f>Q792*Q780</f>
        <v>0</v>
      </c>
    </row>
    <row r="799" spans="3:18" x14ac:dyDescent="0.3">
      <c r="C799" s="23"/>
      <c r="D799" s="23"/>
      <c r="E799" s="23" t="s">
        <v>121</v>
      </c>
      <c r="O799" s="7">
        <f>O793*O781</f>
        <v>1389.3991160351709</v>
      </c>
      <c r="P799" s="7">
        <f>P793*P781</f>
        <v>12.397715189236921</v>
      </c>
      <c r="Q799" s="7">
        <f>Q793*Q781</f>
        <v>7.2419757001956322</v>
      </c>
    </row>
    <row r="800" spans="3:18" x14ac:dyDescent="0.3">
      <c r="C800" s="23"/>
      <c r="D800" s="23"/>
      <c r="E800" s="23" t="s">
        <v>299</v>
      </c>
      <c r="P800" s="8">
        <f>O799</f>
        <v>1389.3991160351709</v>
      </c>
      <c r="Q800" s="8">
        <f>P800+P799</f>
        <v>1401.7968312244079</v>
      </c>
      <c r="R800" s="8">
        <f>Q800+Q799</f>
        <v>1409.0388069246035</v>
      </c>
    </row>
    <row r="801" spans="3:17" x14ac:dyDescent="0.3">
      <c r="C801" s="23"/>
      <c r="D801" s="23"/>
      <c r="E801" s="23"/>
    </row>
    <row r="802" spans="3:17" x14ac:dyDescent="0.3">
      <c r="C802" s="105"/>
      <c r="D802" s="105"/>
      <c r="E802" s="105" t="s">
        <v>300</v>
      </c>
      <c r="M802" s="8">
        <f>R800</f>
        <v>1409.0388069246035</v>
      </c>
    </row>
    <row r="803" spans="3:17" x14ac:dyDescent="0.3">
      <c r="C803" s="23"/>
      <c r="D803" s="23"/>
      <c r="E803" s="23"/>
    </row>
    <row r="804" spans="3:17" x14ac:dyDescent="0.3">
      <c r="C804" s="11"/>
      <c r="D804" s="11"/>
      <c r="E804" s="11" t="s">
        <v>140</v>
      </c>
      <c r="N804" s="8">
        <f>SUM(N806:N809)</f>
        <v>11235.429390245947</v>
      </c>
      <c r="O804" s="8">
        <f>SUM(O806:O809)</f>
        <v>417.53224717774879</v>
      </c>
      <c r="P804" s="8">
        <f t="shared" ref="P804:Q804" si="82">SUM(P806:P809)</f>
        <v>295.79594668021593</v>
      </c>
      <c r="Q804" s="8">
        <f t="shared" si="82"/>
        <v>1.8104939250489072</v>
      </c>
    </row>
    <row r="805" spans="3:17" x14ac:dyDescent="0.3">
      <c r="C805" s="11"/>
      <c r="D805" s="11"/>
      <c r="E805" s="11"/>
      <c r="N805" s="8"/>
      <c r="O805" s="8"/>
      <c r="P805" s="8"/>
      <c r="Q805" s="8"/>
    </row>
    <row r="806" spans="3:17" x14ac:dyDescent="0.3">
      <c r="E806" t="s">
        <v>131</v>
      </c>
      <c r="G806" s="23" t="s">
        <v>120</v>
      </c>
      <c r="N806" s="6">
        <f>N815*N760</f>
        <v>11041.71509041412</v>
      </c>
    </row>
    <row r="807" spans="3:17" x14ac:dyDescent="0.3">
      <c r="G807" s="23"/>
      <c r="N807" s="6"/>
    </row>
    <row r="808" spans="3:17" x14ac:dyDescent="0.3">
      <c r="E808" t="s">
        <v>200</v>
      </c>
      <c r="G808" s="23" t="s">
        <v>120</v>
      </c>
      <c r="N808" s="6">
        <f>N817*N759</f>
        <v>193.71429983182685</v>
      </c>
      <c r="O808" s="27">
        <f>O787*O759</f>
        <v>185.96572783855376</v>
      </c>
      <c r="P808" s="27">
        <f>P787*P759</f>
        <v>292.69651788290673</v>
      </c>
      <c r="Q808" s="27">
        <f>Q787*Q759</f>
        <v>0</v>
      </c>
    </row>
    <row r="809" spans="3:17" x14ac:dyDescent="0.3">
      <c r="E809" t="s">
        <v>200</v>
      </c>
      <c r="G809" s="24" t="s">
        <v>122</v>
      </c>
      <c r="N809" s="6"/>
      <c r="O809" s="27">
        <f>O788*(N759+O759)</f>
        <v>231.56651933919505</v>
      </c>
      <c r="P809" s="27">
        <f>P788*(O759+P759)</f>
        <v>3.0994287973092294</v>
      </c>
      <c r="Q809" s="27">
        <f>Q788*(P759+Q759)</f>
        <v>1.8104939250489072</v>
      </c>
    </row>
    <row r="811" spans="3:17" x14ac:dyDescent="0.3">
      <c r="C811" s="11"/>
      <c r="D811" s="11"/>
      <c r="E811" s="11" t="s">
        <v>283</v>
      </c>
      <c r="N811" s="8">
        <f>SUM(N808:Q809)</f>
        <v>908.85298761484057</v>
      </c>
    </row>
    <row r="813" spans="3:17" x14ac:dyDescent="0.3">
      <c r="E813" t="s">
        <v>202</v>
      </c>
      <c r="N813" s="28">
        <f>N815*(O759+P759)</f>
        <v>7361.1433936094136</v>
      </c>
    </row>
    <row r="815" spans="3:17" x14ac:dyDescent="0.3">
      <c r="C815" s="72"/>
      <c r="D815" s="72"/>
      <c r="E815" s="72" t="s">
        <v>132</v>
      </c>
      <c r="N815" s="73">
        <f>N779*M761</f>
        <v>287.08459235076714</v>
      </c>
    </row>
    <row r="817" spans="3:25" x14ac:dyDescent="0.3">
      <c r="E817" t="s">
        <v>201</v>
      </c>
      <c r="N817" s="7">
        <f>N779*M762</f>
        <v>15.109715386882495</v>
      </c>
    </row>
    <row r="820" spans="3:25" x14ac:dyDescent="0.3">
      <c r="E820" s="152" t="s">
        <v>233</v>
      </c>
      <c r="F820" s="153"/>
      <c r="G820" s="153"/>
      <c r="H820" s="153"/>
      <c r="I820" s="153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4"/>
    </row>
    <row r="822" spans="3:25" x14ac:dyDescent="0.3">
      <c r="E822" t="s">
        <v>197</v>
      </c>
      <c r="M822" s="83">
        <f>M467</f>
        <v>355.52271498547015</v>
      </c>
    </row>
    <row r="823" spans="3:25" x14ac:dyDescent="0.3">
      <c r="E823" t="s">
        <v>206</v>
      </c>
      <c r="M823" s="7">
        <f>M825*M822</f>
        <v>355.52271498547015</v>
      </c>
      <c r="P823" s="77"/>
    </row>
    <row r="824" spans="3:25" x14ac:dyDescent="0.3">
      <c r="M824" s="7"/>
      <c r="P824" s="77"/>
    </row>
    <row r="825" spans="3:25" x14ac:dyDescent="0.3">
      <c r="C825" s="11"/>
      <c r="D825" s="11"/>
      <c r="E825" s="11" t="s">
        <v>134</v>
      </c>
      <c r="F825" s="11"/>
      <c r="G825" s="11"/>
      <c r="M825" s="104">
        <f>$I$129</f>
        <v>1</v>
      </c>
      <c r="N825" s="11"/>
      <c r="O825" s="11"/>
      <c r="Q825" s="11"/>
    </row>
    <row r="826" spans="3:25" x14ac:dyDescent="0.3">
      <c r="E826" t="s">
        <v>35</v>
      </c>
      <c r="M826" s="84">
        <f>N427</f>
        <v>0</v>
      </c>
    </row>
    <row r="827" spans="3:25" x14ac:dyDescent="0.3">
      <c r="E827" t="s">
        <v>36</v>
      </c>
      <c r="M827" s="79">
        <f>0.95</f>
        <v>0.95</v>
      </c>
    </row>
    <row r="828" spans="3:25" x14ac:dyDescent="0.3">
      <c r="E828" t="s">
        <v>142</v>
      </c>
      <c r="M828" s="79">
        <v>0.99</v>
      </c>
    </row>
    <row r="829" spans="3:25" x14ac:dyDescent="0.3">
      <c r="E829" t="s">
        <v>37</v>
      </c>
      <c r="M829" s="79">
        <v>0.98</v>
      </c>
    </row>
    <row r="832" spans="3:25" x14ac:dyDescent="0.3">
      <c r="E832" t="s">
        <v>125</v>
      </c>
      <c r="M832" s="83">
        <f>$F$33</f>
        <v>32.051282051282051</v>
      </c>
    </row>
    <row r="833" spans="5:16" x14ac:dyDescent="0.3">
      <c r="E833" t="s">
        <v>135</v>
      </c>
      <c r="M833" s="82">
        <f>M832</f>
        <v>32.051282051282051</v>
      </c>
    </row>
    <row r="835" spans="5:16" x14ac:dyDescent="0.3">
      <c r="E835" t="s">
        <v>126</v>
      </c>
      <c r="M835" s="88">
        <f>$H$52</f>
        <v>0.2</v>
      </c>
    </row>
    <row r="836" spans="5:16" x14ac:dyDescent="0.3">
      <c r="E836" t="s">
        <v>117</v>
      </c>
      <c r="M836" s="7">
        <f>M835*M832</f>
        <v>6.4102564102564106</v>
      </c>
    </row>
    <row r="838" spans="5:16" x14ac:dyDescent="0.3">
      <c r="E838" t="s">
        <v>118</v>
      </c>
      <c r="M838" s="7">
        <f>M833</f>
        <v>32.051282051282051</v>
      </c>
    </row>
    <row r="839" spans="5:16" x14ac:dyDescent="0.3">
      <c r="E839" t="s">
        <v>106</v>
      </c>
      <c r="M839" s="7">
        <f>M832*(1+M835)</f>
        <v>38.46153846153846</v>
      </c>
    </row>
    <row r="840" spans="5:16" x14ac:dyDescent="0.3">
      <c r="M840" s="7"/>
    </row>
    <row r="841" spans="5:16" x14ac:dyDescent="0.3">
      <c r="E841" t="s">
        <v>136</v>
      </c>
      <c r="M841" s="7">
        <f>M838*M823</f>
        <v>11394.958813636864</v>
      </c>
    </row>
    <row r="842" spans="5:16" x14ac:dyDescent="0.3">
      <c r="E842" t="s">
        <v>119</v>
      </c>
      <c r="M842" s="7">
        <f>M839*M823</f>
        <v>13673.950576364236</v>
      </c>
    </row>
    <row r="843" spans="5:16" x14ac:dyDescent="0.3">
      <c r="M843" s="7"/>
    </row>
    <row r="844" spans="5:16" x14ac:dyDescent="0.3">
      <c r="E844" t="s">
        <v>302</v>
      </c>
      <c r="M844" s="6">
        <f>M836*M823</f>
        <v>2278.991762727373</v>
      </c>
    </row>
    <row r="845" spans="5:16" x14ac:dyDescent="0.3">
      <c r="M845" s="7"/>
    </row>
    <row r="846" spans="5:16" x14ac:dyDescent="0.3">
      <c r="E846" t="s">
        <v>127</v>
      </c>
      <c r="N846" s="7">
        <f>M839/3</f>
        <v>12.820512820512819</v>
      </c>
      <c r="O846" s="7">
        <f>M839/3</f>
        <v>12.820512820512819</v>
      </c>
      <c r="P846" s="7">
        <f>M839/3</f>
        <v>12.820512820512819</v>
      </c>
    </row>
    <row r="847" spans="5:16" x14ac:dyDescent="0.3">
      <c r="N847" s="7">
        <f>M839</f>
        <v>38.46153846153846</v>
      </c>
    </row>
    <row r="848" spans="5:16" x14ac:dyDescent="0.3">
      <c r="E848" t="s">
        <v>128</v>
      </c>
      <c r="M848" s="21">
        <f>'Summary500-600'!C41</f>
        <v>0.95</v>
      </c>
    </row>
    <row r="849" spans="3:18" x14ac:dyDescent="0.3">
      <c r="E849" t="s">
        <v>129</v>
      </c>
      <c r="M849" s="21">
        <f>1-M848</f>
        <v>5.0000000000000044E-2</v>
      </c>
    </row>
    <row r="851" spans="3:18" x14ac:dyDescent="0.3">
      <c r="C851" s="71"/>
      <c r="D851" s="71"/>
      <c r="E851" s="71" t="s">
        <v>16</v>
      </c>
    </row>
    <row r="852" spans="3:18" x14ac:dyDescent="0.3">
      <c r="E852" t="s">
        <v>17</v>
      </c>
      <c r="N852" s="74">
        <f>'Summary500-600'!$C$79</f>
        <v>0.13</v>
      </c>
      <c r="O852" s="74">
        <f>'Summary500-600'!$C$80</f>
        <v>0.04</v>
      </c>
      <c r="P852" s="74">
        <f>'Summary500-600'!$C$81</f>
        <v>0.03</v>
      </c>
      <c r="Q852" s="75"/>
      <c r="R852" s="75"/>
    </row>
    <row r="853" spans="3:18" x14ac:dyDescent="0.3">
      <c r="E853" t="s">
        <v>18</v>
      </c>
      <c r="G853" s="75"/>
      <c r="O853" s="74">
        <f>'Summary500-600'!$C$82</f>
        <v>0.8</v>
      </c>
      <c r="P853" s="76">
        <f>O853</f>
        <v>0.8</v>
      </c>
      <c r="Q853" s="76">
        <f>P853</f>
        <v>0.8</v>
      </c>
      <c r="R853" s="75"/>
    </row>
    <row r="854" spans="3:18" x14ac:dyDescent="0.3">
      <c r="E854" t="s">
        <v>19</v>
      </c>
      <c r="G854" s="75"/>
      <c r="O854" s="75"/>
      <c r="P854" s="74">
        <f>'Summary500-600'!$C$83</f>
        <v>1</v>
      </c>
      <c r="Q854" s="74">
        <f>P854</f>
        <v>1</v>
      </c>
      <c r="R854" s="74">
        <f>Q854</f>
        <v>1</v>
      </c>
    </row>
    <row r="855" spans="3:18" x14ac:dyDescent="0.3">
      <c r="E855" t="s">
        <v>20</v>
      </c>
      <c r="P855" s="21"/>
    </row>
    <row r="856" spans="3:18" x14ac:dyDescent="0.3">
      <c r="P856" s="21"/>
    </row>
    <row r="857" spans="3:18" x14ac:dyDescent="0.3">
      <c r="C857" s="11"/>
      <c r="D857" s="11"/>
      <c r="E857" s="11" t="s">
        <v>196</v>
      </c>
      <c r="N857" s="90">
        <f>SUM(N858:N861)</f>
        <v>0.17350000000000004</v>
      </c>
      <c r="O857" s="90">
        <f t="shared" ref="O857:Q857" si="83">SUM(O858:O861)</f>
        <v>0.17350000000000004</v>
      </c>
      <c r="P857" s="90">
        <f t="shared" si="83"/>
        <v>0.10742480000000001</v>
      </c>
      <c r="Q857" s="90">
        <f t="shared" si="83"/>
        <v>0.10701824000000001</v>
      </c>
    </row>
    <row r="858" spans="3:18" x14ac:dyDescent="0.3">
      <c r="E858" t="s">
        <v>17</v>
      </c>
      <c r="N858" s="22">
        <f>(1-N852)*M849</f>
        <v>4.3500000000000039E-2</v>
      </c>
      <c r="O858" s="22">
        <f>N858*(1-O852)+N859*(1-O853)</f>
        <v>6.7760000000000029E-2</v>
      </c>
    </row>
    <row r="859" spans="3:18" x14ac:dyDescent="0.3">
      <c r="E859" t="s">
        <v>18</v>
      </c>
      <c r="N859" s="22">
        <f>N852</f>
        <v>0.13</v>
      </c>
      <c r="O859" s="22">
        <f>N858*O852</f>
        <v>1.7400000000000015E-3</v>
      </c>
      <c r="P859" s="22">
        <f>O858*P852</f>
        <v>2.0328000000000008E-3</v>
      </c>
      <c r="R859" s="22"/>
    </row>
    <row r="860" spans="3:18" x14ac:dyDescent="0.3">
      <c r="E860" t="s">
        <v>19</v>
      </c>
      <c r="O860" s="22">
        <f>N859*O853</f>
        <v>0.10400000000000001</v>
      </c>
      <c r="P860" s="22">
        <f>O859*P853+O860</f>
        <v>0.10539200000000001</v>
      </c>
      <c r="Q860" s="22">
        <f>P859*Q853+P860</f>
        <v>0.10701824000000001</v>
      </c>
    </row>
    <row r="861" spans="3:18" x14ac:dyDescent="0.3">
      <c r="O861" s="22"/>
      <c r="P861" s="22"/>
    </row>
    <row r="862" spans="3:18" x14ac:dyDescent="0.3">
      <c r="E862" t="s">
        <v>195</v>
      </c>
      <c r="N862" s="22">
        <f>(1-N852)*M848</f>
        <v>0.82650000000000001</v>
      </c>
      <c r="P862" s="29">
        <f>O858*(1-P852)+O859*(1-P853)+O860*(1-P854)</f>
        <v>6.6075200000000028E-2</v>
      </c>
      <c r="Q862" s="29">
        <f>P859*(1-Q853)+P862</f>
        <v>6.6481760000000029E-2</v>
      </c>
      <c r="R862" s="22"/>
    </row>
    <row r="863" spans="3:18" x14ac:dyDescent="0.3">
      <c r="N863" s="22"/>
      <c r="P863" s="29"/>
      <c r="Q863" s="29"/>
      <c r="R863" s="22"/>
    </row>
    <row r="864" spans="3:18" x14ac:dyDescent="0.3">
      <c r="N864" s="25" t="s">
        <v>32</v>
      </c>
    </row>
    <row r="865" spans="3:18" x14ac:dyDescent="0.3">
      <c r="C865" s="11"/>
      <c r="D865" s="11"/>
      <c r="E865" s="11" t="s">
        <v>124</v>
      </c>
      <c r="N865" s="8">
        <f>SUM(N866:N869)</f>
        <v>355.52271498547015</v>
      </c>
      <c r="O865" s="8">
        <f t="shared" ref="O865:P865" si="84">SUM(O866:O869)</f>
        <v>61.683191049979087</v>
      </c>
      <c r="P865" s="8">
        <f t="shared" si="84"/>
        <v>38.191956552771138</v>
      </c>
    </row>
    <row r="866" spans="3:18" x14ac:dyDescent="0.3">
      <c r="C866" s="23"/>
      <c r="D866" s="23"/>
      <c r="E866" s="23" t="s">
        <v>120</v>
      </c>
      <c r="N866" s="7">
        <f>M823*(1-N852)</f>
        <v>309.30476203735901</v>
      </c>
      <c r="O866" s="82">
        <f>N904*(1-O852)+N867*(1-O853)</f>
        <v>24.090219167415469</v>
      </c>
    </row>
    <row r="867" spans="3:18" x14ac:dyDescent="0.3">
      <c r="C867" s="24"/>
      <c r="D867" s="24"/>
      <c r="E867" s="24" t="s">
        <v>122</v>
      </c>
      <c r="N867" s="7">
        <f>M823*N852</f>
        <v>46.217952948111119</v>
      </c>
      <c r="O867" s="7">
        <f>N904*O852</f>
        <v>0.61860952407471859</v>
      </c>
      <c r="P867" s="7">
        <f>O866*P852</f>
        <v>0.72270657502246405</v>
      </c>
      <c r="Q867" s="7">
        <f>P866*Q852</f>
        <v>0</v>
      </c>
    </row>
    <row r="868" spans="3:18" x14ac:dyDescent="0.3">
      <c r="C868" s="23"/>
      <c r="D868" s="23"/>
      <c r="E868" s="23" t="s">
        <v>121</v>
      </c>
      <c r="O868" s="7">
        <f>N867*O853</f>
        <v>36.974362358488897</v>
      </c>
      <c r="P868" s="7">
        <f>O867*P853</f>
        <v>0.49488761925977487</v>
      </c>
      <c r="Q868" s="7">
        <f>P867*Q853</f>
        <v>0.57816526001797131</v>
      </c>
    </row>
    <row r="869" spans="3:18" x14ac:dyDescent="0.3">
      <c r="C869" s="23"/>
      <c r="D869" s="23"/>
      <c r="E869" s="23" t="s">
        <v>138</v>
      </c>
      <c r="O869" s="7"/>
      <c r="P869" s="7">
        <f>O868*P854</f>
        <v>36.974362358488897</v>
      </c>
      <c r="Q869" s="7">
        <f>P868*Q854+P869</f>
        <v>37.469249977748674</v>
      </c>
      <c r="R869" s="7">
        <f>Q868*R854+Q869</f>
        <v>38.047415237766643</v>
      </c>
    </row>
    <row r="870" spans="3:18" x14ac:dyDescent="0.3">
      <c r="C870" s="23"/>
      <c r="D870" s="23"/>
      <c r="E870" s="23"/>
      <c r="O870" s="7"/>
    </row>
    <row r="871" spans="3:18" x14ac:dyDescent="0.3">
      <c r="C871" s="23"/>
      <c r="D871" s="23"/>
      <c r="E871" s="23" t="s">
        <v>137</v>
      </c>
      <c r="O871" s="7"/>
      <c r="P871" s="7">
        <f>O866*(1-P852)+O867*(1-P853)+O868*(1-P854)</f>
        <v>23.491234497207948</v>
      </c>
      <c r="Q871" s="7">
        <f>P867*(1-Q853)+P871</f>
        <v>23.63577581221244</v>
      </c>
      <c r="R871" s="7">
        <f>Q868*(1-R854)+Q871</f>
        <v>23.63577581221244</v>
      </c>
    </row>
    <row r="872" spans="3:18" x14ac:dyDescent="0.3">
      <c r="C872" s="23"/>
      <c r="D872" s="23"/>
      <c r="E872" s="23"/>
      <c r="O872" s="7"/>
    </row>
    <row r="873" spans="3:18" x14ac:dyDescent="0.3">
      <c r="C873" s="11"/>
      <c r="D873" s="11"/>
      <c r="E873" s="11" t="s">
        <v>139</v>
      </c>
      <c r="N873" s="8">
        <f>SUM(N874:N875)</f>
        <v>309.30476203735901</v>
      </c>
      <c r="O873" s="8">
        <f>SUM(O874:O875)</f>
        <v>24.090219167415469</v>
      </c>
      <c r="P873" s="8">
        <f>SUM(P874:P875)</f>
        <v>23.491234497207948</v>
      </c>
      <c r="Q873" s="8">
        <f>SUM(Q874:Q875)</f>
        <v>0.14454131500449277</v>
      </c>
    </row>
    <row r="874" spans="3:18" x14ac:dyDescent="0.3">
      <c r="C874" s="23"/>
      <c r="D874" s="23"/>
      <c r="E874" s="23" t="s">
        <v>120</v>
      </c>
      <c r="N874" s="7">
        <f>N866</f>
        <v>309.30476203735901</v>
      </c>
      <c r="O874" s="7">
        <f>N904*(1-O852)</f>
        <v>14.846628577793245</v>
      </c>
      <c r="P874" s="7">
        <f>O866*(1-P852)</f>
        <v>23.367512592393005</v>
      </c>
    </row>
    <row r="875" spans="3:18" x14ac:dyDescent="0.3">
      <c r="C875" s="24"/>
      <c r="D875" s="24"/>
      <c r="E875" s="24" t="s">
        <v>122</v>
      </c>
      <c r="O875" s="7">
        <f>N867*(1-O853)</f>
        <v>9.2435905896222224</v>
      </c>
      <c r="P875" s="7">
        <f>O867*(1-P853)</f>
        <v>0.12372190481494369</v>
      </c>
      <c r="Q875" s="7">
        <f>P867*(1-Q853)</f>
        <v>0.14454131500449277</v>
      </c>
    </row>
    <row r="876" spans="3:18" x14ac:dyDescent="0.3">
      <c r="C876" s="23"/>
      <c r="D876" s="23"/>
      <c r="E876" s="23"/>
      <c r="O876" s="7"/>
      <c r="P876" s="7">
        <f>O868*(1-P854)</f>
        <v>0</v>
      </c>
      <c r="Q876" s="7">
        <f>P868*(1-Q854)</f>
        <v>0</v>
      </c>
    </row>
    <row r="877" spans="3:18" x14ac:dyDescent="0.3">
      <c r="C877" s="81"/>
      <c r="D877" s="81"/>
      <c r="E877" s="81" t="s">
        <v>123</v>
      </c>
    </row>
    <row r="878" spans="3:18" x14ac:dyDescent="0.3">
      <c r="C878" s="23"/>
      <c r="D878" s="23"/>
      <c r="E878" s="23" t="s">
        <v>120</v>
      </c>
      <c r="N878" s="7">
        <f>M839-N846</f>
        <v>25.641025641025642</v>
      </c>
      <c r="O878" s="7">
        <f>N878-O846</f>
        <v>12.820512820512823</v>
      </c>
      <c r="P878" s="7">
        <f>O878-P846</f>
        <v>0</v>
      </c>
    </row>
    <row r="879" spans="3:18" x14ac:dyDescent="0.3">
      <c r="C879" s="24"/>
      <c r="D879" s="24"/>
      <c r="E879" s="24" t="s">
        <v>122</v>
      </c>
      <c r="N879" s="7">
        <f>M839</f>
        <v>38.46153846153846</v>
      </c>
      <c r="O879" s="7">
        <f>N878</f>
        <v>25.641025641025642</v>
      </c>
      <c r="P879" s="7">
        <f>O878</f>
        <v>12.820512820512823</v>
      </c>
    </row>
    <row r="880" spans="3:18" x14ac:dyDescent="0.3">
      <c r="C880" s="23"/>
      <c r="D880" s="23"/>
      <c r="E880" s="23" t="s">
        <v>121</v>
      </c>
      <c r="O880" s="7">
        <f>N879</f>
        <v>38.46153846153846</v>
      </c>
      <c r="P880" s="7">
        <f>O879</f>
        <v>25.641025641025642</v>
      </c>
      <c r="Q880" s="7">
        <f>P879</f>
        <v>12.820512820512823</v>
      </c>
    </row>
    <row r="881" spans="3:18" x14ac:dyDescent="0.3">
      <c r="C881" s="23"/>
      <c r="D881" s="23"/>
      <c r="E881" s="23"/>
      <c r="P881" s="7"/>
      <c r="Q881" s="7"/>
    </row>
    <row r="882" spans="3:18" x14ac:dyDescent="0.3">
      <c r="C882" s="23"/>
      <c r="D882" s="23"/>
      <c r="E882" s="23"/>
      <c r="P882" s="7"/>
      <c r="Q882" s="7"/>
    </row>
    <row r="883" spans="3:18" x14ac:dyDescent="0.3">
      <c r="C883" s="11"/>
      <c r="D883" s="11"/>
      <c r="E883" s="11" t="s">
        <v>130</v>
      </c>
      <c r="N883" s="8">
        <f>SUM(N884:N887)</f>
        <v>9708.5049092186073</v>
      </c>
      <c r="O883" s="8">
        <f t="shared" ref="O883:Q883" si="85">SUM(O884:O887)</f>
        <v>1746.801606295277</v>
      </c>
      <c r="P883" s="8">
        <f t="shared" si="85"/>
        <v>1444.045754987291</v>
      </c>
      <c r="Q883" s="8">
        <f t="shared" si="85"/>
        <v>1442.192661205182</v>
      </c>
    </row>
    <row r="884" spans="3:18" x14ac:dyDescent="0.3">
      <c r="C884" s="23"/>
      <c r="D884" s="23"/>
      <c r="E884" s="23" t="s">
        <v>120</v>
      </c>
      <c r="N884" s="7">
        <f>N878*N866</f>
        <v>7930.8913342912574</v>
      </c>
      <c r="O884" s="7">
        <f t="shared" ref="O884:P885" si="86">O878*O866</f>
        <v>308.84896368481378</v>
      </c>
      <c r="P884" s="7">
        <f t="shared" si="86"/>
        <v>0</v>
      </c>
    </row>
    <row r="885" spans="3:18" x14ac:dyDescent="0.3">
      <c r="C885" s="24"/>
      <c r="D885" s="24"/>
      <c r="E885" s="24" t="s">
        <v>122</v>
      </c>
      <c r="N885" s="7">
        <f>N879*N867</f>
        <v>1777.6135749273506</v>
      </c>
      <c r="O885" s="7">
        <f t="shared" si="86"/>
        <v>15.861782668582528</v>
      </c>
      <c r="P885" s="7">
        <f t="shared" si="86"/>
        <v>9.2654689105444135</v>
      </c>
      <c r="Q885" s="7">
        <f>Q879*Q867</f>
        <v>0</v>
      </c>
    </row>
    <row r="886" spans="3:18" x14ac:dyDescent="0.3">
      <c r="C886" s="23"/>
      <c r="D886" s="23"/>
      <c r="E886" s="23" t="s">
        <v>121</v>
      </c>
      <c r="O886" s="7">
        <f>O880*O868</f>
        <v>1422.0908599418806</v>
      </c>
      <c r="P886" s="7">
        <f>P880*P868</f>
        <v>12.689426134866023</v>
      </c>
      <c r="Q886" s="7">
        <f>Q880*Q868</f>
        <v>7.4123751284355306</v>
      </c>
    </row>
    <row r="887" spans="3:18" x14ac:dyDescent="0.3">
      <c r="C887" s="23"/>
      <c r="D887" s="23"/>
      <c r="E887" s="23" t="s">
        <v>299</v>
      </c>
      <c r="P887" s="8">
        <f>O886</f>
        <v>1422.0908599418806</v>
      </c>
      <c r="Q887" s="8">
        <f>P887+P886</f>
        <v>1434.7802860767465</v>
      </c>
      <c r="R887" s="8">
        <f>Q887+Q886</f>
        <v>1442.192661205182</v>
      </c>
    </row>
    <row r="888" spans="3:18" x14ac:dyDescent="0.3">
      <c r="C888" s="23"/>
      <c r="D888" s="23"/>
      <c r="E888" s="23"/>
    </row>
    <row r="889" spans="3:18" x14ac:dyDescent="0.3">
      <c r="C889" s="105"/>
      <c r="D889" s="105"/>
      <c r="E889" s="105" t="s">
        <v>300</v>
      </c>
      <c r="M889" s="8">
        <f>R887</f>
        <v>1442.192661205182</v>
      </c>
    </row>
    <row r="890" spans="3:18" x14ac:dyDescent="0.3">
      <c r="C890" s="23"/>
      <c r="D890" s="23"/>
      <c r="E890" s="23"/>
    </row>
    <row r="891" spans="3:18" x14ac:dyDescent="0.3">
      <c r="C891" s="11"/>
      <c r="D891" s="11"/>
      <c r="E891" s="11" t="s">
        <v>140</v>
      </c>
      <c r="N891" s="8">
        <f>SUM(N893:N896)</f>
        <v>11499.792434722322</v>
      </c>
      <c r="O891" s="8">
        <f>SUM(O893:O896)</f>
        <v>427.35653534663697</v>
      </c>
      <c r="P891" s="8">
        <f t="shared" ref="P891:Q891" si="87">SUM(P893:P896)</f>
        <v>302.75585130798578</v>
      </c>
      <c r="Q891" s="8">
        <f t="shared" si="87"/>
        <v>1.8530937821088815</v>
      </c>
    </row>
    <row r="892" spans="3:18" x14ac:dyDescent="0.3">
      <c r="C892" s="11"/>
      <c r="D892" s="11"/>
      <c r="E892" s="11"/>
      <c r="N892" s="8"/>
      <c r="O892" s="8"/>
      <c r="P892" s="8"/>
      <c r="Q892" s="8"/>
    </row>
    <row r="893" spans="3:18" x14ac:dyDescent="0.3">
      <c r="E893" t="s">
        <v>131</v>
      </c>
      <c r="G893" s="23" t="s">
        <v>120</v>
      </c>
      <c r="N893" s="6">
        <f>N902*N847</f>
        <v>11301.520151365041</v>
      </c>
    </row>
    <row r="894" spans="3:18" x14ac:dyDescent="0.3">
      <c r="G894" s="23"/>
      <c r="N894" s="6"/>
    </row>
    <row r="895" spans="3:18" x14ac:dyDescent="0.3">
      <c r="E895" t="s">
        <v>200</v>
      </c>
      <c r="G895" s="23" t="s">
        <v>120</v>
      </c>
      <c r="N895" s="6">
        <f>N904*N846</f>
        <v>198.27228335728157</v>
      </c>
      <c r="O895" s="27">
        <f>O874*O846</f>
        <v>190.34139202299031</v>
      </c>
      <c r="P895" s="27">
        <f>P874*P846</f>
        <v>299.5834947742693</v>
      </c>
      <c r="Q895" s="27">
        <f>Q874*Q846</f>
        <v>0</v>
      </c>
    </row>
    <row r="896" spans="3:18" x14ac:dyDescent="0.3">
      <c r="E896" t="s">
        <v>200</v>
      </c>
      <c r="G896" s="24" t="s">
        <v>122</v>
      </c>
      <c r="N896" s="6"/>
      <c r="O896" s="27">
        <f>O875*(N846+O846)</f>
        <v>237.0151433236467</v>
      </c>
      <c r="P896" s="27">
        <f>P875*(O846+P846)</f>
        <v>3.1723565337165045</v>
      </c>
      <c r="Q896" s="27">
        <f>Q875*(P846+Q846)</f>
        <v>1.8530937821088815</v>
      </c>
    </row>
    <row r="898" spans="3:25" x14ac:dyDescent="0.3">
      <c r="C898" s="11"/>
      <c r="D898" s="11"/>
      <c r="E898" s="11" t="s">
        <v>283</v>
      </c>
      <c r="N898" s="8">
        <f>SUM(N895:Q896)</f>
        <v>930.23776379401329</v>
      </c>
    </row>
    <row r="900" spans="3:25" x14ac:dyDescent="0.3">
      <c r="E900" t="s">
        <v>202</v>
      </c>
      <c r="N900" s="28">
        <f>N902*(O846+P846)</f>
        <v>7534.3467675766933</v>
      </c>
    </row>
    <row r="902" spans="3:25" x14ac:dyDescent="0.3">
      <c r="C902" s="72"/>
      <c r="D902" s="72"/>
      <c r="E902" s="72" t="s">
        <v>132</v>
      </c>
      <c r="N902" s="73">
        <f>N866*M848</f>
        <v>293.83952393549106</v>
      </c>
    </row>
    <row r="904" spans="3:25" x14ac:dyDescent="0.3">
      <c r="E904" t="s">
        <v>201</v>
      </c>
      <c r="N904" s="7">
        <f>N866*M849</f>
        <v>15.465238101867964</v>
      </c>
    </row>
    <row r="907" spans="3:25" x14ac:dyDescent="0.3">
      <c r="E907" s="152" t="s">
        <v>237</v>
      </c>
      <c r="F907" s="153"/>
      <c r="G907" s="153"/>
      <c r="H907" s="153"/>
      <c r="I907" s="153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4"/>
    </row>
    <row r="909" spans="3:25" x14ac:dyDescent="0.3">
      <c r="E909" t="s">
        <v>197</v>
      </c>
      <c r="M909" s="83">
        <f>M554</f>
        <v>414.22559192030377</v>
      </c>
    </row>
    <row r="910" spans="3:25" x14ac:dyDescent="0.3">
      <c r="E910" t="s">
        <v>206</v>
      </c>
      <c r="M910" s="7">
        <f>M912*M909</f>
        <v>414.22559192030377</v>
      </c>
      <c r="P910" s="77"/>
    </row>
    <row r="911" spans="3:25" x14ac:dyDescent="0.3">
      <c r="M911" s="7"/>
      <c r="P911" s="77"/>
    </row>
    <row r="912" spans="3:25" x14ac:dyDescent="0.3">
      <c r="C912" s="11"/>
      <c r="D912" s="11"/>
      <c r="E912" s="11" t="s">
        <v>134</v>
      </c>
      <c r="F912" s="11"/>
      <c r="G912" s="11"/>
      <c r="M912" s="104">
        <f>$I$129</f>
        <v>1</v>
      </c>
      <c r="N912" s="11"/>
      <c r="O912" s="11"/>
      <c r="Q912" s="11"/>
    </row>
    <row r="913" spans="5:13" x14ac:dyDescent="0.3">
      <c r="E913" t="s">
        <v>35</v>
      </c>
      <c r="M913" s="84">
        <f>N514</f>
        <v>0</v>
      </c>
    </row>
    <row r="914" spans="5:13" x14ac:dyDescent="0.3">
      <c r="E914" t="s">
        <v>36</v>
      </c>
      <c r="M914" s="79">
        <f>0.95</f>
        <v>0.95</v>
      </c>
    </row>
    <row r="915" spans="5:13" x14ac:dyDescent="0.3">
      <c r="E915" t="s">
        <v>142</v>
      </c>
      <c r="M915" s="79">
        <v>0.99</v>
      </c>
    </row>
    <row r="916" spans="5:13" x14ac:dyDescent="0.3">
      <c r="E916" t="s">
        <v>37</v>
      </c>
      <c r="M916" s="79">
        <v>0.98</v>
      </c>
    </row>
    <row r="919" spans="5:13" x14ac:dyDescent="0.3">
      <c r="E919" t="s">
        <v>125</v>
      </c>
      <c r="M919" s="83">
        <f>$F$33</f>
        <v>32.051282051282051</v>
      </c>
    </row>
    <row r="920" spans="5:13" x14ac:dyDescent="0.3">
      <c r="E920" t="s">
        <v>135</v>
      </c>
      <c r="M920" s="82">
        <f>M919</f>
        <v>32.051282051282051</v>
      </c>
    </row>
    <row r="922" spans="5:13" x14ac:dyDescent="0.3">
      <c r="E922" t="s">
        <v>126</v>
      </c>
      <c r="M922" s="88">
        <f>$H$52</f>
        <v>0.2</v>
      </c>
    </row>
    <row r="923" spans="5:13" x14ac:dyDescent="0.3">
      <c r="E923" t="s">
        <v>117</v>
      </c>
      <c r="M923" s="7">
        <f>M922*M919</f>
        <v>6.4102564102564106</v>
      </c>
    </row>
    <row r="925" spans="5:13" x14ac:dyDescent="0.3">
      <c r="E925" t="s">
        <v>118</v>
      </c>
      <c r="M925" s="7">
        <f>M920</f>
        <v>32.051282051282051</v>
      </c>
    </row>
    <row r="926" spans="5:13" x14ac:dyDescent="0.3">
      <c r="E926" t="s">
        <v>106</v>
      </c>
      <c r="M926" s="7">
        <f>M919*(1+M922)</f>
        <v>38.46153846153846</v>
      </c>
    </row>
    <row r="927" spans="5:13" x14ac:dyDescent="0.3">
      <c r="M927" s="7"/>
    </row>
    <row r="928" spans="5:13" x14ac:dyDescent="0.3">
      <c r="E928" t="s">
        <v>136</v>
      </c>
      <c r="M928" s="7">
        <f>M925*M910</f>
        <v>13276.461279496916</v>
      </c>
    </row>
    <row r="929" spans="3:18" x14ac:dyDescent="0.3">
      <c r="E929" t="s">
        <v>119</v>
      </c>
      <c r="M929" s="7">
        <f>M926*M910</f>
        <v>15931.753535396298</v>
      </c>
    </row>
    <row r="930" spans="3:18" x14ac:dyDescent="0.3">
      <c r="M930" s="7"/>
    </row>
    <row r="931" spans="3:18" x14ac:dyDescent="0.3">
      <c r="E931" t="s">
        <v>302</v>
      </c>
      <c r="M931" s="6">
        <f>M923*M910</f>
        <v>2655.2922558993832</v>
      </c>
    </row>
    <row r="932" spans="3:18" x14ac:dyDescent="0.3">
      <c r="M932" s="7"/>
    </row>
    <row r="933" spans="3:18" x14ac:dyDescent="0.3">
      <c r="E933" t="s">
        <v>127</v>
      </c>
      <c r="N933" s="7">
        <f>M926/3</f>
        <v>12.820512820512819</v>
      </c>
      <c r="O933" s="7">
        <f>M926/3</f>
        <v>12.820512820512819</v>
      </c>
      <c r="P933" s="7">
        <f>M926/3</f>
        <v>12.820512820512819</v>
      </c>
    </row>
    <row r="934" spans="3:18" x14ac:dyDescent="0.3">
      <c r="N934" s="7">
        <f>M926</f>
        <v>38.46153846153846</v>
      </c>
    </row>
    <row r="935" spans="3:18" x14ac:dyDescent="0.3">
      <c r="E935" t="s">
        <v>128</v>
      </c>
      <c r="M935" s="21">
        <f>'Summary500-600'!C41</f>
        <v>0.95</v>
      </c>
    </row>
    <row r="936" spans="3:18" x14ac:dyDescent="0.3">
      <c r="E936" t="s">
        <v>129</v>
      </c>
      <c r="M936" s="21">
        <f>1-M935</f>
        <v>5.0000000000000044E-2</v>
      </c>
    </row>
    <row r="938" spans="3:18" x14ac:dyDescent="0.3">
      <c r="C938" s="71"/>
      <c r="D938" s="71"/>
      <c r="E938" s="71" t="s">
        <v>16</v>
      </c>
    </row>
    <row r="939" spans="3:18" x14ac:dyDescent="0.3">
      <c r="E939" t="s">
        <v>17</v>
      </c>
      <c r="N939" s="74">
        <f>'Summary500-600'!$C$79</f>
        <v>0.13</v>
      </c>
      <c r="O939" s="74">
        <f>'Summary500-600'!$C$80</f>
        <v>0.04</v>
      </c>
      <c r="P939" s="74">
        <f>'Summary500-600'!$C$81</f>
        <v>0.03</v>
      </c>
      <c r="Q939" s="75"/>
      <c r="R939" s="75"/>
    </row>
    <row r="940" spans="3:18" x14ac:dyDescent="0.3">
      <c r="E940" t="s">
        <v>18</v>
      </c>
      <c r="G940" s="75"/>
      <c r="O940" s="74">
        <f>'Summary500-600'!$C$82</f>
        <v>0.8</v>
      </c>
      <c r="P940" s="76">
        <f>O940</f>
        <v>0.8</v>
      </c>
      <c r="Q940" s="76">
        <f>P940</f>
        <v>0.8</v>
      </c>
      <c r="R940" s="75"/>
    </row>
    <row r="941" spans="3:18" x14ac:dyDescent="0.3">
      <c r="E941" t="s">
        <v>19</v>
      </c>
      <c r="G941" s="75"/>
      <c r="O941" s="75"/>
      <c r="P941" s="74">
        <f>'Summary500-600'!$C$83</f>
        <v>1</v>
      </c>
      <c r="Q941" s="74">
        <f>P941</f>
        <v>1</v>
      </c>
      <c r="R941" s="74">
        <f>Q941</f>
        <v>1</v>
      </c>
    </row>
    <row r="942" spans="3:18" x14ac:dyDescent="0.3">
      <c r="E942" t="s">
        <v>20</v>
      </c>
      <c r="P942" s="21"/>
    </row>
    <row r="943" spans="3:18" x14ac:dyDescent="0.3">
      <c r="P943" s="21"/>
    </row>
    <row r="944" spans="3:18" x14ac:dyDescent="0.3">
      <c r="C944" s="11"/>
      <c r="D944" s="11"/>
      <c r="E944" s="11" t="s">
        <v>196</v>
      </c>
      <c r="N944" s="90">
        <f>SUM(N945:N948)</f>
        <v>0.17350000000000004</v>
      </c>
      <c r="O944" s="90">
        <f t="shared" ref="O944:Q944" si="88">SUM(O945:O948)</f>
        <v>0.17350000000000004</v>
      </c>
      <c r="P944" s="90">
        <f t="shared" si="88"/>
        <v>0.10742480000000001</v>
      </c>
      <c r="Q944" s="90">
        <f t="shared" si="88"/>
        <v>0.10701824000000001</v>
      </c>
    </row>
    <row r="945" spans="3:18" x14ac:dyDescent="0.3">
      <c r="E945" t="s">
        <v>17</v>
      </c>
      <c r="N945" s="22">
        <f>(1-N939)*M936</f>
        <v>4.3500000000000039E-2</v>
      </c>
      <c r="O945" s="22">
        <f>N945*(1-O939)+N946*(1-O940)</f>
        <v>6.7760000000000029E-2</v>
      </c>
    </row>
    <row r="946" spans="3:18" x14ac:dyDescent="0.3">
      <c r="E946" t="s">
        <v>18</v>
      </c>
      <c r="N946" s="22">
        <f>N939</f>
        <v>0.13</v>
      </c>
      <c r="O946" s="22">
        <f>N945*O939</f>
        <v>1.7400000000000015E-3</v>
      </c>
      <c r="P946" s="22">
        <f>O945*P939</f>
        <v>2.0328000000000008E-3</v>
      </c>
      <c r="R946" s="22"/>
    </row>
    <row r="947" spans="3:18" x14ac:dyDescent="0.3">
      <c r="E947" t="s">
        <v>19</v>
      </c>
      <c r="O947" s="22">
        <f>N946*O940</f>
        <v>0.10400000000000001</v>
      </c>
      <c r="P947" s="22">
        <f>O946*P940+O947</f>
        <v>0.10539200000000001</v>
      </c>
      <c r="Q947" s="22">
        <f>P946*Q940+P947</f>
        <v>0.10701824000000001</v>
      </c>
    </row>
    <row r="948" spans="3:18" x14ac:dyDescent="0.3">
      <c r="O948" s="22"/>
      <c r="P948" s="22"/>
    </row>
    <row r="949" spans="3:18" x14ac:dyDescent="0.3">
      <c r="E949" t="s">
        <v>195</v>
      </c>
      <c r="N949" s="22">
        <f>(1-N939)*M935</f>
        <v>0.82650000000000001</v>
      </c>
      <c r="P949" s="29">
        <f>O945*(1-P939)+O946*(1-P940)+O947*(1-P941)</f>
        <v>6.6075200000000028E-2</v>
      </c>
      <c r="Q949" s="29">
        <f>P946*(1-Q940)+P949</f>
        <v>6.6481760000000029E-2</v>
      </c>
      <c r="R949" s="22"/>
    </row>
    <row r="950" spans="3:18" x14ac:dyDescent="0.3">
      <c r="N950" s="22"/>
      <c r="P950" s="29"/>
      <c r="Q950" s="29"/>
      <c r="R950" s="22"/>
    </row>
    <row r="951" spans="3:18" x14ac:dyDescent="0.3">
      <c r="N951" s="25" t="s">
        <v>32</v>
      </c>
    </row>
    <row r="952" spans="3:18" x14ac:dyDescent="0.3">
      <c r="C952" s="11"/>
      <c r="D952" s="11"/>
      <c r="E952" s="11" t="s">
        <v>124</v>
      </c>
      <c r="N952" s="8">
        <f>SUM(N953:N956)</f>
        <v>414.22559192030377</v>
      </c>
      <c r="O952" s="8">
        <f t="shared" ref="O952:P952" si="89">SUM(O953:O956)</f>
        <v>71.868140198172725</v>
      </c>
      <c r="P952" s="8">
        <f t="shared" si="89"/>
        <v>44.498101366920253</v>
      </c>
    </row>
    <row r="953" spans="3:18" x14ac:dyDescent="0.3">
      <c r="C953" s="23"/>
      <c r="D953" s="23"/>
      <c r="E953" s="23" t="s">
        <v>120</v>
      </c>
      <c r="N953" s="7">
        <f>M910*(1-N939)</f>
        <v>360.37626497066429</v>
      </c>
      <c r="O953" s="82">
        <f>N991*(1-O939)+N954*(1-O940)</f>
        <v>28.067926108519799</v>
      </c>
    </row>
    <row r="954" spans="3:18" x14ac:dyDescent="0.3">
      <c r="C954" s="24"/>
      <c r="D954" s="24"/>
      <c r="E954" s="24" t="s">
        <v>122</v>
      </c>
      <c r="N954" s="7">
        <f>M910*N939</f>
        <v>53.84932694963949</v>
      </c>
      <c r="O954" s="7">
        <f>N991*O939</f>
        <v>0.72075252994132921</v>
      </c>
      <c r="P954" s="7">
        <f>O953*P939</f>
        <v>0.84203778325559397</v>
      </c>
      <c r="Q954" s="7">
        <f>P953*Q939</f>
        <v>0</v>
      </c>
    </row>
    <row r="955" spans="3:18" x14ac:dyDescent="0.3">
      <c r="C955" s="23"/>
      <c r="D955" s="23"/>
      <c r="E955" s="23" t="s">
        <v>121</v>
      </c>
      <c r="O955" s="7">
        <f>N954*O940</f>
        <v>43.079461559711596</v>
      </c>
      <c r="P955" s="7">
        <f>O954*P940</f>
        <v>0.57660202395306337</v>
      </c>
      <c r="Q955" s="7">
        <f>P954*Q940</f>
        <v>0.67363022660447525</v>
      </c>
    </row>
    <row r="956" spans="3:18" x14ac:dyDescent="0.3">
      <c r="C956" s="23"/>
      <c r="D956" s="23"/>
      <c r="E956" s="23" t="s">
        <v>138</v>
      </c>
      <c r="O956" s="7"/>
      <c r="P956" s="7">
        <f>O955*P941</f>
        <v>43.079461559711596</v>
      </c>
      <c r="Q956" s="7">
        <f>P955*Q941+P956</f>
        <v>43.656063583664661</v>
      </c>
      <c r="R956" s="7">
        <f>Q955*R941+Q956</f>
        <v>44.329693810269134</v>
      </c>
    </row>
    <row r="957" spans="3:18" x14ac:dyDescent="0.3">
      <c r="C957" s="23"/>
      <c r="D957" s="23"/>
      <c r="E957" s="23"/>
      <c r="O957" s="7"/>
    </row>
    <row r="958" spans="3:18" x14ac:dyDescent="0.3">
      <c r="C958" s="23"/>
      <c r="D958" s="23"/>
      <c r="E958" s="23" t="s">
        <v>137</v>
      </c>
      <c r="O958" s="7"/>
      <c r="P958" s="7">
        <f>O953*(1-P939)+O954*(1-P940)+O955*(1-P941)</f>
        <v>27.370038831252469</v>
      </c>
      <c r="Q958" s="7">
        <f>P954*(1-Q940)+P958</f>
        <v>27.538446387903587</v>
      </c>
      <c r="R958" s="7">
        <f>Q955*(1-R941)+Q958</f>
        <v>27.538446387903587</v>
      </c>
    </row>
    <row r="959" spans="3:18" x14ac:dyDescent="0.3">
      <c r="C959" s="23"/>
      <c r="D959" s="23"/>
      <c r="E959" s="23"/>
      <c r="O959" s="7"/>
    </row>
    <row r="960" spans="3:18" x14ac:dyDescent="0.3">
      <c r="C960" s="11"/>
      <c r="D960" s="11"/>
      <c r="E960" s="11" t="s">
        <v>139</v>
      </c>
      <c r="N960" s="8">
        <f>SUM(N961:N962)</f>
        <v>360.37626497066429</v>
      </c>
      <c r="O960" s="8">
        <f>SUM(O961:O962)</f>
        <v>28.067926108519799</v>
      </c>
      <c r="P960" s="8">
        <f>SUM(P961:P962)</f>
        <v>27.370038831252469</v>
      </c>
      <c r="Q960" s="8">
        <f>SUM(Q961:Q962)</f>
        <v>0.16840755665111876</v>
      </c>
    </row>
    <row r="961" spans="3:18" x14ac:dyDescent="0.3">
      <c r="C961" s="23"/>
      <c r="D961" s="23"/>
      <c r="E961" s="23" t="s">
        <v>120</v>
      </c>
      <c r="N961" s="7">
        <f>N953</f>
        <v>360.37626497066429</v>
      </c>
      <c r="O961" s="7">
        <f>N991*(1-O939)</f>
        <v>17.298060718591902</v>
      </c>
      <c r="P961" s="7">
        <f>O953*(1-P939)</f>
        <v>27.225888325264204</v>
      </c>
    </row>
    <row r="962" spans="3:18" x14ac:dyDescent="0.3">
      <c r="C962" s="24"/>
      <c r="D962" s="24"/>
      <c r="E962" s="24" t="s">
        <v>122</v>
      </c>
      <c r="O962" s="7">
        <f>N954*(1-O940)</f>
        <v>10.769865389927896</v>
      </c>
      <c r="P962" s="7">
        <f>O954*(1-P940)</f>
        <v>0.14415050598826581</v>
      </c>
      <c r="Q962" s="7">
        <f>P954*(1-Q940)</f>
        <v>0.16840755665111876</v>
      </c>
    </row>
    <row r="963" spans="3:18" x14ac:dyDescent="0.3">
      <c r="C963" s="23"/>
      <c r="D963" s="23"/>
      <c r="E963" s="23"/>
      <c r="O963" s="7"/>
      <c r="P963" s="7">
        <f>O955*(1-P941)</f>
        <v>0</v>
      </c>
      <c r="Q963" s="7">
        <f>P955*(1-Q941)</f>
        <v>0</v>
      </c>
    </row>
    <row r="964" spans="3:18" x14ac:dyDescent="0.3">
      <c r="C964" s="81"/>
      <c r="D964" s="81"/>
      <c r="E964" s="81" t="s">
        <v>123</v>
      </c>
    </row>
    <row r="965" spans="3:18" x14ac:dyDescent="0.3">
      <c r="C965" s="23"/>
      <c r="D965" s="23"/>
      <c r="E965" s="23" t="s">
        <v>120</v>
      </c>
      <c r="N965" s="7">
        <f>M926-N933</f>
        <v>25.641025641025642</v>
      </c>
      <c r="O965" s="7">
        <f>N965-O933</f>
        <v>12.820512820512823</v>
      </c>
      <c r="P965" s="7">
        <f>O965-P933</f>
        <v>0</v>
      </c>
    </row>
    <row r="966" spans="3:18" x14ac:dyDescent="0.3">
      <c r="C966" s="24"/>
      <c r="D966" s="24"/>
      <c r="E966" s="24" t="s">
        <v>122</v>
      </c>
      <c r="N966" s="7">
        <f>M926</f>
        <v>38.46153846153846</v>
      </c>
      <c r="O966" s="7">
        <f>N965</f>
        <v>25.641025641025642</v>
      </c>
      <c r="P966" s="7">
        <f>O965</f>
        <v>12.820512820512823</v>
      </c>
    </row>
    <row r="967" spans="3:18" x14ac:dyDescent="0.3">
      <c r="C967" s="23"/>
      <c r="D967" s="23"/>
      <c r="E967" s="23" t="s">
        <v>121</v>
      </c>
      <c r="O967" s="7">
        <f>N966</f>
        <v>38.46153846153846</v>
      </c>
      <c r="P967" s="7">
        <f>O966</f>
        <v>25.641025641025642</v>
      </c>
      <c r="Q967" s="7">
        <f>P966</f>
        <v>12.820512820512823</v>
      </c>
    </row>
    <row r="968" spans="3:18" x14ac:dyDescent="0.3">
      <c r="C968" s="23"/>
      <c r="D968" s="23"/>
      <c r="E968" s="23"/>
      <c r="P968" s="7"/>
      <c r="Q968" s="7"/>
    </row>
    <row r="969" spans="3:18" x14ac:dyDescent="0.3">
      <c r="C969" s="23"/>
      <c r="D969" s="23"/>
      <c r="E969" s="23"/>
      <c r="P969" s="7"/>
      <c r="Q969" s="7"/>
    </row>
    <row r="970" spans="3:18" x14ac:dyDescent="0.3">
      <c r="C970" s="11"/>
      <c r="D970" s="11"/>
      <c r="E970" s="11" t="s">
        <v>130</v>
      </c>
      <c r="N970" s="8">
        <f>SUM(N971:N974)</f>
        <v>11311.545010131373</v>
      </c>
      <c r="O970" s="8">
        <f t="shared" ref="O970:Q970" si="90">SUM(O971:O974)</f>
        <v>2035.2284083017594</v>
      </c>
      <c r="P970" s="8">
        <f t="shared" si="90"/>
        <v>1682.4823911576475</v>
      </c>
      <c r="Q970" s="8">
        <f t="shared" si="90"/>
        <v>1680.3233199185304</v>
      </c>
    </row>
    <row r="971" spans="3:18" x14ac:dyDescent="0.3">
      <c r="C971" s="23"/>
      <c r="D971" s="23"/>
      <c r="E971" s="23" t="s">
        <v>120</v>
      </c>
      <c r="N971" s="7">
        <f>N965*N953</f>
        <v>9240.4170505298534</v>
      </c>
      <c r="O971" s="7">
        <f t="shared" ref="O971:P972" si="91">O965*O953</f>
        <v>359.84520651948469</v>
      </c>
      <c r="P971" s="7">
        <f t="shared" si="91"/>
        <v>0</v>
      </c>
    </row>
    <row r="972" spans="3:18" x14ac:dyDescent="0.3">
      <c r="C972" s="24"/>
      <c r="D972" s="24"/>
      <c r="E972" s="24" t="s">
        <v>122</v>
      </c>
      <c r="N972" s="7">
        <f>N966*N954</f>
        <v>2071.1279596015188</v>
      </c>
      <c r="O972" s="7">
        <f t="shared" si="91"/>
        <v>18.480834101059724</v>
      </c>
      <c r="P972" s="7">
        <f t="shared" si="91"/>
        <v>10.795356195584541</v>
      </c>
      <c r="Q972" s="7">
        <f>Q966*Q954</f>
        <v>0</v>
      </c>
    </row>
    <row r="973" spans="3:18" x14ac:dyDescent="0.3">
      <c r="C973" s="23"/>
      <c r="D973" s="23"/>
      <c r="E973" s="23" t="s">
        <v>121</v>
      </c>
      <c r="O973" s="7">
        <f>O967*O955</f>
        <v>1656.9023676812151</v>
      </c>
      <c r="P973" s="7">
        <f>P967*P955</f>
        <v>14.784667280847779</v>
      </c>
      <c r="Q973" s="7">
        <f>Q967*Q955</f>
        <v>8.6362849564676338</v>
      </c>
    </row>
    <row r="974" spans="3:18" x14ac:dyDescent="0.3">
      <c r="C974" s="23"/>
      <c r="D974" s="23"/>
      <c r="E974" s="23" t="s">
        <v>299</v>
      </c>
      <c r="P974" s="8">
        <f>O973</f>
        <v>1656.9023676812151</v>
      </c>
      <c r="Q974" s="8">
        <f>P974+P973</f>
        <v>1671.6870349620629</v>
      </c>
      <c r="R974" s="8">
        <f>Q974+Q973</f>
        <v>1680.3233199185304</v>
      </c>
    </row>
    <row r="975" spans="3:18" x14ac:dyDescent="0.3">
      <c r="C975" s="23"/>
      <c r="D975" s="23"/>
      <c r="E975" s="23"/>
    </row>
    <row r="976" spans="3:18" x14ac:dyDescent="0.3">
      <c r="C976" s="105"/>
      <c r="D976" s="105"/>
      <c r="E976" s="105" t="s">
        <v>300</v>
      </c>
      <c r="M976" s="8">
        <f>R974</f>
        <v>1680.3233199185304</v>
      </c>
    </row>
    <row r="977" spans="3:17" x14ac:dyDescent="0.3">
      <c r="C977" s="23"/>
      <c r="D977" s="23"/>
      <c r="E977" s="23"/>
    </row>
    <row r="978" spans="3:17" x14ac:dyDescent="0.3">
      <c r="C978" s="11"/>
      <c r="D978" s="11"/>
      <c r="E978" s="11" t="s">
        <v>140</v>
      </c>
      <c r="N978" s="8">
        <f>SUM(N980:N983)</f>
        <v>13398.604723268289</v>
      </c>
      <c r="O978" s="8">
        <f>SUM(O980:O983)</f>
        <v>497.92040382625243</v>
      </c>
      <c r="P978" s="8">
        <f t="shared" ref="P978:Q978" si="92">SUM(P980:P983)</f>
        <v>352.74601714411199</v>
      </c>
      <c r="Q978" s="8">
        <f t="shared" si="92"/>
        <v>2.1590712391169071</v>
      </c>
    </row>
    <row r="979" spans="3:17" x14ac:dyDescent="0.3">
      <c r="C979" s="11"/>
      <c r="D979" s="11"/>
      <c r="E979" s="11"/>
      <c r="N979" s="8"/>
      <c r="O979" s="8"/>
      <c r="P979" s="8"/>
      <c r="Q979" s="8"/>
    </row>
    <row r="980" spans="3:17" x14ac:dyDescent="0.3">
      <c r="E980" t="s">
        <v>131</v>
      </c>
      <c r="G980" s="23" t="s">
        <v>120</v>
      </c>
      <c r="N980" s="6">
        <f>N989*N934</f>
        <v>13167.594297005042</v>
      </c>
    </row>
    <row r="981" spans="3:17" x14ac:dyDescent="0.3">
      <c r="G981" s="23"/>
      <c r="N981" s="6"/>
    </row>
    <row r="982" spans="3:17" x14ac:dyDescent="0.3">
      <c r="E982" t="s">
        <v>200</v>
      </c>
      <c r="G982" s="23" t="s">
        <v>120</v>
      </c>
      <c r="N982" s="6">
        <f>N991*N933</f>
        <v>231.01042626324653</v>
      </c>
      <c r="O982" s="27">
        <f>O961*O933</f>
        <v>221.77000921271667</v>
      </c>
      <c r="P982" s="27">
        <f>P961*P933</f>
        <v>349.04985032390005</v>
      </c>
      <c r="Q982" s="27">
        <f>Q961*Q933</f>
        <v>0</v>
      </c>
    </row>
    <row r="983" spans="3:17" x14ac:dyDescent="0.3">
      <c r="E983" t="s">
        <v>200</v>
      </c>
      <c r="G983" s="24" t="s">
        <v>122</v>
      </c>
      <c r="N983" s="6"/>
      <c r="O983" s="27">
        <f>O962*(N933+O933)</f>
        <v>276.15039461353575</v>
      </c>
      <c r="P983" s="27">
        <f>P962*(O933+P933)</f>
        <v>3.6961668202119435</v>
      </c>
      <c r="Q983" s="27">
        <f>Q962*(P933+Q933)</f>
        <v>2.1590712391169071</v>
      </c>
    </row>
    <row r="985" spans="3:17" x14ac:dyDescent="0.3">
      <c r="C985" s="11"/>
      <c r="D985" s="11"/>
      <c r="E985" s="11" t="s">
        <v>283</v>
      </c>
      <c r="N985" s="8">
        <f>SUM(N982:Q983)</f>
        <v>1083.8359184727281</v>
      </c>
    </row>
    <row r="987" spans="3:17" x14ac:dyDescent="0.3">
      <c r="E987" t="s">
        <v>202</v>
      </c>
      <c r="N987" s="28">
        <f>N989*(O933+P933)</f>
        <v>8778.39619800336</v>
      </c>
    </row>
    <row r="989" spans="3:17" x14ac:dyDescent="0.3">
      <c r="C989" s="72"/>
      <c r="D989" s="72"/>
      <c r="E989" s="72" t="s">
        <v>132</v>
      </c>
      <c r="N989" s="73">
        <f>N953*M935</f>
        <v>342.35745172213109</v>
      </c>
    </row>
    <row r="991" spans="3:17" x14ac:dyDescent="0.3">
      <c r="E991" t="s">
        <v>201</v>
      </c>
      <c r="N991" s="7">
        <f>N953*M936</f>
        <v>18.018813248533231</v>
      </c>
    </row>
    <row r="994" spans="3:34" x14ac:dyDescent="0.3">
      <c r="E994" s="160" t="s">
        <v>240</v>
      </c>
      <c r="F994" s="161"/>
      <c r="G994" s="161"/>
      <c r="H994" s="161"/>
      <c r="I994" s="161"/>
      <c r="J994" s="161"/>
      <c r="K994" s="161"/>
      <c r="L994" s="161"/>
      <c r="M994" s="161"/>
      <c r="N994" s="161"/>
      <c r="O994" s="161"/>
      <c r="P994" s="161"/>
      <c r="Q994" s="161"/>
      <c r="R994" s="161"/>
      <c r="S994" s="161"/>
      <c r="T994" s="161"/>
      <c r="U994" s="161"/>
      <c r="V994" s="161"/>
      <c r="W994" s="161"/>
      <c r="X994" s="161"/>
      <c r="Y994" s="161"/>
      <c r="Z994" s="161"/>
      <c r="AA994" s="161"/>
      <c r="AB994" s="161"/>
      <c r="AC994" s="161"/>
      <c r="AD994" s="161"/>
      <c r="AE994" s="161"/>
      <c r="AF994" s="161"/>
      <c r="AG994" s="161"/>
      <c r="AH994" s="162"/>
    </row>
    <row r="996" spans="3:34" x14ac:dyDescent="0.3">
      <c r="E996" t="s">
        <v>197</v>
      </c>
      <c r="O996" s="83">
        <f>L388</f>
        <v>430.15452508828815</v>
      </c>
    </row>
    <row r="997" spans="3:34" x14ac:dyDescent="0.3">
      <c r="E997" t="s">
        <v>206</v>
      </c>
      <c r="O997" s="7">
        <f>O999*O996</f>
        <v>26.357965164377596</v>
      </c>
      <c r="R997" s="77"/>
    </row>
    <row r="998" spans="3:34" x14ac:dyDescent="0.3">
      <c r="O998" s="7"/>
      <c r="R998" s="77"/>
    </row>
    <row r="999" spans="3:34" x14ac:dyDescent="0.3">
      <c r="C999" s="11"/>
      <c r="D999" s="11"/>
      <c r="E999" s="11" t="s">
        <v>134</v>
      </c>
      <c r="F999" s="11"/>
      <c r="G999" s="11"/>
      <c r="O999" s="92">
        <f>O1000*O1001*O1002*O1003</f>
        <v>6.1275573374400025E-2</v>
      </c>
      <c r="P999" s="7">
        <f>P1000*P1001*P1002*P1003</f>
        <v>0</v>
      </c>
      <c r="Q999" s="11"/>
      <c r="S999" s="11"/>
    </row>
    <row r="1000" spans="3:34" x14ac:dyDescent="0.3">
      <c r="E1000" t="s">
        <v>35</v>
      </c>
      <c r="O1000" s="84">
        <f>P427</f>
        <v>6.6481760000000029E-2</v>
      </c>
    </row>
    <row r="1001" spans="3:34" x14ac:dyDescent="0.3">
      <c r="E1001" t="s">
        <v>36</v>
      </c>
      <c r="O1001" s="86">
        <f>0.95</f>
        <v>0.95</v>
      </c>
    </row>
    <row r="1002" spans="3:34" x14ac:dyDescent="0.3">
      <c r="E1002" t="s">
        <v>142</v>
      </c>
      <c r="O1002" s="86">
        <v>0.99</v>
      </c>
    </row>
    <row r="1003" spans="3:34" x14ac:dyDescent="0.3">
      <c r="E1003" t="s">
        <v>37</v>
      </c>
      <c r="O1003" s="86">
        <v>0.98</v>
      </c>
    </row>
    <row r="1006" spans="3:34" x14ac:dyDescent="0.3">
      <c r="E1006" t="s">
        <v>125</v>
      </c>
      <c r="O1006" s="83">
        <f>$F$33</f>
        <v>32.051282051282051</v>
      </c>
    </row>
    <row r="1007" spans="3:34" x14ac:dyDescent="0.3">
      <c r="C1007" s="100"/>
      <c r="D1007" s="100"/>
      <c r="E1007" s="100" t="s">
        <v>135</v>
      </c>
      <c r="O1007" s="101">
        <f>O1006</f>
        <v>32.051282051282051</v>
      </c>
    </row>
    <row r="1009" spans="5:18" x14ac:dyDescent="0.3">
      <c r="E1009" t="s">
        <v>126</v>
      </c>
      <c r="O1009" s="88">
        <f>$H$52</f>
        <v>0.2</v>
      </c>
    </row>
    <row r="1010" spans="5:18" x14ac:dyDescent="0.3">
      <c r="E1010" t="s">
        <v>117</v>
      </c>
      <c r="O1010" s="7">
        <f>O1009*O1006</f>
        <v>6.4102564102564106</v>
      </c>
    </row>
    <row r="1012" spans="5:18" x14ac:dyDescent="0.3">
      <c r="E1012" t="s">
        <v>118</v>
      </c>
      <c r="O1012" s="7">
        <f>O1007</f>
        <v>32.051282051282051</v>
      </c>
    </row>
    <row r="1013" spans="5:18" x14ac:dyDescent="0.3">
      <c r="E1013" t="s">
        <v>106</v>
      </c>
      <c r="O1013" s="7">
        <f>O1006*(1+O1009)</f>
        <v>38.46153846153846</v>
      </c>
    </row>
    <row r="1014" spans="5:18" x14ac:dyDescent="0.3">
      <c r="O1014" s="7"/>
    </row>
    <row r="1015" spans="5:18" x14ac:dyDescent="0.3">
      <c r="E1015" t="s">
        <v>136</v>
      </c>
      <c r="O1015" s="7">
        <f>O1012*O997</f>
        <v>844.80657578133321</v>
      </c>
    </row>
    <row r="1016" spans="5:18" x14ac:dyDescent="0.3">
      <c r="E1016" t="s">
        <v>119</v>
      </c>
      <c r="O1016" s="7">
        <f>O1013*O997</f>
        <v>1013.7678909375998</v>
      </c>
    </row>
    <row r="1017" spans="5:18" x14ac:dyDescent="0.3">
      <c r="O1017" s="7"/>
    </row>
    <row r="1018" spans="5:18" x14ac:dyDescent="0.3">
      <c r="E1018" t="s">
        <v>302</v>
      </c>
      <c r="O1018" s="6">
        <f>O1010*O997</f>
        <v>168.96131515626664</v>
      </c>
    </row>
    <row r="1019" spans="5:18" x14ac:dyDescent="0.3">
      <c r="O1019" s="7"/>
    </row>
    <row r="1020" spans="5:18" x14ac:dyDescent="0.3">
      <c r="E1020" t="s">
        <v>127</v>
      </c>
      <c r="P1020" s="7">
        <f>O1013/3</f>
        <v>12.820512820512819</v>
      </c>
      <c r="Q1020" s="7">
        <f>O1013/3</f>
        <v>12.820512820512819</v>
      </c>
      <c r="R1020" s="7">
        <f>O1013/3</f>
        <v>12.820512820512819</v>
      </c>
    </row>
    <row r="1021" spans="5:18" x14ac:dyDescent="0.3">
      <c r="P1021" s="7">
        <f>O1013</f>
        <v>38.46153846153846</v>
      </c>
    </row>
    <row r="1022" spans="5:18" x14ac:dyDescent="0.3">
      <c r="E1022" t="s">
        <v>128</v>
      </c>
      <c r="O1022" s="21">
        <f>'Summary500-600'!E41</f>
        <v>0.95</v>
      </c>
    </row>
    <row r="1023" spans="5:18" x14ac:dyDescent="0.3">
      <c r="E1023" t="s">
        <v>129</v>
      </c>
      <c r="O1023" s="21">
        <f>1-O1022</f>
        <v>5.0000000000000044E-2</v>
      </c>
    </row>
    <row r="1025" spans="3:20" x14ac:dyDescent="0.3">
      <c r="C1025" s="71"/>
      <c r="D1025" s="71"/>
      <c r="E1025" s="71" t="s">
        <v>16</v>
      </c>
    </row>
    <row r="1026" spans="3:20" x14ac:dyDescent="0.3">
      <c r="E1026" t="s">
        <v>17</v>
      </c>
      <c r="P1026" s="74">
        <f>'Summary500-600'!$D$79</f>
        <v>0.13</v>
      </c>
      <c r="Q1026" s="74">
        <f>'Summary500-600'!$D$80</f>
        <v>0.04</v>
      </c>
      <c r="R1026" s="74">
        <f>'Summary500-600'!$D$81</f>
        <v>0.03</v>
      </c>
      <c r="S1026" s="75"/>
      <c r="T1026" s="75"/>
    </row>
    <row r="1027" spans="3:20" x14ac:dyDescent="0.3">
      <c r="E1027" t="s">
        <v>18</v>
      </c>
      <c r="G1027" s="75"/>
      <c r="Q1027" s="74">
        <f>'Summary500-600'!$D$82</f>
        <v>0.8</v>
      </c>
      <c r="R1027" s="76">
        <f>Q1027</f>
        <v>0.8</v>
      </c>
      <c r="S1027" s="76">
        <f>R1027</f>
        <v>0.8</v>
      </c>
      <c r="T1027" s="75"/>
    </row>
    <row r="1028" spans="3:20" x14ac:dyDescent="0.3">
      <c r="E1028" t="s">
        <v>19</v>
      </c>
      <c r="G1028" s="75"/>
      <c r="Q1028" s="75"/>
      <c r="R1028" s="74">
        <f>'Summary500-600'!$D$83</f>
        <v>1</v>
      </c>
      <c r="S1028" s="74">
        <f>R1028</f>
        <v>1</v>
      </c>
      <c r="T1028" s="74">
        <f>S1028</f>
        <v>1</v>
      </c>
    </row>
    <row r="1029" spans="3:20" x14ac:dyDescent="0.3">
      <c r="E1029" t="s">
        <v>20</v>
      </c>
      <c r="R1029" s="21"/>
    </row>
    <row r="1030" spans="3:20" x14ac:dyDescent="0.3">
      <c r="R1030" s="21"/>
    </row>
    <row r="1031" spans="3:20" x14ac:dyDescent="0.3">
      <c r="C1031" s="11"/>
      <c r="D1031" s="11"/>
      <c r="E1031" s="11" t="s">
        <v>196</v>
      </c>
      <c r="P1031" s="90">
        <f>SUM(P1032:P1035)</f>
        <v>0.17350000000000004</v>
      </c>
      <c r="Q1031" s="90">
        <f>SUM(Q1032:Q1035)</f>
        <v>0.17350000000000004</v>
      </c>
      <c r="R1031" s="90">
        <f>SUM(R1032:R1035)</f>
        <v>0.10742480000000001</v>
      </c>
      <c r="S1031" s="90">
        <f>SUM(S1032:S1035)</f>
        <v>0.10701824000000001</v>
      </c>
    </row>
    <row r="1032" spans="3:20" x14ac:dyDescent="0.3">
      <c r="E1032" t="s">
        <v>17</v>
      </c>
      <c r="P1032" s="22">
        <f>(1-P1026)*O1023</f>
        <v>4.3500000000000039E-2</v>
      </c>
      <c r="Q1032" s="22">
        <f>P1032*(1-Q1026)+P1033*(1-Q1027)</f>
        <v>6.7760000000000029E-2</v>
      </c>
    </row>
    <row r="1033" spans="3:20" x14ac:dyDescent="0.3">
      <c r="E1033" t="s">
        <v>18</v>
      </c>
      <c r="P1033" s="22">
        <f>P1026</f>
        <v>0.13</v>
      </c>
      <c r="Q1033" s="22">
        <f>P1032*Q1026</f>
        <v>1.7400000000000015E-3</v>
      </c>
      <c r="R1033" s="22">
        <f>Q1032*R1026</f>
        <v>2.0328000000000008E-3</v>
      </c>
      <c r="T1033" s="22"/>
    </row>
    <row r="1034" spans="3:20" x14ac:dyDescent="0.3">
      <c r="E1034" t="s">
        <v>19</v>
      </c>
      <c r="Q1034" s="22">
        <f>P1033*Q1027</f>
        <v>0.10400000000000001</v>
      </c>
      <c r="R1034" s="22">
        <f>Q1033*R1027+Q1034</f>
        <v>0.10539200000000001</v>
      </c>
      <c r="S1034" s="22">
        <f>R1033*S1027+R1034</f>
        <v>0.10701824000000001</v>
      </c>
    </row>
    <row r="1035" spans="3:20" x14ac:dyDescent="0.3">
      <c r="Q1035" s="22"/>
      <c r="R1035" s="22"/>
    </row>
    <row r="1036" spans="3:20" x14ac:dyDescent="0.3">
      <c r="E1036" t="s">
        <v>195</v>
      </c>
      <c r="P1036" s="22">
        <f>(1-P1026)*O1022</f>
        <v>0.82650000000000001</v>
      </c>
      <c r="R1036" s="29">
        <f>Q1032*(1-R1026)+Q1033*(1-R1027)+Q1034*(1-R1028)</f>
        <v>6.6075200000000028E-2</v>
      </c>
      <c r="S1036" s="29">
        <f>R1033*(1-S1027)+R1036</f>
        <v>6.6481760000000029E-2</v>
      </c>
      <c r="T1036" s="22"/>
    </row>
    <row r="1037" spans="3:20" x14ac:dyDescent="0.3">
      <c r="P1037" s="22"/>
      <c r="R1037" s="29"/>
      <c r="S1037" s="29"/>
      <c r="T1037" s="22"/>
    </row>
    <row r="1038" spans="3:20" x14ac:dyDescent="0.3">
      <c r="P1038" s="25" t="s">
        <v>32</v>
      </c>
    </row>
    <row r="1039" spans="3:20" x14ac:dyDescent="0.3">
      <c r="C1039" s="11"/>
      <c r="D1039" s="11"/>
      <c r="E1039" s="11" t="s">
        <v>124</v>
      </c>
      <c r="P1039" s="8">
        <f>SUM(P1040:P1043)</f>
        <v>26.357965164377596</v>
      </c>
      <c r="Q1039" s="8">
        <f>SUM(Q1040:Q1043)</f>
        <v>4.5731069560195134</v>
      </c>
      <c r="R1039" s="8">
        <f>SUM(R1040:R1043)</f>
        <v>2.8314991361902306</v>
      </c>
    </row>
    <row r="1040" spans="3:20" x14ac:dyDescent="0.3">
      <c r="C1040" s="23"/>
      <c r="D1040" s="23"/>
      <c r="E1040" s="23" t="s">
        <v>120</v>
      </c>
      <c r="P1040" s="7">
        <f>O997*(1-P1026)</f>
        <v>22.931429693008507</v>
      </c>
      <c r="Q1040" s="82">
        <f>P1078*(1-Q1026)+P1041*(1-Q1027)</f>
        <v>1.7860157195382267</v>
      </c>
    </row>
    <row r="1041" spans="3:20" x14ac:dyDescent="0.3">
      <c r="C1041" s="24"/>
      <c r="D1041" s="24"/>
      <c r="E1041" s="24" t="s">
        <v>122</v>
      </c>
      <c r="P1041" s="7">
        <f>O997*P1026</f>
        <v>3.4265354713690876</v>
      </c>
      <c r="Q1041" s="7">
        <f>P1078*Q1026</f>
        <v>4.5862859386017057E-2</v>
      </c>
      <c r="R1041" s="7">
        <f>Q1040*R1026</f>
        <v>5.3580471586146795E-2</v>
      </c>
      <c r="S1041" s="7">
        <f>R1040*S1026</f>
        <v>0</v>
      </c>
    </row>
    <row r="1042" spans="3:20" x14ac:dyDescent="0.3">
      <c r="C1042" s="23"/>
      <c r="D1042" s="23"/>
      <c r="E1042" s="23" t="s">
        <v>121</v>
      </c>
      <c r="Q1042" s="7">
        <f>P1041*Q1027</f>
        <v>2.7412283770952701</v>
      </c>
      <c r="R1042" s="7">
        <f>Q1041*R1027</f>
        <v>3.6690287508813646E-2</v>
      </c>
      <c r="S1042" s="7">
        <f>R1041*S1027</f>
        <v>4.2864377268917439E-2</v>
      </c>
    </row>
    <row r="1043" spans="3:20" x14ac:dyDescent="0.3">
      <c r="C1043" s="23"/>
      <c r="D1043" s="23"/>
      <c r="E1043" s="23" t="s">
        <v>138</v>
      </c>
      <c r="Q1043" s="7"/>
      <c r="R1043" s="7">
        <f>Q1042*R1028</f>
        <v>2.7412283770952701</v>
      </c>
      <c r="S1043" s="7">
        <f>R1042*S1028+R1043</f>
        <v>2.7779186646040839</v>
      </c>
      <c r="T1043" s="7">
        <f>S1042*T1028+S1043</f>
        <v>2.8207830418730011</v>
      </c>
    </row>
    <row r="1044" spans="3:20" x14ac:dyDescent="0.3">
      <c r="C1044" s="23"/>
      <c r="D1044" s="23"/>
      <c r="E1044" s="23"/>
      <c r="Q1044" s="7"/>
    </row>
    <row r="1045" spans="3:20" x14ac:dyDescent="0.3">
      <c r="C1045" s="23"/>
      <c r="D1045" s="23"/>
      <c r="E1045" s="23" t="s">
        <v>137</v>
      </c>
      <c r="Q1045" s="7"/>
      <c r="R1045" s="7">
        <f>Q1040*(1-R1026)+Q1041*(1-R1027)+Q1042*(1-R1028)</f>
        <v>1.7416078198292833</v>
      </c>
      <c r="S1045" s="7">
        <f>R1041*(1-S1027)+R1045</f>
        <v>1.7523239141465126</v>
      </c>
      <c r="T1045" s="7">
        <f>S1042*(1-T1028)+S1045</f>
        <v>1.7523239141465126</v>
      </c>
    </row>
    <row r="1046" spans="3:20" x14ac:dyDescent="0.3">
      <c r="C1046" s="23"/>
      <c r="D1046" s="23"/>
      <c r="E1046" s="23"/>
      <c r="Q1046" s="7"/>
    </row>
    <row r="1047" spans="3:20" x14ac:dyDescent="0.3">
      <c r="C1047" s="11"/>
      <c r="D1047" s="11"/>
      <c r="E1047" s="11" t="s">
        <v>139</v>
      </c>
      <c r="P1047" s="8">
        <f>SUM(P1048:P1049)</f>
        <v>22.931429693008507</v>
      </c>
      <c r="Q1047" s="8">
        <f>SUM(Q1048:Q1049)</f>
        <v>1.7860157195382267</v>
      </c>
      <c r="R1047" s="8">
        <f>SUM(R1048:R1049)</f>
        <v>1.7416078198292833</v>
      </c>
      <c r="S1047" s="8">
        <f>SUM(S1048:S1049)</f>
        <v>1.0716094317229356E-2</v>
      </c>
    </row>
    <row r="1048" spans="3:20" x14ac:dyDescent="0.3">
      <c r="C1048" s="23"/>
      <c r="D1048" s="23"/>
      <c r="E1048" s="23" t="s">
        <v>120</v>
      </c>
      <c r="P1048" s="7">
        <f>P1040</f>
        <v>22.931429693008507</v>
      </c>
      <c r="Q1048" s="7">
        <f>P1078*(1-Q1026)</f>
        <v>1.1007086252644094</v>
      </c>
      <c r="R1048" s="7">
        <f>Q1040*(1-R1026)</f>
        <v>1.7324352479520799</v>
      </c>
    </row>
    <row r="1049" spans="3:20" x14ac:dyDescent="0.3">
      <c r="C1049" s="24"/>
      <c r="D1049" s="24"/>
      <c r="E1049" s="24" t="s">
        <v>122</v>
      </c>
      <c r="Q1049" s="7">
        <f>P1041*(1-Q1027)</f>
        <v>0.68530709427381742</v>
      </c>
      <c r="R1049" s="7">
        <f>Q1041*(1-R1027)</f>
        <v>9.1725718772034098E-3</v>
      </c>
      <c r="S1049" s="7">
        <f>R1041*(1-S1027)</f>
        <v>1.0716094317229356E-2</v>
      </c>
    </row>
    <row r="1050" spans="3:20" x14ac:dyDescent="0.3">
      <c r="C1050" s="23"/>
      <c r="D1050" s="23"/>
      <c r="E1050" s="23"/>
      <c r="Q1050" s="7"/>
      <c r="R1050" s="7">
        <f>Q1042*(1-R1028)</f>
        <v>0</v>
      </c>
      <c r="S1050" s="7">
        <f>R1042*(1-S1028)</f>
        <v>0</v>
      </c>
    </row>
    <row r="1051" spans="3:20" x14ac:dyDescent="0.3">
      <c r="C1051" s="81"/>
      <c r="D1051" s="81"/>
      <c r="E1051" s="81" t="s">
        <v>123</v>
      </c>
    </row>
    <row r="1052" spans="3:20" x14ac:dyDescent="0.3">
      <c r="C1052" s="23"/>
      <c r="D1052" s="23"/>
      <c r="E1052" s="23" t="s">
        <v>120</v>
      </c>
      <c r="P1052" s="7">
        <f>O1013-P1020</f>
        <v>25.641025641025642</v>
      </c>
      <c r="Q1052" s="7">
        <f>P1052-Q1020</f>
        <v>12.820512820512823</v>
      </c>
      <c r="R1052" s="7">
        <f>Q1052-R1020</f>
        <v>0</v>
      </c>
    </row>
    <row r="1053" spans="3:20" x14ac:dyDescent="0.3">
      <c r="C1053" s="24"/>
      <c r="D1053" s="24"/>
      <c r="E1053" s="24" t="s">
        <v>122</v>
      </c>
      <c r="P1053" s="7">
        <f>O1013</f>
        <v>38.46153846153846</v>
      </c>
      <c r="Q1053" s="7">
        <f>P1052</f>
        <v>25.641025641025642</v>
      </c>
      <c r="R1053" s="7">
        <f>Q1052</f>
        <v>12.820512820512823</v>
      </c>
    </row>
    <row r="1054" spans="3:20" x14ac:dyDescent="0.3">
      <c r="C1054" s="23"/>
      <c r="D1054" s="23"/>
      <c r="E1054" s="23" t="s">
        <v>121</v>
      </c>
      <c r="Q1054" s="7">
        <f>P1053</f>
        <v>38.46153846153846</v>
      </c>
      <c r="R1054" s="7">
        <f>Q1053</f>
        <v>25.641025641025642</v>
      </c>
      <c r="S1054" s="7">
        <f>R1053</f>
        <v>12.820512820512823</v>
      </c>
    </row>
    <row r="1055" spans="3:20" x14ac:dyDescent="0.3">
      <c r="C1055" s="23"/>
      <c r="D1055" s="23"/>
      <c r="E1055" s="23"/>
      <c r="R1055" s="7"/>
      <c r="S1055" s="7"/>
    </row>
    <row r="1056" spans="3:20" x14ac:dyDescent="0.3">
      <c r="C1056" s="23"/>
      <c r="D1056" s="23"/>
      <c r="E1056" s="23"/>
      <c r="R1056" s="7"/>
      <c r="S1056" s="7"/>
    </row>
    <row r="1057" spans="3:20" x14ac:dyDescent="0.3">
      <c r="C1057" s="11"/>
      <c r="D1057" s="11"/>
      <c r="E1057" s="11" t="s">
        <v>130</v>
      </c>
      <c r="P1057" s="8">
        <f>SUM(P1058:P1061)</f>
        <v>719.77520256569596</v>
      </c>
      <c r="Q1057" s="8">
        <f>SUM(Q1058:Q1061)</f>
        <v>129.50546884097528</v>
      </c>
      <c r="R1057" s="8">
        <f>SUM(R1058:R1061)</f>
        <v>107.05956638319979</v>
      </c>
      <c r="S1057" s="8">
        <f>SUM(S1058:S1061)</f>
        <v>106.92218055861993</v>
      </c>
    </row>
    <row r="1058" spans="3:20" x14ac:dyDescent="0.3">
      <c r="C1058" s="23"/>
      <c r="D1058" s="23"/>
      <c r="E1058" s="23" t="s">
        <v>120</v>
      </c>
      <c r="P1058" s="7">
        <f t="shared" ref="P1058:R1059" si="93">P1052*P1040</f>
        <v>587.98537674380793</v>
      </c>
      <c r="Q1058" s="7">
        <f t="shared" si="93"/>
        <v>22.897637429977269</v>
      </c>
      <c r="R1058" s="7">
        <f t="shared" si="93"/>
        <v>0</v>
      </c>
    </row>
    <row r="1059" spans="3:20" x14ac:dyDescent="0.3">
      <c r="C1059" s="24"/>
      <c r="D1059" s="24"/>
      <c r="E1059" s="24" t="s">
        <v>122</v>
      </c>
      <c r="P1059" s="7">
        <f t="shared" si="93"/>
        <v>131.78982582188797</v>
      </c>
      <c r="Q1059" s="7">
        <f t="shared" si="93"/>
        <v>1.1759707534876169</v>
      </c>
      <c r="R1059" s="7">
        <f t="shared" si="93"/>
        <v>0.68692912289931807</v>
      </c>
      <c r="S1059" s="7">
        <f>S1053*S1041</f>
        <v>0</v>
      </c>
    </row>
    <row r="1060" spans="3:20" x14ac:dyDescent="0.3">
      <c r="C1060" s="23"/>
      <c r="D1060" s="23"/>
      <c r="E1060" s="23" t="s">
        <v>121</v>
      </c>
      <c r="Q1060" s="7">
        <f>Q1054*Q1042</f>
        <v>105.43186065751038</v>
      </c>
      <c r="R1060" s="7">
        <f>R1054*R1042</f>
        <v>0.94077660279009356</v>
      </c>
      <c r="S1060" s="7">
        <f>S1054*S1042</f>
        <v>0.54954329831945448</v>
      </c>
    </row>
    <row r="1061" spans="3:20" x14ac:dyDescent="0.3">
      <c r="C1061" s="23"/>
      <c r="D1061" s="23"/>
      <c r="E1061" s="23" t="s">
        <v>299</v>
      </c>
      <c r="R1061" s="8">
        <f>Q1060</f>
        <v>105.43186065751038</v>
      </c>
      <c r="S1061" s="8">
        <f>R1061+R1060</f>
        <v>106.37263726030048</v>
      </c>
      <c r="T1061" s="8">
        <f>S1061+S1060</f>
        <v>106.92218055861993</v>
      </c>
    </row>
    <row r="1062" spans="3:20" x14ac:dyDescent="0.3">
      <c r="C1062" s="23"/>
      <c r="D1062" s="23"/>
      <c r="E1062" s="23"/>
    </row>
    <row r="1063" spans="3:20" x14ac:dyDescent="0.3">
      <c r="C1063" s="105"/>
      <c r="D1063" s="105"/>
      <c r="E1063" s="105" t="s">
        <v>300</v>
      </c>
      <c r="O1063" s="8">
        <f>T1061</f>
        <v>106.92218055861993</v>
      </c>
    </row>
    <row r="1064" spans="3:20" x14ac:dyDescent="0.3">
      <c r="C1064" s="23"/>
      <c r="D1064" s="23"/>
      <c r="E1064" s="23"/>
    </row>
    <row r="1065" spans="3:20" x14ac:dyDescent="0.3">
      <c r="C1065" s="11"/>
      <c r="D1065" s="11"/>
      <c r="E1065" s="11" t="s">
        <v>140</v>
      </c>
      <c r="P1065" s="8">
        <f>SUM(P1067:P1070)</f>
        <v>852.57879627852139</v>
      </c>
      <c r="Q1065" s="8">
        <f>SUM(Q1067:Q1070)</f>
        <v>31.683625818103128</v>
      </c>
      <c r="R1065" s="8">
        <f t="shared" ref="R1065:S1065" si="94">SUM(R1067:R1070)</f>
        <v>22.445902457775471</v>
      </c>
      <c r="S1065" s="8">
        <f t="shared" si="94"/>
        <v>0.13738582457986354</v>
      </c>
    </row>
    <row r="1066" spans="3:20" x14ac:dyDescent="0.3">
      <c r="C1066" s="11"/>
      <c r="D1066" s="11"/>
      <c r="E1066" s="11"/>
      <c r="P1066" s="8"/>
      <c r="Q1066" s="8"/>
      <c r="R1066" s="8"/>
      <c r="S1066" s="8"/>
    </row>
    <row r="1067" spans="3:20" x14ac:dyDescent="0.3">
      <c r="E1067" t="s">
        <v>131</v>
      </c>
      <c r="G1067" s="23" t="s">
        <v>120</v>
      </c>
      <c r="P1067" s="6">
        <f>P1076*P1021</f>
        <v>837.87916185992617</v>
      </c>
    </row>
    <row r="1068" spans="3:20" x14ac:dyDescent="0.3">
      <c r="G1068" s="23"/>
      <c r="P1068" s="6"/>
    </row>
    <row r="1069" spans="3:20" x14ac:dyDescent="0.3">
      <c r="E1069" t="s">
        <v>200</v>
      </c>
      <c r="G1069" s="23" t="s">
        <v>120</v>
      </c>
      <c r="P1069" s="6">
        <f>P1078*P1020</f>
        <v>14.69963441859521</v>
      </c>
      <c r="Q1069" s="27">
        <f>Q1048*Q1020</f>
        <v>14.1116490418514</v>
      </c>
      <c r="R1069" s="27">
        <f>R1048*R1020</f>
        <v>22.210708307077947</v>
      </c>
      <c r="S1069" s="27">
        <f>S1048*S1020</f>
        <v>0</v>
      </c>
      <c r="T1069" s="27"/>
    </row>
    <row r="1070" spans="3:20" x14ac:dyDescent="0.3">
      <c r="E1070" t="s">
        <v>200</v>
      </c>
      <c r="G1070" s="24" t="s">
        <v>122</v>
      </c>
      <c r="P1070" s="6"/>
      <c r="Q1070" s="27">
        <f>Q1049*(P1020+Q1020)</f>
        <v>17.571976776251727</v>
      </c>
      <c r="R1070" s="27">
        <f>R1049*(Q1020+R1020)</f>
        <v>0.23519415069752331</v>
      </c>
      <c r="S1070" s="27">
        <f>S1049*(R1020+S1020)</f>
        <v>0.13738582457986354</v>
      </c>
      <c r="T1070" s="27"/>
    </row>
    <row r="1072" spans="3:20" x14ac:dyDescent="0.3">
      <c r="C1072" s="11"/>
      <c r="D1072" s="11"/>
      <c r="E1072" s="11" t="s">
        <v>283</v>
      </c>
      <c r="P1072" s="8">
        <f>SUM(P1069:S1070)</f>
        <v>68.966548519053674</v>
      </c>
    </row>
    <row r="1074" spans="3:34" x14ac:dyDescent="0.3">
      <c r="E1074" t="s">
        <v>202</v>
      </c>
      <c r="P1074" s="28">
        <f>P1076*(Q1020+R1020)</f>
        <v>558.58610790661737</v>
      </c>
    </row>
    <row r="1076" spans="3:34" x14ac:dyDescent="0.3">
      <c r="C1076" s="72"/>
      <c r="D1076" s="72"/>
      <c r="E1076" s="72" t="s">
        <v>132</v>
      </c>
      <c r="P1076" s="73">
        <f>P1040*O1022</f>
        <v>21.784858208358081</v>
      </c>
    </row>
    <row r="1078" spans="3:34" x14ac:dyDescent="0.3">
      <c r="E1078" t="s">
        <v>201</v>
      </c>
      <c r="P1078" s="7">
        <f>P1040*O1023</f>
        <v>1.1465714846504265</v>
      </c>
    </row>
    <row r="1081" spans="3:34" x14ac:dyDescent="0.3">
      <c r="E1081" s="160" t="s">
        <v>243</v>
      </c>
      <c r="F1081" s="161"/>
      <c r="G1081" s="161"/>
      <c r="H1081" s="161"/>
      <c r="I1081" s="161"/>
      <c r="J1081" s="161"/>
      <c r="K1081" s="161"/>
      <c r="L1081" s="161"/>
      <c r="M1081" s="161"/>
      <c r="N1081" s="161"/>
      <c r="O1081" s="161"/>
      <c r="P1081" s="161"/>
      <c r="Q1081" s="161"/>
      <c r="R1081" s="161"/>
      <c r="S1081" s="161"/>
      <c r="T1081" s="161"/>
      <c r="U1081" s="161"/>
      <c r="V1081" s="161"/>
      <c r="W1081" s="161"/>
      <c r="X1081" s="161"/>
      <c r="Y1081" s="161"/>
      <c r="Z1081" s="161"/>
      <c r="AA1081" s="161"/>
      <c r="AB1081" s="161"/>
      <c r="AC1081" s="161"/>
      <c r="AD1081" s="161"/>
      <c r="AE1081" s="161"/>
      <c r="AF1081" s="161"/>
      <c r="AG1081" s="161"/>
      <c r="AH1081" s="162"/>
    </row>
    <row r="1083" spans="3:34" x14ac:dyDescent="0.3">
      <c r="E1083" t="s">
        <v>197</v>
      </c>
      <c r="O1083" s="83">
        <f>L475</f>
        <v>501.18038949825018</v>
      </c>
    </row>
    <row r="1084" spans="3:34" x14ac:dyDescent="0.3">
      <c r="E1084" t="s">
        <v>206</v>
      </c>
      <c r="O1084" s="7">
        <f>O1086*O1083</f>
        <v>30.710115730510413</v>
      </c>
      <c r="R1084" s="77"/>
    </row>
    <row r="1085" spans="3:34" x14ac:dyDescent="0.3">
      <c r="O1085" s="7"/>
      <c r="R1085" s="77"/>
    </row>
    <row r="1086" spans="3:34" x14ac:dyDescent="0.3">
      <c r="C1086" s="11"/>
      <c r="D1086" s="11"/>
      <c r="E1086" s="11" t="s">
        <v>134</v>
      </c>
      <c r="F1086" s="11"/>
      <c r="G1086" s="11"/>
      <c r="O1086" s="92">
        <f>O1087*O1088*O1089*O1090</f>
        <v>6.1275573374400025E-2</v>
      </c>
      <c r="P1086" s="7">
        <f>P1087*P1088*P1089*P1090</f>
        <v>0</v>
      </c>
      <c r="Q1086" s="11"/>
      <c r="S1086" s="11"/>
    </row>
    <row r="1087" spans="3:34" x14ac:dyDescent="0.3">
      <c r="E1087" t="s">
        <v>35</v>
      </c>
      <c r="O1087" s="84">
        <f>P514</f>
        <v>6.6481760000000029E-2</v>
      </c>
    </row>
    <row r="1088" spans="3:34" x14ac:dyDescent="0.3">
      <c r="E1088" t="s">
        <v>36</v>
      </c>
      <c r="O1088" s="86">
        <f>0.95</f>
        <v>0.95</v>
      </c>
    </row>
    <row r="1089" spans="3:15" x14ac:dyDescent="0.3">
      <c r="E1089" t="s">
        <v>142</v>
      </c>
      <c r="O1089" s="86">
        <v>0.99</v>
      </c>
    </row>
    <row r="1090" spans="3:15" x14ac:dyDescent="0.3">
      <c r="E1090" t="s">
        <v>37</v>
      </c>
      <c r="O1090" s="86">
        <v>0.98</v>
      </c>
    </row>
    <row r="1093" spans="3:15" x14ac:dyDescent="0.3">
      <c r="E1093" t="s">
        <v>125</v>
      </c>
      <c r="O1093" s="83">
        <f>$F$33</f>
        <v>32.051282051282051</v>
      </c>
    </row>
    <row r="1094" spans="3:15" x14ac:dyDescent="0.3">
      <c r="C1094" s="100"/>
      <c r="D1094" s="100"/>
      <c r="E1094" s="100" t="s">
        <v>135</v>
      </c>
      <c r="O1094" s="101">
        <f>O1093</f>
        <v>32.051282051282051</v>
      </c>
    </row>
    <row r="1096" spans="3:15" x14ac:dyDescent="0.3">
      <c r="E1096" t="s">
        <v>126</v>
      </c>
      <c r="O1096" s="88">
        <f>$H$52</f>
        <v>0.2</v>
      </c>
    </row>
    <row r="1097" spans="3:15" x14ac:dyDescent="0.3">
      <c r="E1097" t="s">
        <v>117</v>
      </c>
      <c r="O1097" s="7">
        <f>O1096*O1093</f>
        <v>6.4102564102564106</v>
      </c>
    </row>
    <row r="1099" spans="3:15" x14ac:dyDescent="0.3">
      <c r="E1099" t="s">
        <v>118</v>
      </c>
      <c r="O1099" s="7">
        <f>O1094</f>
        <v>32.051282051282051</v>
      </c>
    </row>
    <row r="1100" spans="3:15" x14ac:dyDescent="0.3">
      <c r="E1100" t="s">
        <v>106</v>
      </c>
      <c r="O1100" s="7">
        <f>O1093*(1+O1096)</f>
        <v>38.46153846153846</v>
      </c>
    </row>
    <row r="1101" spans="3:15" x14ac:dyDescent="0.3">
      <c r="O1101" s="7"/>
    </row>
    <row r="1102" spans="3:15" x14ac:dyDescent="0.3">
      <c r="E1102" t="s">
        <v>136</v>
      </c>
      <c r="O1102" s="7">
        <f>O1099*O1084</f>
        <v>984.29858110610303</v>
      </c>
    </row>
    <row r="1103" spans="3:15" x14ac:dyDescent="0.3">
      <c r="E1103" t="s">
        <v>119</v>
      </c>
      <c r="O1103" s="7">
        <f>O1100*O1084</f>
        <v>1181.1582973273235</v>
      </c>
    </row>
    <row r="1104" spans="3:15" x14ac:dyDescent="0.3">
      <c r="O1104" s="7"/>
    </row>
    <row r="1105" spans="3:20" x14ac:dyDescent="0.3">
      <c r="E1105" t="s">
        <v>302</v>
      </c>
      <c r="O1105" s="6">
        <f>O1097*O1084</f>
        <v>196.85971622122059</v>
      </c>
    </row>
    <row r="1106" spans="3:20" x14ac:dyDescent="0.3">
      <c r="O1106" s="7"/>
    </row>
    <row r="1107" spans="3:20" x14ac:dyDescent="0.3">
      <c r="E1107" t="s">
        <v>127</v>
      </c>
      <c r="P1107" s="7">
        <f>O1100/3</f>
        <v>12.820512820512819</v>
      </c>
      <c r="Q1107" s="7">
        <f>O1100/3</f>
        <v>12.820512820512819</v>
      </c>
      <c r="R1107" s="7">
        <f>O1100/3</f>
        <v>12.820512820512819</v>
      </c>
    </row>
    <row r="1108" spans="3:20" x14ac:dyDescent="0.3">
      <c r="P1108" s="7">
        <f>O1100</f>
        <v>38.46153846153846</v>
      </c>
    </row>
    <row r="1109" spans="3:20" x14ac:dyDescent="0.3">
      <c r="E1109" t="s">
        <v>128</v>
      </c>
      <c r="O1109" s="21">
        <f>'Summary500-600'!E41</f>
        <v>0.95</v>
      </c>
    </row>
    <row r="1110" spans="3:20" x14ac:dyDescent="0.3">
      <c r="E1110" t="s">
        <v>129</v>
      </c>
      <c r="O1110" s="21">
        <f>1-O1109</f>
        <v>5.0000000000000044E-2</v>
      </c>
    </row>
    <row r="1112" spans="3:20" x14ac:dyDescent="0.3">
      <c r="C1112" s="71"/>
      <c r="D1112" s="71"/>
      <c r="E1112" s="71" t="s">
        <v>16</v>
      </c>
    </row>
    <row r="1113" spans="3:20" x14ac:dyDescent="0.3">
      <c r="E1113" t="s">
        <v>17</v>
      </c>
      <c r="P1113" s="74">
        <f>'Summary500-600'!$D$79</f>
        <v>0.13</v>
      </c>
      <c r="Q1113" s="74">
        <f>'Summary500-600'!$D$80</f>
        <v>0.04</v>
      </c>
      <c r="R1113" s="74">
        <f>'Summary500-600'!$D$81</f>
        <v>0.03</v>
      </c>
      <c r="S1113" s="75"/>
      <c r="T1113" s="75"/>
    </row>
    <row r="1114" spans="3:20" x14ac:dyDescent="0.3">
      <c r="E1114" t="s">
        <v>18</v>
      </c>
      <c r="G1114" s="75"/>
      <c r="Q1114" s="74">
        <f>'Summary500-600'!$D$82</f>
        <v>0.8</v>
      </c>
      <c r="R1114" s="76">
        <f>Q1114</f>
        <v>0.8</v>
      </c>
      <c r="S1114" s="76">
        <f>R1114</f>
        <v>0.8</v>
      </c>
      <c r="T1114" s="75"/>
    </row>
    <row r="1115" spans="3:20" x14ac:dyDescent="0.3">
      <c r="E1115" t="s">
        <v>19</v>
      </c>
      <c r="G1115" s="75"/>
      <c r="Q1115" s="75"/>
      <c r="R1115" s="74">
        <f>'Summary500-600'!$D$83</f>
        <v>1</v>
      </c>
      <c r="S1115" s="74">
        <f>R1115</f>
        <v>1</v>
      </c>
      <c r="T1115" s="74">
        <f>S1115</f>
        <v>1</v>
      </c>
    </row>
    <row r="1116" spans="3:20" x14ac:dyDescent="0.3">
      <c r="E1116" t="s">
        <v>20</v>
      </c>
      <c r="R1116" s="21"/>
    </row>
    <row r="1117" spans="3:20" x14ac:dyDescent="0.3">
      <c r="R1117" s="21"/>
    </row>
    <row r="1118" spans="3:20" x14ac:dyDescent="0.3">
      <c r="C1118" s="11"/>
      <c r="D1118" s="11"/>
      <c r="E1118" s="11" t="s">
        <v>196</v>
      </c>
      <c r="P1118" s="90">
        <f>SUM(P1119:P1122)</f>
        <v>0.17350000000000004</v>
      </c>
      <c r="Q1118" s="90">
        <f t="shared" ref="Q1118:S1118" si="95">SUM(Q1119:Q1122)</f>
        <v>0.17350000000000004</v>
      </c>
      <c r="R1118" s="90">
        <f t="shared" si="95"/>
        <v>0.10742480000000001</v>
      </c>
      <c r="S1118" s="90">
        <f t="shared" si="95"/>
        <v>0.10701824000000001</v>
      </c>
    </row>
    <row r="1119" spans="3:20" x14ac:dyDescent="0.3">
      <c r="E1119" t="s">
        <v>17</v>
      </c>
      <c r="P1119" s="22">
        <f>(1-P1113)*O1110</f>
        <v>4.3500000000000039E-2</v>
      </c>
      <c r="Q1119" s="22">
        <f>P1119*(1-Q1113)+P1120*(1-Q1114)</f>
        <v>6.7760000000000029E-2</v>
      </c>
    </row>
    <row r="1120" spans="3:20" x14ac:dyDescent="0.3">
      <c r="E1120" t="s">
        <v>18</v>
      </c>
      <c r="P1120" s="22">
        <f>P1113</f>
        <v>0.13</v>
      </c>
      <c r="Q1120" s="22">
        <f>P1119*Q1113</f>
        <v>1.7400000000000015E-3</v>
      </c>
      <c r="R1120" s="22">
        <f>Q1119*R1113</f>
        <v>2.0328000000000008E-3</v>
      </c>
      <c r="T1120" s="22"/>
    </row>
    <row r="1121" spans="3:20" x14ac:dyDescent="0.3">
      <c r="E1121" t="s">
        <v>19</v>
      </c>
      <c r="Q1121" s="22">
        <f>P1120*Q1114</f>
        <v>0.10400000000000001</v>
      </c>
      <c r="R1121" s="22">
        <f>Q1120*R1114+Q1121</f>
        <v>0.10539200000000001</v>
      </c>
      <c r="S1121" s="22">
        <f>R1120*S1114+R1121</f>
        <v>0.10701824000000001</v>
      </c>
    </row>
    <row r="1122" spans="3:20" x14ac:dyDescent="0.3">
      <c r="Q1122" s="22"/>
      <c r="R1122" s="22"/>
    </row>
    <row r="1123" spans="3:20" x14ac:dyDescent="0.3">
      <c r="E1123" t="s">
        <v>195</v>
      </c>
      <c r="P1123" s="22">
        <f>(1-P1113)*O1109</f>
        <v>0.82650000000000001</v>
      </c>
      <c r="R1123" s="29">
        <f>Q1119*(1-R1113)+Q1120*(1-R1114)+Q1121*(1-R1115)</f>
        <v>6.6075200000000028E-2</v>
      </c>
      <c r="S1123" s="29">
        <f>R1120*(1-S1114)+R1123</f>
        <v>6.6481760000000029E-2</v>
      </c>
      <c r="T1123" s="22"/>
    </row>
    <row r="1124" spans="3:20" x14ac:dyDescent="0.3">
      <c r="P1124" s="22"/>
      <c r="R1124" s="29"/>
      <c r="S1124" s="29"/>
      <c r="T1124" s="22"/>
    </row>
    <row r="1125" spans="3:20" x14ac:dyDescent="0.3">
      <c r="P1125" s="25" t="s">
        <v>32</v>
      </c>
    </row>
    <row r="1126" spans="3:20" x14ac:dyDescent="0.3">
      <c r="C1126" s="11"/>
      <c r="D1126" s="11"/>
      <c r="E1126" s="11" t="s">
        <v>124</v>
      </c>
      <c r="P1126" s="8">
        <f>SUM(P1127:P1130)</f>
        <v>30.710115730510413</v>
      </c>
      <c r="Q1126" s="8">
        <f t="shared" ref="Q1126:R1126" si="96">SUM(Q1127:Q1130)</f>
        <v>5.328205079243558</v>
      </c>
      <c r="R1126" s="8">
        <f t="shared" si="96"/>
        <v>3.2990280403269354</v>
      </c>
    </row>
    <row r="1127" spans="3:20" x14ac:dyDescent="0.3">
      <c r="C1127" s="23"/>
      <c r="D1127" s="23"/>
      <c r="E1127" s="23" t="s">
        <v>120</v>
      </c>
      <c r="P1127" s="7">
        <f>O1084*(1-P1113)</f>
        <v>26.717800685544059</v>
      </c>
      <c r="Q1127" s="82">
        <f>P1165*(1-Q1113)+P1128*(1-Q1114)</f>
        <v>2.0809174418993868</v>
      </c>
    </row>
    <row r="1128" spans="3:20" x14ac:dyDescent="0.3">
      <c r="C1128" s="24"/>
      <c r="D1128" s="24"/>
      <c r="E1128" s="24" t="s">
        <v>122</v>
      </c>
      <c r="P1128" s="7">
        <f>O1084*P1113</f>
        <v>3.9923150449663538</v>
      </c>
      <c r="Q1128" s="7">
        <f>P1165*Q1113</f>
        <v>5.3435601371088166E-2</v>
      </c>
      <c r="R1128" s="7">
        <f>Q1127*R1113</f>
        <v>6.2427523256981601E-2</v>
      </c>
      <c r="S1128" s="7">
        <f>R1127*S1113</f>
        <v>0</v>
      </c>
    </row>
    <row r="1129" spans="3:20" x14ac:dyDescent="0.3">
      <c r="C1129" s="23"/>
      <c r="D1129" s="23"/>
      <c r="E1129" s="23" t="s">
        <v>121</v>
      </c>
      <c r="Q1129" s="7">
        <f>P1128*Q1114</f>
        <v>3.1938520359730833</v>
      </c>
      <c r="R1129" s="7">
        <f>Q1128*R1114</f>
        <v>4.2748481096870537E-2</v>
      </c>
      <c r="S1129" s="7">
        <f>R1128*S1114</f>
        <v>4.9942018605585281E-2</v>
      </c>
    </row>
    <row r="1130" spans="3:20" x14ac:dyDescent="0.3">
      <c r="C1130" s="23"/>
      <c r="D1130" s="23"/>
      <c r="E1130" s="23" t="s">
        <v>138</v>
      </c>
      <c r="Q1130" s="7"/>
      <c r="R1130" s="7">
        <f>Q1129*R1115</f>
        <v>3.1938520359730833</v>
      </c>
      <c r="S1130" s="7">
        <f>R1129*S1115+R1130</f>
        <v>3.2366005170699537</v>
      </c>
      <c r="T1130" s="7">
        <f>S1129*T1115+S1130</f>
        <v>3.2865425356755389</v>
      </c>
    </row>
    <row r="1131" spans="3:20" x14ac:dyDescent="0.3">
      <c r="C1131" s="23"/>
      <c r="D1131" s="23"/>
      <c r="E1131" s="23"/>
      <c r="Q1131" s="7"/>
    </row>
    <row r="1132" spans="3:20" x14ac:dyDescent="0.3">
      <c r="C1132" s="23"/>
      <c r="D1132" s="23"/>
      <c r="E1132" s="23" t="s">
        <v>137</v>
      </c>
      <c r="Q1132" s="7"/>
      <c r="R1132" s="7">
        <f>Q1127*(1-R1113)+Q1128*(1-R1114)+Q1129*(1-R1115)</f>
        <v>2.0291770389166226</v>
      </c>
      <c r="S1132" s="7">
        <f>R1128*(1-S1114)+R1132</f>
        <v>2.0416625435680191</v>
      </c>
      <c r="T1132" s="7">
        <f>S1129*(1-T1115)+S1132</f>
        <v>2.0416625435680191</v>
      </c>
    </row>
    <row r="1133" spans="3:20" x14ac:dyDescent="0.3">
      <c r="C1133" s="23"/>
      <c r="D1133" s="23"/>
      <c r="E1133" s="23"/>
      <c r="Q1133" s="7"/>
    </row>
    <row r="1134" spans="3:20" x14ac:dyDescent="0.3">
      <c r="C1134" s="11"/>
      <c r="D1134" s="11"/>
      <c r="E1134" s="11" t="s">
        <v>139</v>
      </c>
      <c r="P1134" s="8">
        <f>SUM(P1135:P1136)</f>
        <v>26.717800685544059</v>
      </c>
      <c r="Q1134" s="8">
        <f>SUM(Q1135:Q1136)</f>
        <v>2.0809174418993868</v>
      </c>
      <c r="R1134" s="8">
        <f>SUM(R1135:R1136)</f>
        <v>2.0291770389166226</v>
      </c>
      <c r="S1134" s="8">
        <f>SUM(S1135:S1136)</f>
        <v>1.2485504651396317E-2</v>
      </c>
    </row>
    <row r="1135" spans="3:20" x14ac:dyDescent="0.3">
      <c r="C1135" s="23"/>
      <c r="D1135" s="23"/>
      <c r="E1135" s="23" t="s">
        <v>120</v>
      </c>
      <c r="P1135" s="7">
        <f>P1127</f>
        <v>26.717800685544059</v>
      </c>
      <c r="Q1135" s="7">
        <f>P1165*(1-Q1113)</f>
        <v>1.282454432906116</v>
      </c>
      <c r="R1135" s="7">
        <f>Q1127*(1-R1113)</f>
        <v>2.018489918642405</v>
      </c>
    </row>
    <row r="1136" spans="3:20" x14ac:dyDescent="0.3">
      <c r="C1136" s="24"/>
      <c r="D1136" s="24"/>
      <c r="E1136" s="24" t="s">
        <v>122</v>
      </c>
      <c r="Q1136" s="7">
        <f>P1128*(1-Q1114)</f>
        <v>0.79846300899327061</v>
      </c>
      <c r="R1136" s="7">
        <f>Q1128*(1-R1114)</f>
        <v>1.0687120274217631E-2</v>
      </c>
      <c r="S1136" s="7">
        <f>R1128*(1-S1114)</f>
        <v>1.2485504651396317E-2</v>
      </c>
    </row>
    <row r="1137" spans="3:20" x14ac:dyDescent="0.3">
      <c r="C1137" s="23"/>
      <c r="D1137" s="23"/>
      <c r="E1137" s="23"/>
      <c r="Q1137" s="7"/>
      <c r="R1137" s="7">
        <f>Q1129*(1-R1115)</f>
        <v>0</v>
      </c>
      <c r="S1137" s="7">
        <f>R1129*(1-S1115)</f>
        <v>0</v>
      </c>
    </row>
    <row r="1138" spans="3:20" x14ac:dyDescent="0.3">
      <c r="C1138" s="81"/>
      <c r="D1138" s="81"/>
      <c r="E1138" s="81" t="s">
        <v>123</v>
      </c>
    </row>
    <row r="1139" spans="3:20" x14ac:dyDescent="0.3">
      <c r="C1139" s="23"/>
      <c r="D1139" s="23"/>
      <c r="E1139" s="23" t="s">
        <v>120</v>
      </c>
      <c r="P1139" s="7">
        <f>O1100-P1107</f>
        <v>25.641025641025642</v>
      </c>
      <c r="Q1139" s="7">
        <f>P1139-Q1107</f>
        <v>12.820512820512823</v>
      </c>
      <c r="R1139" s="7">
        <f>Q1139-R1107</f>
        <v>0</v>
      </c>
    </row>
    <row r="1140" spans="3:20" x14ac:dyDescent="0.3">
      <c r="C1140" s="24"/>
      <c r="D1140" s="24"/>
      <c r="E1140" s="24" t="s">
        <v>122</v>
      </c>
      <c r="P1140" s="7">
        <f>O1100</f>
        <v>38.46153846153846</v>
      </c>
      <c r="Q1140" s="7">
        <f>P1139</f>
        <v>25.641025641025642</v>
      </c>
      <c r="R1140" s="7">
        <f>Q1139</f>
        <v>12.820512820512823</v>
      </c>
    </row>
    <row r="1141" spans="3:20" x14ac:dyDescent="0.3">
      <c r="C1141" s="23"/>
      <c r="D1141" s="23"/>
      <c r="E1141" s="23" t="s">
        <v>121</v>
      </c>
      <c r="Q1141" s="7">
        <f>P1140</f>
        <v>38.46153846153846</v>
      </c>
      <c r="R1141" s="7">
        <f>Q1140</f>
        <v>25.641025641025642</v>
      </c>
      <c r="S1141" s="7">
        <f>R1140</f>
        <v>12.820512820512823</v>
      </c>
    </row>
    <row r="1142" spans="3:20" x14ac:dyDescent="0.3">
      <c r="C1142" s="23"/>
      <c r="D1142" s="23"/>
      <c r="E1142" s="23"/>
      <c r="R1142" s="7"/>
      <c r="S1142" s="7"/>
    </row>
    <row r="1143" spans="3:20" x14ac:dyDescent="0.3">
      <c r="C1143" s="23"/>
      <c r="D1143" s="23"/>
      <c r="E1143" s="23"/>
      <c r="R1143" s="7"/>
      <c r="S1143" s="7"/>
    </row>
    <row r="1144" spans="3:20" x14ac:dyDescent="0.3">
      <c r="C1144" s="11"/>
      <c r="D1144" s="11"/>
      <c r="E1144" s="11" t="s">
        <v>130</v>
      </c>
      <c r="P1144" s="8">
        <f>SUM(P1145:P1148)</f>
        <v>838.62239110239977</v>
      </c>
      <c r="Q1144" s="8">
        <f t="shared" ref="Q1144:S1144" si="97">SUM(Q1145:Q1148)</f>
        <v>150.88903528924121</v>
      </c>
      <c r="R1144" s="8">
        <f t="shared" si="97"/>
        <v>124.73693068423042</v>
      </c>
      <c r="S1144" s="8">
        <f t="shared" si="97"/>
        <v>124.57686011177661</v>
      </c>
    </row>
    <row r="1145" spans="3:20" x14ac:dyDescent="0.3">
      <c r="C1145" s="23"/>
      <c r="D1145" s="23"/>
      <c r="E1145" s="23" t="s">
        <v>120</v>
      </c>
      <c r="P1145" s="7">
        <f>P1139*P1127</f>
        <v>685.0718124498477</v>
      </c>
      <c r="Q1145" s="7">
        <f t="shared" ref="Q1145:R1146" si="98">Q1139*Q1127</f>
        <v>26.678428742299836</v>
      </c>
      <c r="R1145" s="7">
        <f t="shared" si="98"/>
        <v>0</v>
      </c>
    </row>
    <row r="1146" spans="3:20" x14ac:dyDescent="0.3">
      <c r="C1146" s="24"/>
      <c r="D1146" s="24"/>
      <c r="E1146" s="24" t="s">
        <v>122</v>
      </c>
      <c r="P1146" s="7">
        <f>P1140*P1128</f>
        <v>153.55057865255208</v>
      </c>
      <c r="Q1146" s="7">
        <f t="shared" si="98"/>
        <v>1.3701436248996965</v>
      </c>
      <c r="R1146" s="7">
        <f t="shared" si="98"/>
        <v>0.80035286226899505</v>
      </c>
      <c r="S1146" s="7">
        <f>S1140*S1128</f>
        <v>0</v>
      </c>
    </row>
    <row r="1147" spans="3:20" x14ac:dyDescent="0.3">
      <c r="C1147" s="23"/>
      <c r="D1147" s="23"/>
      <c r="E1147" s="23" t="s">
        <v>121</v>
      </c>
      <c r="Q1147" s="7">
        <f>Q1141*Q1129</f>
        <v>122.84046292204167</v>
      </c>
      <c r="R1147" s="7">
        <f>R1141*R1129</f>
        <v>1.0961148999197574</v>
      </c>
      <c r="S1147" s="7">
        <f>S1141*S1129</f>
        <v>0.64028228981519608</v>
      </c>
    </row>
    <row r="1148" spans="3:20" x14ac:dyDescent="0.3">
      <c r="C1148" s="23"/>
      <c r="D1148" s="23"/>
      <c r="E1148" s="23" t="s">
        <v>299</v>
      </c>
      <c r="R1148" s="8">
        <f>Q1147</f>
        <v>122.84046292204167</v>
      </c>
      <c r="S1148" s="8">
        <f>R1148+R1147</f>
        <v>123.93657782196142</v>
      </c>
      <c r="T1148" s="8">
        <f>S1148+S1147</f>
        <v>124.57686011177661</v>
      </c>
    </row>
    <row r="1149" spans="3:20" x14ac:dyDescent="0.3">
      <c r="C1149" s="23"/>
      <c r="D1149" s="23"/>
      <c r="E1149" s="23"/>
    </row>
    <row r="1150" spans="3:20" x14ac:dyDescent="0.3">
      <c r="C1150" s="105"/>
      <c r="D1150" s="105"/>
      <c r="E1150" s="105" t="s">
        <v>300</v>
      </c>
      <c r="O1150" s="8">
        <f>T1148</f>
        <v>124.57686011177661</v>
      </c>
    </row>
    <row r="1151" spans="3:20" x14ac:dyDescent="0.3">
      <c r="C1151" s="23"/>
      <c r="D1151" s="23"/>
      <c r="E1151" s="23"/>
    </row>
    <row r="1152" spans="3:20" x14ac:dyDescent="0.3">
      <c r="C1152" s="11"/>
      <c r="D1152" s="11"/>
      <c r="E1152" s="11" t="s">
        <v>140</v>
      </c>
      <c r="P1152" s="8">
        <f>SUM(P1154:P1157)</f>
        <v>993.35412805227907</v>
      </c>
      <c r="Q1152" s="8">
        <f>SUM(Q1154:Q1157)</f>
        <v>36.915133985803294</v>
      </c>
      <c r="R1152" s="8">
        <f t="shared" ref="R1152:S1152" si="99">SUM(R1154:R1157)</f>
        <v>26.15210460501077</v>
      </c>
      <c r="S1152" s="8">
        <f t="shared" si="99"/>
        <v>0.16007057245379891</v>
      </c>
    </row>
    <row r="1153" spans="3:25" x14ac:dyDescent="0.3">
      <c r="C1153" s="11"/>
      <c r="D1153" s="11"/>
      <c r="E1153" s="11"/>
      <c r="P1153" s="8"/>
      <c r="Q1153" s="8"/>
      <c r="R1153" s="8"/>
      <c r="S1153" s="8"/>
    </row>
    <row r="1154" spans="3:25" x14ac:dyDescent="0.3">
      <c r="E1154" t="s">
        <v>131</v>
      </c>
      <c r="G1154" s="23" t="s">
        <v>120</v>
      </c>
      <c r="P1154" s="6">
        <f>P1163*P1108</f>
        <v>976.22733274103291</v>
      </c>
    </row>
    <row r="1155" spans="3:25" x14ac:dyDescent="0.3">
      <c r="G1155" s="23"/>
      <c r="P1155" s="6"/>
    </row>
    <row r="1156" spans="3:25" x14ac:dyDescent="0.3">
      <c r="E1156" t="s">
        <v>200</v>
      </c>
      <c r="G1156" s="23" t="s">
        <v>120</v>
      </c>
      <c r="P1156" s="6">
        <f>P1165*P1107</f>
        <v>17.126795311246205</v>
      </c>
      <c r="Q1156" s="27">
        <f>Q1135*Q1107</f>
        <v>16.441723498796357</v>
      </c>
      <c r="R1156" s="27">
        <f>R1135*R1107</f>
        <v>25.878075880030831</v>
      </c>
      <c r="S1156" s="27">
        <f>S1135*S1107</f>
        <v>0</v>
      </c>
    </row>
    <row r="1157" spans="3:25" x14ac:dyDescent="0.3">
      <c r="E1157" t="s">
        <v>200</v>
      </c>
      <c r="G1157" s="24" t="s">
        <v>122</v>
      </c>
      <c r="P1157" s="6"/>
      <c r="Q1157" s="27">
        <f>Q1136*(P1107+Q1107)</f>
        <v>20.473410487006937</v>
      </c>
      <c r="R1157" s="27">
        <f>R1136*(Q1107+R1107)</f>
        <v>0.27402872497993924</v>
      </c>
      <c r="S1157" s="27">
        <f>S1136*(R1107+S1107)</f>
        <v>0.16007057245379891</v>
      </c>
    </row>
    <row r="1159" spans="3:25" x14ac:dyDescent="0.3">
      <c r="C1159" s="11"/>
      <c r="D1159" s="11"/>
      <c r="E1159" s="11" t="s">
        <v>283</v>
      </c>
      <c r="P1159" s="8">
        <f>SUM(P1156:S1157)</f>
        <v>80.354104474514074</v>
      </c>
    </row>
    <row r="1161" spans="3:25" x14ac:dyDescent="0.3">
      <c r="E1161" t="s">
        <v>202</v>
      </c>
      <c r="P1161" s="28">
        <f>P1163*(Q1107+R1107)</f>
        <v>650.81822182735527</v>
      </c>
    </row>
    <row r="1163" spans="3:25" x14ac:dyDescent="0.3">
      <c r="C1163" s="72"/>
      <c r="D1163" s="72"/>
      <c r="E1163" s="72" t="s">
        <v>132</v>
      </c>
      <c r="P1163" s="73">
        <f>P1127*O1109</f>
        <v>25.381910651266857</v>
      </c>
    </row>
    <row r="1165" spans="3:25" x14ac:dyDescent="0.3">
      <c r="E1165" t="s">
        <v>201</v>
      </c>
      <c r="P1165" s="7">
        <f>P1127*O1110</f>
        <v>1.3358900342772042</v>
      </c>
    </row>
    <row r="1168" spans="3:25" x14ac:dyDescent="0.3">
      <c r="E1168" s="152" t="s">
        <v>246</v>
      </c>
      <c r="F1168" s="153"/>
      <c r="G1168" s="153"/>
      <c r="H1168" s="153"/>
      <c r="I1168" s="153"/>
      <c r="J1168" s="153"/>
      <c r="K1168" s="153"/>
      <c r="L1168" s="153"/>
      <c r="M1168" s="153"/>
      <c r="N1168" s="153"/>
      <c r="O1168" s="153"/>
      <c r="P1168" s="153"/>
      <c r="Q1168" s="153"/>
      <c r="R1168" s="153"/>
      <c r="S1168" s="153"/>
      <c r="T1168" s="153"/>
      <c r="U1168" s="153"/>
      <c r="V1168" s="153"/>
      <c r="W1168" s="153"/>
      <c r="X1168" s="153"/>
      <c r="Y1168" s="154"/>
    </row>
    <row r="1170" spans="3:19" x14ac:dyDescent="0.3">
      <c r="E1170" t="s">
        <v>197</v>
      </c>
      <c r="O1170" s="83">
        <f>O641</f>
        <v>31.838011444374786</v>
      </c>
    </row>
    <row r="1171" spans="3:19" x14ac:dyDescent="0.3">
      <c r="E1171" t="s">
        <v>206</v>
      </c>
      <c r="O1171" s="7">
        <f>O1173*O1170</f>
        <v>31.838011444374786</v>
      </c>
      <c r="R1171" s="77"/>
    </row>
    <row r="1172" spans="3:19" x14ac:dyDescent="0.3">
      <c r="O1172" s="7"/>
      <c r="R1172" s="77"/>
    </row>
    <row r="1173" spans="3:19" x14ac:dyDescent="0.3">
      <c r="C1173" s="11"/>
      <c r="D1173" s="11"/>
      <c r="E1173" s="11" t="s">
        <v>134</v>
      </c>
      <c r="F1173" s="11"/>
      <c r="G1173" s="11"/>
      <c r="O1173" s="104">
        <f>$I$129</f>
        <v>1</v>
      </c>
      <c r="P1173" s="7">
        <f>P1174*P1175*P1176*P1177</f>
        <v>0</v>
      </c>
      <c r="Q1173" s="11"/>
      <c r="S1173" s="11"/>
    </row>
    <row r="1174" spans="3:19" x14ac:dyDescent="0.3">
      <c r="E1174" t="s">
        <v>35</v>
      </c>
      <c r="O1174" s="84">
        <f>P601</f>
        <v>0</v>
      </c>
    </row>
    <row r="1175" spans="3:19" x14ac:dyDescent="0.3">
      <c r="E1175" t="s">
        <v>36</v>
      </c>
      <c r="O1175" s="86">
        <f>0.95</f>
        <v>0.95</v>
      </c>
    </row>
    <row r="1176" spans="3:19" x14ac:dyDescent="0.3">
      <c r="E1176" t="s">
        <v>142</v>
      </c>
      <c r="O1176" s="86">
        <v>0.99</v>
      </c>
    </row>
    <row r="1177" spans="3:19" x14ac:dyDescent="0.3">
      <c r="E1177" t="s">
        <v>37</v>
      </c>
      <c r="O1177" s="86">
        <v>0.98</v>
      </c>
    </row>
    <row r="1180" spans="3:19" x14ac:dyDescent="0.3">
      <c r="E1180" t="s">
        <v>125</v>
      </c>
      <c r="O1180" s="83">
        <f>$F$33</f>
        <v>32.051282051282051</v>
      </c>
    </row>
    <row r="1181" spans="3:19" x14ac:dyDescent="0.3">
      <c r="E1181" t="s">
        <v>135</v>
      </c>
      <c r="O1181" s="82">
        <f>O1180</f>
        <v>32.051282051282051</v>
      </c>
    </row>
    <row r="1183" spans="3:19" x14ac:dyDescent="0.3">
      <c r="E1183" t="s">
        <v>126</v>
      </c>
      <c r="O1183" s="88">
        <f>$H$52</f>
        <v>0.2</v>
      </c>
    </row>
    <row r="1184" spans="3:19" x14ac:dyDescent="0.3">
      <c r="E1184" t="s">
        <v>117</v>
      </c>
      <c r="O1184" s="7">
        <f>O1183*O1180</f>
        <v>6.4102564102564106</v>
      </c>
    </row>
    <row r="1186" spans="3:20" x14ac:dyDescent="0.3">
      <c r="E1186" t="s">
        <v>118</v>
      </c>
      <c r="O1186" s="7">
        <f>O1181</f>
        <v>32.051282051282051</v>
      </c>
    </row>
    <row r="1187" spans="3:20" x14ac:dyDescent="0.3">
      <c r="E1187" t="s">
        <v>106</v>
      </c>
      <c r="O1187" s="7">
        <f>O1180*(1+O1183)</f>
        <v>38.46153846153846</v>
      </c>
    </row>
    <row r="1188" spans="3:20" x14ac:dyDescent="0.3">
      <c r="O1188" s="7"/>
    </row>
    <row r="1189" spans="3:20" x14ac:dyDescent="0.3">
      <c r="E1189" t="s">
        <v>136</v>
      </c>
      <c r="O1189" s="7">
        <f>O1186*O1171</f>
        <v>1020.4490847556021</v>
      </c>
    </row>
    <row r="1190" spans="3:20" x14ac:dyDescent="0.3">
      <c r="E1190" t="s">
        <v>119</v>
      </c>
      <c r="O1190" s="7">
        <f>O1187*O1171</f>
        <v>1224.5389017067225</v>
      </c>
    </row>
    <row r="1191" spans="3:20" x14ac:dyDescent="0.3">
      <c r="O1191" s="7"/>
    </row>
    <row r="1192" spans="3:20" x14ac:dyDescent="0.3">
      <c r="E1192" t="s">
        <v>302</v>
      </c>
      <c r="O1192" s="6">
        <f>O1184*O1171</f>
        <v>204.08981695112044</v>
      </c>
    </row>
    <row r="1193" spans="3:20" x14ac:dyDescent="0.3">
      <c r="O1193" s="7"/>
    </row>
    <row r="1194" spans="3:20" x14ac:dyDescent="0.3">
      <c r="E1194" t="s">
        <v>127</v>
      </c>
      <c r="P1194" s="7">
        <f>O1187/3</f>
        <v>12.820512820512819</v>
      </c>
      <c r="Q1194" s="7">
        <f>O1187/3</f>
        <v>12.820512820512819</v>
      </c>
      <c r="R1194" s="7">
        <f>O1187/3</f>
        <v>12.820512820512819</v>
      </c>
    </row>
    <row r="1195" spans="3:20" x14ac:dyDescent="0.3">
      <c r="P1195" s="7">
        <f>O1187</f>
        <v>38.46153846153846</v>
      </c>
    </row>
    <row r="1196" spans="3:20" x14ac:dyDescent="0.3">
      <c r="E1196" t="s">
        <v>128</v>
      </c>
      <c r="O1196" s="21">
        <f>'Summary500-600'!C41</f>
        <v>0.95</v>
      </c>
    </row>
    <row r="1197" spans="3:20" x14ac:dyDescent="0.3">
      <c r="E1197" t="s">
        <v>129</v>
      </c>
      <c r="O1197" s="21">
        <f>1-O1196</f>
        <v>5.0000000000000044E-2</v>
      </c>
    </row>
    <row r="1199" spans="3:20" x14ac:dyDescent="0.3">
      <c r="C1199" s="71"/>
      <c r="D1199" s="71"/>
      <c r="E1199" s="71" t="s">
        <v>16</v>
      </c>
    </row>
    <row r="1200" spans="3:20" x14ac:dyDescent="0.3">
      <c r="E1200" t="s">
        <v>17</v>
      </c>
      <c r="P1200" s="74">
        <f>'Summary500-600'!$C$79</f>
        <v>0.13</v>
      </c>
      <c r="Q1200" s="74">
        <f>'Summary500-600'!$C$80</f>
        <v>0.04</v>
      </c>
      <c r="R1200" s="74">
        <f>'Summary500-600'!$C$81</f>
        <v>0.03</v>
      </c>
      <c r="S1200" s="75"/>
      <c r="T1200" s="75"/>
    </row>
    <row r="1201" spans="3:20" x14ac:dyDescent="0.3">
      <c r="E1201" t="s">
        <v>18</v>
      </c>
      <c r="G1201" s="75"/>
      <c r="Q1201" s="74">
        <f>'Summary500-600'!$C$82</f>
        <v>0.8</v>
      </c>
      <c r="R1201" s="76">
        <f>Q1201</f>
        <v>0.8</v>
      </c>
      <c r="S1201" s="76">
        <f>R1201</f>
        <v>0.8</v>
      </c>
      <c r="T1201" s="75"/>
    </row>
    <row r="1202" spans="3:20" x14ac:dyDescent="0.3">
      <c r="E1202" t="s">
        <v>19</v>
      </c>
      <c r="G1202" s="75"/>
      <c r="Q1202" s="75"/>
      <c r="R1202" s="74">
        <f>'Summary500-600'!$C$83</f>
        <v>1</v>
      </c>
      <c r="S1202" s="74">
        <f>R1202</f>
        <v>1</v>
      </c>
      <c r="T1202" s="74">
        <f>S1202</f>
        <v>1</v>
      </c>
    </row>
    <row r="1203" spans="3:20" x14ac:dyDescent="0.3">
      <c r="E1203" t="s">
        <v>20</v>
      </c>
      <c r="R1203" s="21"/>
    </row>
    <row r="1204" spans="3:20" x14ac:dyDescent="0.3">
      <c r="R1204" s="21"/>
    </row>
    <row r="1205" spans="3:20" x14ac:dyDescent="0.3">
      <c r="C1205" s="11"/>
      <c r="D1205" s="11"/>
      <c r="E1205" s="11" t="s">
        <v>196</v>
      </c>
      <c r="P1205" s="90">
        <f>SUM(P1206:P1209)</f>
        <v>0.17350000000000004</v>
      </c>
      <c r="Q1205" s="90">
        <f t="shared" ref="Q1205:S1205" si="100">SUM(Q1206:Q1209)</f>
        <v>0.17350000000000004</v>
      </c>
      <c r="R1205" s="90">
        <f t="shared" si="100"/>
        <v>0.10742480000000001</v>
      </c>
      <c r="S1205" s="90">
        <f t="shared" si="100"/>
        <v>0.10701824000000001</v>
      </c>
    </row>
    <row r="1206" spans="3:20" x14ac:dyDescent="0.3">
      <c r="E1206" t="s">
        <v>17</v>
      </c>
      <c r="P1206" s="22">
        <f>(1-P1200)*O1197</f>
        <v>4.3500000000000039E-2</v>
      </c>
      <c r="Q1206" s="22">
        <f>P1206*(1-Q1200)+P1207*(1-Q1201)</f>
        <v>6.7760000000000029E-2</v>
      </c>
    </row>
    <row r="1207" spans="3:20" x14ac:dyDescent="0.3">
      <c r="E1207" t="s">
        <v>18</v>
      </c>
      <c r="P1207" s="22">
        <f>P1200</f>
        <v>0.13</v>
      </c>
      <c r="Q1207" s="22">
        <f>P1206*Q1200</f>
        <v>1.7400000000000015E-3</v>
      </c>
      <c r="R1207" s="22">
        <f>Q1206*R1200</f>
        <v>2.0328000000000008E-3</v>
      </c>
      <c r="T1207" s="22"/>
    </row>
    <row r="1208" spans="3:20" x14ac:dyDescent="0.3">
      <c r="E1208" t="s">
        <v>19</v>
      </c>
      <c r="Q1208" s="22">
        <f>P1207*Q1201</f>
        <v>0.10400000000000001</v>
      </c>
      <c r="R1208" s="22">
        <f>Q1207*R1201+Q1208</f>
        <v>0.10539200000000001</v>
      </c>
      <c r="S1208" s="22">
        <f>R1207*S1201+R1208</f>
        <v>0.10701824000000001</v>
      </c>
    </row>
    <row r="1209" spans="3:20" x14ac:dyDescent="0.3">
      <c r="Q1209" s="22"/>
      <c r="R1209" s="22"/>
    </row>
    <row r="1210" spans="3:20" x14ac:dyDescent="0.3">
      <c r="E1210" t="s">
        <v>195</v>
      </c>
      <c r="P1210" s="22">
        <f>(1-P1200)*O1196</f>
        <v>0.82650000000000001</v>
      </c>
      <c r="R1210" s="29">
        <f>Q1206*(1-R1200)+Q1207*(1-R1201)+Q1208*(1-R1202)</f>
        <v>6.6075200000000028E-2</v>
      </c>
      <c r="S1210" s="29">
        <f>R1207*(1-S1201)+R1210</f>
        <v>6.6481760000000029E-2</v>
      </c>
      <c r="T1210" s="22"/>
    </row>
    <row r="1211" spans="3:20" x14ac:dyDescent="0.3">
      <c r="P1211" s="22"/>
      <c r="R1211" s="29"/>
      <c r="S1211" s="29"/>
      <c r="T1211" s="22"/>
    </row>
    <row r="1212" spans="3:20" x14ac:dyDescent="0.3">
      <c r="P1212" s="25" t="s">
        <v>32</v>
      </c>
    </row>
    <row r="1213" spans="3:20" x14ac:dyDescent="0.3">
      <c r="C1213" s="11"/>
      <c r="D1213" s="11"/>
      <c r="E1213" s="11" t="s">
        <v>124</v>
      </c>
      <c r="P1213" s="8">
        <f>SUM(P1214:P1217)</f>
        <v>31.838011444374786</v>
      </c>
      <c r="Q1213" s="8">
        <f t="shared" ref="Q1213:R1213" si="101">SUM(Q1214:Q1217)</f>
        <v>5.5238949855990267</v>
      </c>
      <c r="R1213" s="8">
        <f t="shared" si="101"/>
        <v>3.4201920118096729</v>
      </c>
    </row>
    <row r="1214" spans="3:20" x14ac:dyDescent="0.3">
      <c r="C1214" s="23"/>
      <c r="D1214" s="23"/>
      <c r="E1214" s="23" t="s">
        <v>120</v>
      </c>
      <c r="P1214" s="7">
        <f>O1171*(1-P1200)</f>
        <v>27.699069956606063</v>
      </c>
      <c r="Q1214" s="82">
        <f>P1252*(1-Q1200)+P1215*(1-Q1201)</f>
        <v>2.1573436554708367</v>
      </c>
    </row>
    <row r="1215" spans="3:20" x14ac:dyDescent="0.3">
      <c r="C1215" s="24"/>
      <c r="D1215" s="24"/>
      <c r="E1215" s="24" t="s">
        <v>122</v>
      </c>
      <c r="P1215" s="7">
        <f>O1171*P1200</f>
        <v>4.1389414877687223</v>
      </c>
      <c r="Q1215" s="7">
        <f>P1252*Q1200</f>
        <v>5.5398139913212179E-2</v>
      </c>
      <c r="R1215" s="7">
        <f>Q1214*R1200</f>
        <v>6.4720309664125106E-2</v>
      </c>
      <c r="S1215" s="7">
        <f>R1214*S1200</f>
        <v>0</v>
      </c>
    </row>
    <row r="1216" spans="3:20" x14ac:dyDescent="0.3">
      <c r="C1216" s="23"/>
      <c r="D1216" s="23"/>
      <c r="E1216" s="23" t="s">
        <v>121</v>
      </c>
      <c r="Q1216" s="7">
        <f>P1215*Q1201</f>
        <v>3.311153190214978</v>
      </c>
      <c r="R1216" s="7">
        <f>Q1215*R1201</f>
        <v>4.4318511930569744E-2</v>
      </c>
      <c r="S1216" s="7">
        <f>R1215*S1201</f>
        <v>5.1776247731300087E-2</v>
      </c>
    </row>
    <row r="1217" spans="3:20" x14ac:dyDescent="0.3">
      <c r="C1217" s="23"/>
      <c r="D1217" s="23"/>
      <c r="E1217" s="23" t="s">
        <v>138</v>
      </c>
      <c r="Q1217" s="7"/>
      <c r="R1217" s="7">
        <f>Q1216*R1202</f>
        <v>3.311153190214978</v>
      </c>
      <c r="S1217" s="7">
        <f>R1216*S1202+R1217</f>
        <v>3.3554717021455476</v>
      </c>
      <c r="T1217" s="7">
        <f>S1216*T1202+S1217</f>
        <v>3.4072479498768478</v>
      </c>
    </row>
    <row r="1218" spans="3:20" x14ac:dyDescent="0.3">
      <c r="C1218" s="23"/>
      <c r="D1218" s="23"/>
      <c r="E1218" s="23"/>
      <c r="Q1218" s="7"/>
    </row>
    <row r="1219" spans="3:20" x14ac:dyDescent="0.3">
      <c r="C1219" s="23"/>
      <c r="D1219" s="23"/>
      <c r="E1219" s="23" t="s">
        <v>137</v>
      </c>
      <c r="Q1219" s="7"/>
      <c r="R1219" s="7">
        <f>Q1214*(1-R1200)+Q1215*(1-R1201)+Q1216*(1-R1202)</f>
        <v>2.1037029737893538</v>
      </c>
      <c r="S1219" s="7">
        <f>R1215*(1-S1201)+R1219</f>
        <v>2.1166470357221789</v>
      </c>
      <c r="T1219" s="7">
        <f>S1216*(1-T1202)+S1219</f>
        <v>2.1166470357221789</v>
      </c>
    </row>
    <row r="1220" spans="3:20" x14ac:dyDescent="0.3">
      <c r="C1220" s="23"/>
      <c r="D1220" s="23"/>
      <c r="E1220" s="23"/>
      <c r="Q1220" s="7"/>
    </row>
    <row r="1221" spans="3:20" x14ac:dyDescent="0.3">
      <c r="C1221" s="11"/>
      <c r="D1221" s="11"/>
      <c r="E1221" s="11" t="s">
        <v>139</v>
      </c>
      <c r="P1221" s="8">
        <f>SUM(P1222:P1223)</f>
        <v>27.699069956606063</v>
      </c>
      <c r="Q1221" s="8">
        <f>SUM(Q1222:Q1223)</f>
        <v>2.1573436554708367</v>
      </c>
      <c r="R1221" s="8">
        <f>SUM(R1222:R1223)</f>
        <v>2.1037029737893538</v>
      </c>
      <c r="S1221" s="8">
        <f>SUM(S1222:S1223)</f>
        <v>1.2944061932825018E-2</v>
      </c>
    </row>
    <row r="1222" spans="3:20" x14ac:dyDescent="0.3">
      <c r="C1222" s="23"/>
      <c r="D1222" s="23"/>
      <c r="E1222" s="23" t="s">
        <v>120</v>
      </c>
      <c r="P1222" s="7">
        <f>P1214</f>
        <v>27.699069956606063</v>
      </c>
      <c r="Q1222" s="7">
        <f>P1252*(1-Q1200)</f>
        <v>1.3295553579170922</v>
      </c>
      <c r="R1222" s="7">
        <f>Q1214*(1-R1200)</f>
        <v>2.0926233458067114</v>
      </c>
    </row>
    <row r="1223" spans="3:20" x14ac:dyDescent="0.3">
      <c r="C1223" s="24"/>
      <c r="D1223" s="24"/>
      <c r="E1223" s="24" t="s">
        <v>122</v>
      </c>
      <c r="Q1223" s="7">
        <f>P1215*(1-Q1201)</f>
        <v>0.82778829755374428</v>
      </c>
      <c r="R1223" s="7">
        <f>Q1215*(1-R1201)</f>
        <v>1.1079627982642433E-2</v>
      </c>
      <c r="S1223" s="7">
        <f>R1215*(1-S1201)</f>
        <v>1.2944061932825018E-2</v>
      </c>
    </row>
    <row r="1224" spans="3:20" x14ac:dyDescent="0.3">
      <c r="C1224" s="23"/>
      <c r="D1224" s="23"/>
      <c r="E1224" s="23"/>
      <c r="Q1224" s="7"/>
      <c r="R1224" s="7">
        <f>Q1216*(1-R1202)</f>
        <v>0</v>
      </c>
      <c r="S1224" s="7">
        <f>R1216*(1-S1202)</f>
        <v>0</v>
      </c>
    </row>
    <row r="1225" spans="3:20" x14ac:dyDescent="0.3">
      <c r="C1225" s="81"/>
      <c r="D1225" s="81"/>
      <c r="E1225" s="81" t="s">
        <v>123</v>
      </c>
    </row>
    <row r="1226" spans="3:20" x14ac:dyDescent="0.3">
      <c r="C1226" s="23"/>
      <c r="D1226" s="23"/>
      <c r="E1226" s="23" t="s">
        <v>120</v>
      </c>
      <c r="P1226" s="7">
        <f>O1187-P1194</f>
        <v>25.641025641025642</v>
      </c>
      <c r="Q1226" s="7">
        <f>P1226-Q1194</f>
        <v>12.820512820512823</v>
      </c>
      <c r="R1226" s="7">
        <f>Q1226-R1194</f>
        <v>0</v>
      </c>
    </row>
    <row r="1227" spans="3:20" x14ac:dyDescent="0.3">
      <c r="C1227" s="24"/>
      <c r="D1227" s="24"/>
      <c r="E1227" s="24" t="s">
        <v>122</v>
      </c>
      <c r="P1227" s="7">
        <f>O1187</f>
        <v>38.46153846153846</v>
      </c>
      <c r="Q1227" s="7">
        <f>P1226</f>
        <v>25.641025641025642</v>
      </c>
      <c r="R1227" s="7">
        <f>Q1226</f>
        <v>12.820512820512823</v>
      </c>
    </row>
    <row r="1228" spans="3:20" x14ac:dyDescent="0.3">
      <c r="C1228" s="23"/>
      <c r="D1228" s="23"/>
      <c r="E1228" s="23" t="s">
        <v>121</v>
      </c>
      <c r="Q1228" s="7">
        <f>P1227</f>
        <v>38.46153846153846</v>
      </c>
      <c r="R1228" s="7">
        <f>Q1227</f>
        <v>25.641025641025642</v>
      </c>
      <c r="S1228" s="7">
        <f>R1227</f>
        <v>12.820512820512823</v>
      </c>
    </row>
    <row r="1229" spans="3:20" x14ac:dyDescent="0.3">
      <c r="C1229" s="23"/>
      <c r="D1229" s="23"/>
      <c r="E1229" s="23"/>
      <c r="R1229" s="7"/>
      <c r="S1229" s="7"/>
    </row>
    <row r="1230" spans="3:20" x14ac:dyDescent="0.3">
      <c r="C1230" s="23"/>
      <c r="D1230" s="23"/>
      <c r="E1230" s="23"/>
      <c r="R1230" s="7"/>
      <c r="S1230" s="7"/>
    </row>
    <row r="1231" spans="3:20" x14ac:dyDescent="0.3">
      <c r="C1231" s="11"/>
      <c r="D1231" s="11"/>
      <c r="E1231" s="11" t="s">
        <v>130</v>
      </c>
      <c r="P1231" s="8">
        <f>SUM(P1232:P1235)</f>
        <v>869.42262021177294</v>
      </c>
      <c r="Q1231" s="8">
        <f t="shared" ref="Q1231:S1231" si="102">SUM(Q1232:Q1235)</f>
        <v>156.4307628966948</v>
      </c>
      <c r="R1231" s="8">
        <f t="shared" si="102"/>
        <v>129.31816543807946</v>
      </c>
      <c r="S1231" s="8">
        <f t="shared" si="102"/>
        <v>129.15221592612016</v>
      </c>
    </row>
    <row r="1232" spans="3:20" x14ac:dyDescent="0.3">
      <c r="C1232" s="23"/>
      <c r="D1232" s="23"/>
      <c r="E1232" s="23" t="s">
        <v>120</v>
      </c>
      <c r="P1232" s="7">
        <f>P1226*P1214</f>
        <v>710.23256298989907</v>
      </c>
      <c r="Q1232" s="7">
        <f t="shared" ref="Q1232:R1233" si="103">Q1226*Q1214</f>
        <v>27.65825199321586</v>
      </c>
      <c r="R1232" s="7">
        <f t="shared" si="103"/>
        <v>0</v>
      </c>
    </row>
    <row r="1233" spans="3:20" x14ac:dyDescent="0.3">
      <c r="C1233" s="24"/>
      <c r="D1233" s="24"/>
      <c r="E1233" s="24" t="s">
        <v>122</v>
      </c>
      <c r="P1233" s="7">
        <f>P1227*P1215</f>
        <v>159.19005722187393</v>
      </c>
      <c r="Q1233" s="7">
        <f t="shared" si="103"/>
        <v>1.4204651259797996</v>
      </c>
      <c r="R1233" s="7">
        <f t="shared" si="103"/>
        <v>0.82974755979647585</v>
      </c>
      <c r="S1233" s="7">
        <f>S1227*S1215</f>
        <v>0</v>
      </c>
    </row>
    <row r="1234" spans="3:20" x14ac:dyDescent="0.3">
      <c r="C1234" s="23"/>
      <c r="D1234" s="23"/>
      <c r="E1234" s="23" t="s">
        <v>121</v>
      </c>
      <c r="Q1234" s="7">
        <f>Q1228*Q1216</f>
        <v>127.35204577749914</v>
      </c>
      <c r="R1234" s="7">
        <f>R1228*R1216</f>
        <v>1.1363721007838397</v>
      </c>
      <c r="S1234" s="7">
        <f>S1228*S1216</f>
        <v>0.66379804783718077</v>
      </c>
    </row>
    <row r="1235" spans="3:20" x14ac:dyDescent="0.3">
      <c r="C1235" s="23"/>
      <c r="D1235" s="23"/>
      <c r="E1235" s="23" t="s">
        <v>299</v>
      </c>
      <c r="R1235" s="8">
        <f>Q1234</f>
        <v>127.35204577749914</v>
      </c>
      <c r="S1235" s="8">
        <f>R1235+R1234</f>
        <v>128.48841787828297</v>
      </c>
      <c r="T1235" s="8">
        <f>S1235+S1234</f>
        <v>129.15221592612016</v>
      </c>
    </row>
    <row r="1236" spans="3:20" x14ac:dyDescent="0.3">
      <c r="C1236" s="23"/>
      <c r="D1236" s="23"/>
      <c r="E1236" s="23"/>
    </row>
    <row r="1237" spans="3:20" x14ac:dyDescent="0.3">
      <c r="C1237" s="105"/>
      <c r="D1237" s="105"/>
      <c r="E1237" s="105" t="s">
        <v>300</v>
      </c>
      <c r="O1237" s="8">
        <f>T1235</f>
        <v>129.15221592612016</v>
      </c>
    </row>
    <row r="1238" spans="3:20" x14ac:dyDescent="0.3">
      <c r="C1238" s="23"/>
      <c r="D1238" s="23"/>
      <c r="E1238" s="23"/>
    </row>
    <row r="1239" spans="3:20" x14ac:dyDescent="0.3">
      <c r="C1239" s="11"/>
      <c r="D1239" s="11"/>
      <c r="E1239" s="11" t="s">
        <v>140</v>
      </c>
      <c r="P1239" s="8">
        <f>SUM(P1241:P1244)</f>
        <v>1029.8372163353538</v>
      </c>
      <c r="Q1239" s="8">
        <f>SUM(Q1241:Q1244)</f>
        <v>38.270922474674109</v>
      </c>
      <c r="R1239" s="8">
        <f>SUM(R1241:R1244)</f>
        <v>27.112597458615337</v>
      </c>
      <c r="S1239" s="8">
        <f>SUM(S1241:S1244)</f>
        <v>0.16594951195929508</v>
      </c>
    </row>
    <row r="1240" spans="3:20" x14ac:dyDescent="0.3">
      <c r="C1240" s="11"/>
      <c r="D1240" s="11"/>
      <c r="E1240" s="11"/>
      <c r="P1240" s="8"/>
      <c r="Q1240" s="8"/>
      <c r="R1240" s="8"/>
      <c r="S1240" s="8"/>
    </row>
    <row r="1241" spans="3:20" x14ac:dyDescent="0.3">
      <c r="E1241" t="s">
        <v>131</v>
      </c>
      <c r="G1241" s="23" t="s">
        <v>120</v>
      </c>
      <c r="P1241" s="6">
        <f>P1250*P1195</f>
        <v>1012.0814022606062</v>
      </c>
    </row>
    <row r="1242" spans="3:20" x14ac:dyDescent="0.3">
      <c r="G1242" s="23"/>
      <c r="P1242" s="6"/>
    </row>
    <row r="1243" spans="3:20" x14ac:dyDescent="0.3">
      <c r="E1243" t="s">
        <v>200</v>
      </c>
      <c r="G1243" s="23" t="s">
        <v>120</v>
      </c>
      <c r="P1243" s="6">
        <f>P1252*P1194</f>
        <v>17.755814074747491</v>
      </c>
      <c r="Q1243" s="27">
        <f>Q1222*Q1194</f>
        <v>17.04558151175759</v>
      </c>
      <c r="R1243" s="27">
        <f>R1222*R1194</f>
        <v>26.828504433419376</v>
      </c>
      <c r="S1243" s="27">
        <f>S1222*S1194</f>
        <v>0</v>
      </c>
    </row>
    <row r="1244" spans="3:20" x14ac:dyDescent="0.3">
      <c r="E1244" t="s">
        <v>200</v>
      </c>
      <c r="G1244" s="24" t="s">
        <v>122</v>
      </c>
      <c r="P1244" s="6"/>
      <c r="Q1244" s="27">
        <f>Q1223*(P1194+Q1194)</f>
        <v>21.225340962916519</v>
      </c>
      <c r="R1244" s="27">
        <f>R1223*(Q1194+R1194)</f>
        <v>0.2840930251959598</v>
      </c>
      <c r="S1244" s="27">
        <f>S1223*(R1194+S1194)</f>
        <v>0.16594951195929508</v>
      </c>
    </row>
    <row r="1246" spans="3:20" x14ac:dyDescent="0.3">
      <c r="C1246" s="11"/>
      <c r="D1246" s="11"/>
      <c r="E1246" s="11" t="s">
        <v>283</v>
      </c>
      <c r="P1246" s="8">
        <f>SUM(P1243:S1244)</f>
        <v>83.305283519996223</v>
      </c>
    </row>
    <row r="1248" spans="3:20" x14ac:dyDescent="0.3">
      <c r="E1248" t="s">
        <v>202</v>
      </c>
      <c r="P1248" s="28">
        <f>P1250*(Q1194+R1194)</f>
        <v>674.72093484040408</v>
      </c>
    </row>
    <row r="1250" spans="3:34" x14ac:dyDescent="0.3">
      <c r="C1250" s="72"/>
      <c r="D1250" s="72"/>
      <c r="E1250" s="72" t="s">
        <v>132</v>
      </c>
      <c r="P1250" s="73">
        <f>P1214*O1196</f>
        <v>26.314116458775761</v>
      </c>
    </row>
    <row r="1252" spans="3:34" x14ac:dyDescent="0.3">
      <c r="E1252" t="s">
        <v>201</v>
      </c>
      <c r="P1252" s="7">
        <f>P1214*O1197</f>
        <v>1.3849534978303044</v>
      </c>
    </row>
    <row r="1255" spans="3:34" x14ac:dyDescent="0.3">
      <c r="E1255" s="160" t="s">
        <v>249</v>
      </c>
      <c r="F1255" s="161"/>
      <c r="G1255" s="161"/>
      <c r="H1255" s="161"/>
      <c r="I1255" s="161"/>
      <c r="J1255" s="161"/>
      <c r="K1255" s="161"/>
      <c r="L1255" s="161"/>
      <c r="M1255" s="161"/>
      <c r="N1255" s="161"/>
      <c r="O1255" s="161"/>
      <c r="P1255" s="161"/>
      <c r="Q1255" s="161"/>
      <c r="R1255" s="161"/>
      <c r="S1255" s="161"/>
      <c r="T1255" s="161"/>
      <c r="U1255" s="161"/>
      <c r="V1255" s="161"/>
      <c r="W1255" s="161"/>
      <c r="X1255" s="161"/>
      <c r="Y1255" s="161"/>
      <c r="Z1255" s="161"/>
      <c r="AA1255" s="161"/>
      <c r="AB1255" s="161"/>
      <c r="AC1255" s="161"/>
      <c r="AD1255" s="161"/>
      <c r="AE1255" s="161"/>
      <c r="AF1255" s="161"/>
      <c r="AG1255" s="161"/>
      <c r="AH1255" s="162"/>
    </row>
    <row r="1256" spans="3:34" x14ac:dyDescent="0.3">
      <c r="C1256" s="95"/>
      <c r="D1256" s="95"/>
      <c r="E1256" s="95" t="s">
        <v>250</v>
      </c>
    </row>
    <row r="1257" spans="3:34" x14ac:dyDescent="0.3">
      <c r="E1257" t="s">
        <v>197</v>
      </c>
      <c r="Q1257" s="83">
        <f>N562</f>
        <v>38.521489950846686</v>
      </c>
    </row>
    <row r="1258" spans="3:34" x14ac:dyDescent="0.3">
      <c r="E1258" t="s">
        <v>206</v>
      </c>
      <c r="Q1258" s="7">
        <f>Q1260*Q1257</f>
        <v>2.3604263839743194</v>
      </c>
      <c r="T1258" s="77"/>
    </row>
    <row r="1259" spans="3:34" x14ac:dyDescent="0.3">
      <c r="Q1259" s="7"/>
      <c r="T1259" s="77"/>
    </row>
    <row r="1260" spans="3:34" x14ac:dyDescent="0.3">
      <c r="C1260" s="11"/>
      <c r="D1260" s="11"/>
      <c r="E1260" s="11" t="s">
        <v>134</v>
      </c>
      <c r="F1260" s="11"/>
      <c r="G1260" s="11"/>
      <c r="Q1260" s="94">
        <f>Q1261*Q1262*Q1263*Q1264</f>
        <v>6.1275573374400025E-2</v>
      </c>
      <c r="R1260" s="7">
        <f>R1261*R1262*R1263*R1264</f>
        <v>0</v>
      </c>
      <c r="S1260" s="11"/>
      <c r="U1260" s="11"/>
    </row>
    <row r="1261" spans="3:34" x14ac:dyDescent="0.3">
      <c r="E1261" t="s">
        <v>35</v>
      </c>
      <c r="Q1261" s="84">
        <f>R601</f>
        <v>6.6481760000000029E-2</v>
      </c>
    </row>
    <row r="1262" spans="3:34" x14ac:dyDescent="0.3">
      <c r="E1262" t="s">
        <v>36</v>
      </c>
      <c r="Q1262" s="86">
        <f>0.95</f>
        <v>0.95</v>
      </c>
    </row>
    <row r="1263" spans="3:34" x14ac:dyDescent="0.3">
      <c r="E1263" t="s">
        <v>142</v>
      </c>
      <c r="Q1263" s="86">
        <v>0.99</v>
      </c>
    </row>
    <row r="1264" spans="3:34" x14ac:dyDescent="0.3">
      <c r="E1264" t="s">
        <v>37</v>
      </c>
      <c r="Q1264" s="86">
        <v>0.98</v>
      </c>
    </row>
    <row r="1267" spans="3:17" x14ac:dyDescent="0.3">
      <c r="E1267" t="s">
        <v>125</v>
      </c>
      <c r="Q1267" s="83">
        <f>$F$33</f>
        <v>32.051282051282051</v>
      </c>
    </row>
    <row r="1268" spans="3:17" x14ac:dyDescent="0.3">
      <c r="C1268" s="100"/>
      <c r="D1268" s="100"/>
      <c r="E1268" s="100" t="s">
        <v>135</v>
      </c>
      <c r="Q1268" s="101">
        <f>Q1267</f>
        <v>32.051282051282051</v>
      </c>
    </row>
    <row r="1270" spans="3:17" x14ac:dyDescent="0.3">
      <c r="E1270" t="s">
        <v>126</v>
      </c>
      <c r="Q1270" s="88">
        <f>$H$52</f>
        <v>0.2</v>
      </c>
    </row>
    <row r="1271" spans="3:17" x14ac:dyDescent="0.3">
      <c r="E1271" t="s">
        <v>117</v>
      </c>
      <c r="Q1271" s="7">
        <f>Q1270*Q1267</f>
        <v>6.4102564102564106</v>
      </c>
    </row>
    <row r="1273" spans="3:17" x14ac:dyDescent="0.3">
      <c r="E1273" t="s">
        <v>118</v>
      </c>
      <c r="Q1273" s="7">
        <f>Q1268</f>
        <v>32.051282051282051</v>
      </c>
    </row>
    <row r="1274" spans="3:17" x14ac:dyDescent="0.3">
      <c r="E1274" t="s">
        <v>106</v>
      </c>
      <c r="Q1274" s="7">
        <f>Q1267*(1+Q1270)</f>
        <v>38.46153846153846</v>
      </c>
    </row>
    <row r="1275" spans="3:17" x14ac:dyDescent="0.3">
      <c r="Q1275" s="7"/>
    </row>
    <row r="1276" spans="3:17" x14ac:dyDescent="0.3">
      <c r="E1276" t="s">
        <v>136</v>
      </c>
      <c r="Q1276" s="7">
        <f>Q1273*Q1258</f>
        <v>75.654691794048702</v>
      </c>
    </row>
    <row r="1277" spans="3:17" x14ac:dyDescent="0.3">
      <c r="E1277" t="s">
        <v>119</v>
      </c>
      <c r="Q1277" s="7">
        <f>Q1274*Q1258</f>
        <v>90.785630152858431</v>
      </c>
    </row>
    <row r="1278" spans="3:17" x14ac:dyDescent="0.3">
      <c r="Q1278" s="7"/>
    </row>
    <row r="1279" spans="3:17" x14ac:dyDescent="0.3">
      <c r="E1279" t="s">
        <v>302</v>
      </c>
      <c r="Q1279" s="6">
        <f>Q1271*Q1258</f>
        <v>15.13093835880974</v>
      </c>
    </row>
    <row r="1280" spans="3:17" x14ac:dyDescent="0.3">
      <c r="Q1280" s="7"/>
    </row>
    <row r="1281" spans="3:22" x14ac:dyDescent="0.3">
      <c r="E1281" t="s">
        <v>127</v>
      </c>
      <c r="R1281" s="7">
        <f>Q1274/3</f>
        <v>12.820512820512819</v>
      </c>
      <c r="S1281" s="7">
        <f>Q1274/3</f>
        <v>12.820512820512819</v>
      </c>
      <c r="T1281" s="7">
        <f>Q1274/3</f>
        <v>12.820512820512819</v>
      </c>
    </row>
    <row r="1282" spans="3:22" x14ac:dyDescent="0.3">
      <c r="R1282" s="7">
        <f>Q1274</f>
        <v>38.46153846153846</v>
      </c>
    </row>
    <row r="1283" spans="3:22" x14ac:dyDescent="0.3">
      <c r="E1283" t="s">
        <v>128</v>
      </c>
      <c r="Q1283" s="21">
        <f>'Summary500-600'!E41</f>
        <v>0.95</v>
      </c>
    </row>
    <row r="1284" spans="3:22" x14ac:dyDescent="0.3">
      <c r="E1284" t="s">
        <v>129</v>
      </c>
      <c r="Q1284" s="21">
        <f>1-Q1283</f>
        <v>5.0000000000000044E-2</v>
      </c>
    </row>
    <row r="1286" spans="3:22" x14ac:dyDescent="0.3">
      <c r="C1286" s="71"/>
      <c r="D1286" s="71"/>
      <c r="E1286" s="71" t="s">
        <v>16</v>
      </c>
    </row>
    <row r="1287" spans="3:22" x14ac:dyDescent="0.3">
      <c r="E1287" t="s">
        <v>17</v>
      </c>
      <c r="R1287" s="74">
        <f>'Summary500-600'!$D$79</f>
        <v>0.13</v>
      </c>
      <c r="S1287" s="74">
        <f>'Summary500-600'!$D$80</f>
        <v>0.04</v>
      </c>
      <c r="T1287" s="74">
        <f>'Summary500-600'!$D$81</f>
        <v>0.03</v>
      </c>
      <c r="U1287" s="75"/>
      <c r="V1287" s="75"/>
    </row>
    <row r="1288" spans="3:22" x14ac:dyDescent="0.3">
      <c r="E1288" t="s">
        <v>18</v>
      </c>
      <c r="G1288" s="75"/>
      <c r="S1288" s="74">
        <f>'Summary500-600'!$D$82</f>
        <v>0.8</v>
      </c>
      <c r="T1288" s="76">
        <f>S1288</f>
        <v>0.8</v>
      </c>
      <c r="U1288" s="76">
        <f>T1288</f>
        <v>0.8</v>
      </c>
      <c r="V1288" s="75"/>
    </row>
    <row r="1289" spans="3:22" x14ac:dyDescent="0.3">
      <c r="E1289" t="s">
        <v>19</v>
      </c>
      <c r="G1289" s="75"/>
      <c r="S1289" s="75"/>
      <c r="T1289" s="74">
        <f>'Summary500-600'!$D$83</f>
        <v>1</v>
      </c>
      <c r="U1289" s="74">
        <f>T1289</f>
        <v>1</v>
      </c>
      <c r="V1289" s="74">
        <f>U1289</f>
        <v>1</v>
      </c>
    </row>
    <row r="1290" spans="3:22" x14ac:dyDescent="0.3">
      <c r="E1290" t="s">
        <v>20</v>
      </c>
      <c r="T1290" s="21"/>
    </row>
    <row r="1291" spans="3:22" x14ac:dyDescent="0.3">
      <c r="T1291" s="21"/>
    </row>
    <row r="1292" spans="3:22" x14ac:dyDescent="0.3">
      <c r="C1292" s="11"/>
      <c r="D1292" s="11"/>
      <c r="E1292" s="11" t="s">
        <v>196</v>
      </c>
      <c r="R1292" s="90">
        <f>SUM(R1293:R1296)</f>
        <v>0.17350000000000004</v>
      </c>
      <c r="S1292" s="90">
        <f t="shared" ref="S1292:U1292" si="104">SUM(S1293:S1296)</f>
        <v>0.17350000000000004</v>
      </c>
      <c r="T1292" s="90">
        <f t="shared" si="104"/>
        <v>0.10742480000000001</v>
      </c>
      <c r="U1292" s="90">
        <f t="shared" si="104"/>
        <v>0.10701824000000001</v>
      </c>
    </row>
    <row r="1293" spans="3:22" x14ac:dyDescent="0.3">
      <c r="E1293" t="s">
        <v>17</v>
      </c>
      <c r="R1293" s="22">
        <f>(1-R1287)*Q1284</f>
        <v>4.3500000000000039E-2</v>
      </c>
      <c r="S1293" s="22">
        <f>R1293*(1-S1287)+R1294*(1-S1288)</f>
        <v>6.7760000000000029E-2</v>
      </c>
    </row>
    <row r="1294" spans="3:22" x14ac:dyDescent="0.3">
      <c r="E1294" t="s">
        <v>18</v>
      </c>
      <c r="R1294" s="22">
        <f>R1287</f>
        <v>0.13</v>
      </c>
      <c r="S1294" s="22">
        <f>R1293*S1287</f>
        <v>1.7400000000000015E-3</v>
      </c>
      <c r="T1294" s="22">
        <f>S1293*T1287</f>
        <v>2.0328000000000008E-3</v>
      </c>
      <c r="V1294" s="22"/>
    </row>
    <row r="1295" spans="3:22" x14ac:dyDescent="0.3">
      <c r="E1295" t="s">
        <v>19</v>
      </c>
      <c r="S1295" s="22">
        <f>R1294*S1288</f>
        <v>0.10400000000000001</v>
      </c>
      <c r="T1295" s="22">
        <f>S1294*T1288+S1295</f>
        <v>0.10539200000000001</v>
      </c>
      <c r="U1295" s="22">
        <f>T1294*U1288+T1295</f>
        <v>0.10701824000000001</v>
      </c>
    </row>
    <row r="1296" spans="3:22" x14ac:dyDescent="0.3">
      <c r="S1296" s="22"/>
      <c r="T1296" s="22"/>
    </row>
    <row r="1297" spans="3:22" x14ac:dyDescent="0.3">
      <c r="E1297" t="s">
        <v>195</v>
      </c>
      <c r="R1297" s="22">
        <f>(1-R1287)*Q1283</f>
        <v>0.82650000000000001</v>
      </c>
      <c r="T1297" s="29">
        <f>S1293*(1-T1287)+S1294*(1-T1288)+S1295*(1-T1289)</f>
        <v>6.6075200000000028E-2</v>
      </c>
      <c r="U1297" s="29">
        <f>T1294*(1-U1288)+T1297</f>
        <v>6.6481760000000029E-2</v>
      </c>
      <c r="V1297" s="22"/>
    </row>
    <row r="1298" spans="3:22" x14ac:dyDescent="0.3">
      <c r="R1298" s="22"/>
      <c r="T1298" s="29"/>
      <c r="U1298" s="29"/>
      <c r="V1298" s="22"/>
    </row>
    <row r="1299" spans="3:22" x14ac:dyDescent="0.3">
      <c r="R1299" s="25" t="s">
        <v>32</v>
      </c>
    </row>
    <row r="1300" spans="3:22" x14ac:dyDescent="0.3">
      <c r="C1300" s="11"/>
      <c r="D1300" s="11"/>
      <c r="E1300" s="11" t="s">
        <v>124</v>
      </c>
      <c r="R1300" s="8">
        <f>SUM(R1301:R1304)</f>
        <v>2.3604263839743194</v>
      </c>
      <c r="S1300" s="8">
        <f t="shared" ref="S1300:T1300" si="105">SUM(S1301:S1304)</f>
        <v>0.40953397761954446</v>
      </c>
      <c r="T1300" s="8">
        <f t="shared" si="105"/>
        <v>0.25356833221316449</v>
      </c>
    </row>
    <row r="1301" spans="3:22" x14ac:dyDescent="0.3">
      <c r="C1301" s="23"/>
      <c r="D1301" s="23"/>
      <c r="E1301" s="23" t="s">
        <v>120</v>
      </c>
      <c r="R1301" s="7">
        <f>Q1258*(1-R1287)</f>
        <v>2.0535709540576579</v>
      </c>
      <c r="S1301" s="82">
        <f>R1339*(1-S1287)+R1302*(1-S1288)</f>
        <v>0.15994249177809994</v>
      </c>
    </row>
    <row r="1302" spans="3:22" x14ac:dyDescent="0.3">
      <c r="C1302" s="24"/>
      <c r="D1302" s="24"/>
      <c r="E1302" s="24" t="s">
        <v>122</v>
      </c>
      <c r="R1302" s="7">
        <f>Q1258*R1287</f>
        <v>0.30685542991666154</v>
      </c>
      <c r="S1302" s="7">
        <f>R1339*S1287</f>
        <v>4.107141908115319E-3</v>
      </c>
      <c r="T1302" s="7">
        <f>S1301*T1287</f>
        <v>4.7982747533429982E-3</v>
      </c>
      <c r="U1302" s="7">
        <f>T1301*U1287</f>
        <v>0</v>
      </c>
    </row>
    <row r="1303" spans="3:22" x14ac:dyDescent="0.3">
      <c r="C1303" s="23"/>
      <c r="D1303" s="23"/>
      <c r="E1303" s="23" t="s">
        <v>121</v>
      </c>
      <c r="S1303" s="7">
        <f>R1302*S1288</f>
        <v>0.24548434393332924</v>
      </c>
      <c r="T1303" s="7">
        <f>S1302*T1288</f>
        <v>3.2857135264922552E-3</v>
      </c>
      <c r="U1303" s="7">
        <f>T1302*U1288</f>
        <v>3.8386198026743989E-3</v>
      </c>
    </row>
    <row r="1304" spans="3:22" x14ac:dyDescent="0.3">
      <c r="C1304" s="23"/>
      <c r="D1304" s="23"/>
      <c r="E1304" s="23" t="s">
        <v>138</v>
      </c>
      <c r="S1304" s="7"/>
      <c r="T1304" s="7">
        <f>S1303*T1289</f>
        <v>0.24548434393332924</v>
      </c>
      <c r="U1304" s="7">
        <f>T1303*U1289+T1304</f>
        <v>0.2487700574598215</v>
      </c>
      <c r="V1304" s="7">
        <f>U1303*V1289+U1304</f>
        <v>0.25260867726249592</v>
      </c>
    </row>
    <row r="1305" spans="3:22" x14ac:dyDescent="0.3">
      <c r="C1305" s="23"/>
      <c r="D1305" s="23"/>
      <c r="E1305" s="23"/>
      <c r="S1305" s="7"/>
    </row>
    <row r="1306" spans="3:22" x14ac:dyDescent="0.3">
      <c r="C1306" s="23"/>
      <c r="D1306" s="23"/>
      <c r="E1306" s="23" t="s">
        <v>137</v>
      </c>
      <c r="S1306" s="7"/>
      <c r="T1306" s="7">
        <f>S1301*(1-T1287)+S1302*(1-T1288)+S1303*(1-T1289)</f>
        <v>0.15596564540638</v>
      </c>
      <c r="U1306" s="7">
        <f>T1302*(1-U1288)+T1306</f>
        <v>0.1569253003570486</v>
      </c>
      <c r="V1306" s="7">
        <f>U1303*(1-V1289)+U1306</f>
        <v>0.1569253003570486</v>
      </c>
    </row>
    <row r="1307" spans="3:22" x14ac:dyDescent="0.3">
      <c r="C1307" s="23"/>
      <c r="D1307" s="23"/>
      <c r="E1307" s="23"/>
      <c r="S1307" s="7"/>
    </row>
    <row r="1308" spans="3:22" x14ac:dyDescent="0.3">
      <c r="C1308" s="11"/>
      <c r="D1308" s="11"/>
      <c r="E1308" s="11" t="s">
        <v>139</v>
      </c>
      <c r="R1308" s="8">
        <f>SUM(R1309:R1310)</f>
        <v>2.0535709540576579</v>
      </c>
      <c r="S1308" s="8">
        <f>SUM(S1309:S1310)</f>
        <v>0.15994249177809994</v>
      </c>
      <c r="T1308" s="8">
        <f>SUM(T1309:T1310)</f>
        <v>0.15596564540638</v>
      </c>
      <c r="U1308" s="8">
        <f>SUM(U1309:U1310)</f>
        <v>9.596549506685994E-4</v>
      </c>
    </row>
    <row r="1309" spans="3:22" x14ac:dyDescent="0.3">
      <c r="C1309" s="23"/>
      <c r="D1309" s="23"/>
      <c r="E1309" s="23" t="s">
        <v>120</v>
      </c>
      <c r="R1309" s="7">
        <f>R1301</f>
        <v>2.0535709540576579</v>
      </c>
      <c r="S1309" s="7">
        <f>R1339*(1-S1287)</f>
        <v>9.8571405794767655E-2</v>
      </c>
      <c r="T1309" s="7">
        <f>S1301*(1-T1287)</f>
        <v>0.15514421702475695</v>
      </c>
    </row>
    <row r="1310" spans="3:22" x14ac:dyDescent="0.3">
      <c r="C1310" s="24"/>
      <c r="D1310" s="24"/>
      <c r="E1310" s="24" t="s">
        <v>122</v>
      </c>
      <c r="S1310" s="7">
        <f>R1302*(1-S1288)</f>
        <v>6.1371085983332296E-2</v>
      </c>
      <c r="T1310" s="7">
        <f>S1302*(1-T1288)</f>
        <v>8.2142838162306358E-4</v>
      </c>
      <c r="U1310" s="7">
        <f>T1302*(1-U1288)</f>
        <v>9.596549506685994E-4</v>
      </c>
    </row>
    <row r="1311" spans="3:22" x14ac:dyDescent="0.3">
      <c r="C1311" s="23"/>
      <c r="D1311" s="23"/>
      <c r="E1311" s="23"/>
      <c r="S1311" s="7"/>
      <c r="T1311" s="7">
        <f>S1303*(1-T1289)</f>
        <v>0</v>
      </c>
      <c r="U1311" s="7">
        <f>T1303*(1-U1289)</f>
        <v>0</v>
      </c>
    </row>
    <row r="1312" spans="3:22" x14ac:dyDescent="0.3">
      <c r="C1312" s="81"/>
      <c r="D1312" s="81"/>
      <c r="E1312" s="81" t="s">
        <v>123</v>
      </c>
    </row>
    <row r="1313" spans="3:22" x14ac:dyDescent="0.3">
      <c r="C1313" s="23"/>
      <c r="D1313" s="23"/>
      <c r="E1313" s="23" t="s">
        <v>120</v>
      </c>
      <c r="R1313" s="7">
        <f>Q1274-R1281</f>
        <v>25.641025641025642</v>
      </c>
      <c r="S1313" s="7">
        <f>R1313-S1281</f>
        <v>12.820512820512823</v>
      </c>
      <c r="T1313" s="7">
        <f>S1313-T1281</f>
        <v>0</v>
      </c>
    </row>
    <row r="1314" spans="3:22" x14ac:dyDescent="0.3">
      <c r="C1314" s="24"/>
      <c r="D1314" s="24"/>
      <c r="E1314" s="24" t="s">
        <v>122</v>
      </c>
      <c r="R1314" s="7">
        <f>Q1274</f>
        <v>38.46153846153846</v>
      </c>
      <c r="S1314" s="7">
        <f>R1313</f>
        <v>25.641025641025642</v>
      </c>
      <c r="T1314" s="7">
        <f>S1313</f>
        <v>12.820512820512823</v>
      </c>
    </row>
    <row r="1315" spans="3:22" x14ac:dyDescent="0.3">
      <c r="C1315" s="23"/>
      <c r="D1315" s="23"/>
      <c r="E1315" s="23" t="s">
        <v>121</v>
      </c>
      <c r="S1315" s="7">
        <f>R1314</f>
        <v>38.46153846153846</v>
      </c>
      <c r="T1315" s="7">
        <f>S1314</f>
        <v>25.641025641025642</v>
      </c>
      <c r="U1315" s="7">
        <f>T1314</f>
        <v>12.820512820512823</v>
      </c>
    </row>
    <row r="1316" spans="3:22" x14ac:dyDescent="0.3">
      <c r="C1316" s="23"/>
      <c r="D1316" s="23"/>
      <c r="E1316" s="23"/>
      <c r="T1316" s="7"/>
      <c r="U1316" s="7"/>
    </row>
    <row r="1317" spans="3:22" x14ac:dyDescent="0.3">
      <c r="C1317" s="23"/>
      <c r="D1317" s="23"/>
      <c r="E1317" s="23"/>
      <c r="T1317" s="7"/>
      <c r="U1317" s="7"/>
    </row>
    <row r="1318" spans="3:22" x14ac:dyDescent="0.3">
      <c r="C1318" s="11"/>
      <c r="D1318" s="11"/>
      <c r="E1318" s="11" t="s">
        <v>130</v>
      </c>
      <c r="R1318" s="8">
        <f>SUM(R1319:R1322)</f>
        <v>64.457797408529487</v>
      </c>
      <c r="S1318" s="8">
        <f t="shared" ref="S1318:U1318" si="106">SUM(S1319:S1322)</f>
        <v>11.59756163326049</v>
      </c>
      <c r="T1318" s="8">
        <f t="shared" si="106"/>
        <v>9.5874709436707075</v>
      </c>
      <c r="U1318" s="8">
        <f t="shared" si="106"/>
        <v>9.5751676750723913</v>
      </c>
    </row>
    <row r="1319" spans="3:22" x14ac:dyDescent="0.3">
      <c r="C1319" s="23"/>
      <c r="D1319" s="23"/>
      <c r="E1319" s="23" t="s">
        <v>120</v>
      </c>
      <c r="R1319" s="7">
        <f>R1313*R1301</f>
        <v>52.655665488657895</v>
      </c>
      <c r="S1319" s="7">
        <f t="shared" ref="S1319:T1320" si="107">S1313*S1301</f>
        <v>2.0505447663858969</v>
      </c>
      <c r="T1319" s="7">
        <f t="shared" si="107"/>
        <v>0</v>
      </c>
    </row>
    <row r="1320" spans="3:22" x14ac:dyDescent="0.3">
      <c r="C1320" s="24"/>
      <c r="D1320" s="24"/>
      <c r="E1320" s="24" t="s">
        <v>122</v>
      </c>
      <c r="R1320" s="7">
        <f>R1314*R1302</f>
        <v>11.802131919871597</v>
      </c>
      <c r="S1320" s="7">
        <f t="shared" si="107"/>
        <v>0.10531133097731588</v>
      </c>
      <c r="T1320" s="7">
        <f t="shared" si="107"/>
        <v>6.1516342991576912E-2</v>
      </c>
      <c r="U1320" s="7">
        <f>U1314*U1302</f>
        <v>0</v>
      </c>
    </row>
    <row r="1321" spans="3:22" x14ac:dyDescent="0.3">
      <c r="C1321" s="23"/>
      <c r="D1321" s="23"/>
      <c r="E1321" s="23" t="s">
        <v>121</v>
      </c>
      <c r="S1321" s="7">
        <f>S1315*S1303</f>
        <v>9.4417055358972775</v>
      </c>
      <c r="T1321" s="7">
        <f>T1315*T1303</f>
        <v>8.4249064781852706E-2</v>
      </c>
      <c r="U1321" s="7">
        <f>U1315*U1303</f>
        <v>4.921307439326153E-2</v>
      </c>
    </row>
    <row r="1322" spans="3:22" x14ac:dyDescent="0.3">
      <c r="C1322" s="23"/>
      <c r="D1322" s="23"/>
      <c r="E1322" s="23" t="s">
        <v>299</v>
      </c>
      <c r="T1322" s="8">
        <f>S1321</f>
        <v>9.4417055358972775</v>
      </c>
      <c r="U1322" s="8">
        <f>T1322+T1321</f>
        <v>9.52595460067913</v>
      </c>
      <c r="V1322" s="8">
        <f>U1322+U1321</f>
        <v>9.5751676750723913</v>
      </c>
    </row>
    <row r="1323" spans="3:22" x14ac:dyDescent="0.3">
      <c r="C1323" s="23"/>
      <c r="D1323" s="23"/>
      <c r="E1323" s="23"/>
    </row>
    <row r="1324" spans="3:22" x14ac:dyDescent="0.3">
      <c r="C1324" s="105"/>
      <c r="D1324" s="105"/>
      <c r="E1324" s="105" t="s">
        <v>300</v>
      </c>
      <c r="Q1324" s="8">
        <f>V1322</f>
        <v>9.5751676750723913</v>
      </c>
    </row>
    <row r="1325" spans="3:22" x14ac:dyDescent="0.3">
      <c r="C1325" s="23"/>
      <c r="D1325" s="23"/>
      <c r="E1325" s="23"/>
    </row>
    <row r="1326" spans="3:22" x14ac:dyDescent="0.3">
      <c r="C1326" s="11"/>
      <c r="D1326" s="11"/>
      <c r="E1326" s="11" t="s">
        <v>140</v>
      </c>
      <c r="R1326" s="8">
        <f>SUM(R1328:R1331)</f>
        <v>76.350714958553937</v>
      </c>
      <c r="S1326" s="8">
        <f>SUM(S1328:S1331)</f>
        <v>2.8373535610440026</v>
      </c>
      <c r="T1326" s="8">
        <f t="shared" ref="T1326:U1326" si="108">SUM(T1328:T1331)</f>
        <v>2.010090689589783</v>
      </c>
      <c r="U1326" s="8">
        <f t="shared" si="108"/>
        <v>1.2303268598315376E-2</v>
      </c>
    </row>
    <row r="1327" spans="3:22" x14ac:dyDescent="0.3">
      <c r="C1327" s="11"/>
      <c r="D1327" s="11"/>
      <c r="E1327" s="11"/>
      <c r="R1327" s="8"/>
      <c r="S1327" s="8"/>
      <c r="T1327" s="8"/>
      <c r="U1327" s="8"/>
    </row>
    <row r="1328" spans="3:22" x14ac:dyDescent="0.3">
      <c r="E1328" t="s">
        <v>131</v>
      </c>
      <c r="G1328" s="23" t="s">
        <v>120</v>
      </c>
      <c r="R1328" s="6">
        <f>R1337*R1282</f>
        <v>75.034323321337482</v>
      </c>
    </row>
    <row r="1329" spans="3:25" x14ac:dyDescent="0.3">
      <c r="G1329" s="23"/>
      <c r="R1329" s="6"/>
    </row>
    <row r="1330" spans="3:25" x14ac:dyDescent="0.3">
      <c r="E1330" t="s">
        <v>200</v>
      </c>
      <c r="G1330" s="23" t="s">
        <v>120</v>
      </c>
      <c r="R1330" s="6">
        <f>R1339*R1281</f>
        <v>1.3163916372164484</v>
      </c>
      <c r="S1330" s="27">
        <f>S1309*S1281</f>
        <v>1.2637359717277903</v>
      </c>
      <c r="T1330" s="27">
        <f>T1309*T1281</f>
        <v>1.9890284233943196</v>
      </c>
      <c r="U1330" s="27">
        <f>U1309*U1281</f>
        <v>0</v>
      </c>
    </row>
    <row r="1331" spans="3:25" x14ac:dyDescent="0.3">
      <c r="E1331" t="s">
        <v>200</v>
      </c>
      <c r="G1331" s="24" t="s">
        <v>122</v>
      </c>
      <c r="R1331" s="6"/>
      <c r="S1331" s="27">
        <f>S1310*(R1281+S1281)</f>
        <v>1.5736175893162125</v>
      </c>
      <c r="T1331" s="27">
        <f>T1310*(S1281+T1281)</f>
        <v>2.1062266195463166E-2</v>
      </c>
      <c r="U1331" s="27">
        <f>U1310*(T1281+U1281)</f>
        <v>1.2303268598315376E-2</v>
      </c>
    </row>
    <row r="1333" spans="3:25" x14ac:dyDescent="0.3">
      <c r="C1333" s="11"/>
      <c r="D1333" s="11"/>
      <c r="E1333" s="11" t="s">
        <v>283</v>
      </c>
      <c r="R1333" s="8">
        <f>SUM(R1330:U1331)</f>
        <v>6.1761391564485493</v>
      </c>
    </row>
    <row r="1335" spans="3:25" x14ac:dyDescent="0.3">
      <c r="E1335" t="s">
        <v>202</v>
      </c>
      <c r="R1335" s="28">
        <f>R1337*(S1281+T1281)</f>
        <v>50.022882214224992</v>
      </c>
    </row>
    <row r="1337" spans="3:25" x14ac:dyDescent="0.3">
      <c r="C1337" s="72"/>
      <c r="D1337" s="72"/>
      <c r="E1337" s="72" t="s">
        <v>132</v>
      </c>
      <c r="R1337" s="73">
        <f>R1301*Q1283</f>
        <v>1.9508924063547748</v>
      </c>
    </row>
    <row r="1339" spans="3:25" x14ac:dyDescent="0.3">
      <c r="E1339" t="s">
        <v>201</v>
      </c>
      <c r="R1339" s="7">
        <f>R1301*Q1284</f>
        <v>0.10267854770288298</v>
      </c>
    </row>
    <row r="1342" spans="3:25" x14ac:dyDescent="0.3">
      <c r="E1342" s="152" t="s">
        <v>252</v>
      </c>
      <c r="F1342" s="153"/>
      <c r="G1342" s="153"/>
      <c r="H1342" s="153"/>
      <c r="I1342" s="153"/>
      <c r="J1342" s="153"/>
      <c r="K1342" s="153"/>
      <c r="L1342" s="153"/>
      <c r="M1342" s="153"/>
      <c r="N1342" s="153"/>
      <c r="O1342" s="153"/>
      <c r="P1342" s="153"/>
      <c r="Q1342" s="153"/>
      <c r="R1342" s="153"/>
      <c r="S1342" s="153"/>
      <c r="T1342" s="153"/>
      <c r="U1342" s="153"/>
      <c r="V1342" s="153"/>
      <c r="W1342" s="153"/>
      <c r="X1342" s="153"/>
      <c r="Y1342" s="154"/>
    </row>
    <row r="1343" spans="3:25" x14ac:dyDescent="0.3">
      <c r="C1343" s="32"/>
      <c r="D1343" s="32"/>
      <c r="E1343" s="32"/>
    </row>
    <row r="1344" spans="3:25" x14ac:dyDescent="0.3">
      <c r="C1344" t="s">
        <v>349</v>
      </c>
      <c r="E1344" t="s">
        <v>197</v>
      </c>
      <c r="L1344" s="83">
        <f>L728</f>
        <v>3872.2675694624991</v>
      </c>
    </row>
    <row r="1345" spans="3:16" x14ac:dyDescent="0.3">
      <c r="E1345" t="s">
        <v>206</v>
      </c>
      <c r="L1345" s="7">
        <f>L1347*L1344</f>
        <v>3872.2675694624991</v>
      </c>
      <c r="O1345" s="77"/>
    </row>
    <row r="1346" spans="3:16" x14ac:dyDescent="0.3">
      <c r="L1346" s="7"/>
      <c r="O1346" s="77"/>
    </row>
    <row r="1347" spans="3:16" x14ac:dyDescent="0.3">
      <c r="C1347" s="11"/>
      <c r="D1347" s="11"/>
      <c r="E1347" s="11" t="s">
        <v>134</v>
      </c>
      <c r="F1347" s="11"/>
      <c r="G1347" s="11"/>
      <c r="L1347" s="104">
        <f>$I$129</f>
        <v>1</v>
      </c>
      <c r="M1347" s="7">
        <f>M1348*M1349*M1350*M1351</f>
        <v>0</v>
      </c>
      <c r="N1347" s="11"/>
      <c r="P1347" s="11"/>
    </row>
    <row r="1348" spans="3:16" x14ac:dyDescent="0.3">
      <c r="E1348" t="s">
        <v>35</v>
      </c>
      <c r="L1348" s="89">
        <f>Q689</f>
        <v>0</v>
      </c>
    </row>
    <row r="1349" spans="3:16" x14ac:dyDescent="0.3">
      <c r="E1349" t="s">
        <v>36</v>
      </c>
      <c r="L1349" s="89">
        <f>0.95</f>
        <v>0.95</v>
      </c>
    </row>
    <row r="1350" spans="3:16" x14ac:dyDescent="0.3">
      <c r="E1350" t="s">
        <v>142</v>
      </c>
      <c r="L1350" s="89">
        <v>0.99</v>
      </c>
    </row>
    <row r="1351" spans="3:16" x14ac:dyDescent="0.3">
      <c r="E1351" t="s">
        <v>37</v>
      </c>
      <c r="L1351" s="89">
        <v>0.98</v>
      </c>
    </row>
    <row r="1354" spans="3:16" x14ac:dyDescent="0.3">
      <c r="E1354" t="s">
        <v>125</v>
      </c>
      <c r="L1354" s="83">
        <f>$F$34</f>
        <v>32.051282051282051</v>
      </c>
    </row>
    <row r="1355" spans="3:16" x14ac:dyDescent="0.3">
      <c r="E1355" t="s">
        <v>135</v>
      </c>
      <c r="L1355" s="82">
        <f>L1354</f>
        <v>32.051282051282051</v>
      </c>
    </row>
    <row r="1357" spans="3:16" x14ac:dyDescent="0.3">
      <c r="E1357" t="s">
        <v>126</v>
      </c>
      <c r="L1357" s="88">
        <f>$H$52</f>
        <v>0.2</v>
      </c>
    </row>
    <row r="1358" spans="3:16" x14ac:dyDescent="0.3">
      <c r="E1358" t="s">
        <v>117</v>
      </c>
      <c r="L1358" s="7">
        <f>L1357*L1354</f>
        <v>6.4102564102564106</v>
      </c>
    </row>
    <row r="1360" spans="3:16" x14ac:dyDescent="0.3">
      <c r="E1360" t="s">
        <v>118</v>
      </c>
      <c r="L1360" s="7">
        <f>L1355</f>
        <v>32.051282051282051</v>
      </c>
    </row>
    <row r="1361" spans="3:17" x14ac:dyDescent="0.3">
      <c r="E1361" t="s">
        <v>106</v>
      </c>
      <c r="L1361" s="7">
        <f>L1354*(1+L1357)</f>
        <v>38.46153846153846</v>
      </c>
    </row>
    <row r="1362" spans="3:17" x14ac:dyDescent="0.3">
      <c r="L1362" s="7"/>
    </row>
    <row r="1363" spans="3:17" x14ac:dyDescent="0.3">
      <c r="E1363" t="s">
        <v>136</v>
      </c>
      <c r="L1363" s="7">
        <f>L1360*L1345</f>
        <v>124111.14004687496</v>
      </c>
    </row>
    <row r="1364" spans="3:17" x14ac:dyDescent="0.3">
      <c r="E1364" t="s">
        <v>119</v>
      </c>
      <c r="L1364" s="7">
        <f>L1361*L1345</f>
        <v>148933.36805624995</v>
      </c>
    </row>
    <row r="1365" spans="3:17" x14ac:dyDescent="0.3">
      <c r="L1365" s="7"/>
    </row>
    <row r="1366" spans="3:17" x14ac:dyDescent="0.3">
      <c r="E1366" t="s">
        <v>302</v>
      </c>
      <c r="L1366" s="6">
        <f>L1358*L1345</f>
        <v>24822.228009374994</v>
      </c>
    </row>
    <row r="1367" spans="3:17" x14ac:dyDescent="0.3">
      <c r="L1367" s="7"/>
    </row>
    <row r="1368" spans="3:17" x14ac:dyDescent="0.3">
      <c r="E1368" t="s">
        <v>127</v>
      </c>
      <c r="M1368" s="7">
        <f>L1361/3</f>
        <v>12.820512820512819</v>
      </c>
      <c r="N1368" s="7">
        <f>L1361/3</f>
        <v>12.820512820512819</v>
      </c>
      <c r="O1368" s="7">
        <f>L1361/3</f>
        <v>12.820512820512819</v>
      </c>
    </row>
    <row r="1369" spans="3:17" x14ac:dyDescent="0.3">
      <c r="M1369" s="7">
        <f>L1361</f>
        <v>38.46153846153846</v>
      </c>
    </row>
    <row r="1370" spans="3:17" s="103" customFormat="1" x14ac:dyDescent="0.3">
      <c r="E1370" s="103" t="s">
        <v>128</v>
      </c>
      <c r="L1370" s="79">
        <f>'Summary500-600'!$C$42</f>
        <v>0.95</v>
      </c>
    </row>
    <row r="1371" spans="3:17" s="103" customFormat="1" x14ac:dyDescent="0.3">
      <c r="E1371" s="103" t="s">
        <v>129</v>
      </c>
      <c r="L1371" s="79">
        <f>1-L1370</f>
        <v>5.0000000000000044E-2</v>
      </c>
    </row>
    <row r="1373" spans="3:17" x14ac:dyDescent="0.3">
      <c r="C1373" s="71"/>
      <c r="D1373" s="71"/>
      <c r="E1373" s="71" t="s">
        <v>16</v>
      </c>
    </row>
    <row r="1374" spans="3:17" x14ac:dyDescent="0.3">
      <c r="E1374" t="s">
        <v>17</v>
      </c>
      <c r="M1374" s="74">
        <f>'Summary500-600'!$C$86</f>
        <v>0.09</v>
      </c>
      <c r="N1374" s="74">
        <f>'Summary500-600'!$C$87</f>
        <v>0.03</v>
      </c>
      <c r="O1374" s="74">
        <f>'Summary500-600'!$C$88</f>
        <v>0.01</v>
      </c>
      <c r="P1374" s="75"/>
      <c r="Q1374" s="75"/>
    </row>
    <row r="1375" spans="3:17" x14ac:dyDescent="0.3">
      <c r="E1375" t="s">
        <v>18</v>
      </c>
      <c r="G1375" s="75"/>
      <c r="N1375" s="74">
        <f>'Summary500-600'!$C$89</f>
        <v>0.8</v>
      </c>
      <c r="O1375" s="76">
        <f>N1375</f>
        <v>0.8</v>
      </c>
      <c r="P1375" s="76">
        <f>O1375</f>
        <v>0.8</v>
      </c>
      <c r="Q1375" s="75"/>
    </row>
    <row r="1376" spans="3:17" x14ac:dyDescent="0.3">
      <c r="E1376" t="s">
        <v>19</v>
      </c>
      <c r="G1376" s="75"/>
      <c r="N1376" s="75"/>
      <c r="O1376" s="74">
        <f>'Summary500-600'!$C$90</f>
        <v>1</v>
      </c>
      <c r="P1376" s="74">
        <v>1</v>
      </c>
      <c r="Q1376" s="74">
        <v>1</v>
      </c>
    </row>
    <row r="1377" spans="3:17" x14ac:dyDescent="0.3">
      <c r="E1377" t="s">
        <v>20</v>
      </c>
      <c r="O1377" s="21"/>
    </row>
    <row r="1378" spans="3:17" x14ac:dyDescent="0.3">
      <c r="O1378" s="21"/>
    </row>
    <row r="1379" spans="3:17" x14ac:dyDescent="0.3">
      <c r="C1379" s="11"/>
      <c r="D1379" s="11"/>
      <c r="E1379" s="11" t="s">
        <v>196</v>
      </c>
      <c r="M1379" s="90">
        <f>SUM(M1380:M1383)</f>
        <v>0.13550000000000004</v>
      </c>
      <c r="N1379" s="90">
        <f t="shared" ref="N1379:P1379" si="109">SUM(N1380:N1383)</f>
        <v>0.13550000000000001</v>
      </c>
      <c r="O1379" s="90">
        <f t="shared" si="109"/>
        <v>7.3713349999999997E-2</v>
      </c>
      <c r="P1379" s="90">
        <f t="shared" si="109"/>
        <v>7.3589079999999987E-2</v>
      </c>
    </row>
    <row r="1380" spans="3:17" x14ac:dyDescent="0.3">
      <c r="E1380" t="s">
        <v>17</v>
      </c>
      <c r="M1380" s="22">
        <f>(1-M1374)*L1371</f>
        <v>4.550000000000004E-2</v>
      </c>
      <c r="N1380" s="22">
        <f>M1380*(1-N1374)+M1381*(1-N1375)</f>
        <v>6.213500000000003E-2</v>
      </c>
    </row>
    <row r="1381" spans="3:17" x14ac:dyDescent="0.3">
      <c r="E1381" t="s">
        <v>18</v>
      </c>
      <c r="M1381" s="22">
        <f>M1374</f>
        <v>0.09</v>
      </c>
      <c r="N1381" s="22">
        <f>M1380*N1374</f>
        <v>1.3650000000000012E-3</v>
      </c>
      <c r="O1381" s="22">
        <f>N1380*O1374</f>
        <v>6.2135000000000033E-4</v>
      </c>
      <c r="Q1381" s="22"/>
    </row>
    <row r="1382" spans="3:17" x14ac:dyDescent="0.3">
      <c r="E1382" t="s">
        <v>19</v>
      </c>
      <c r="N1382" s="22">
        <f>M1381*N1375</f>
        <v>7.1999999999999995E-2</v>
      </c>
      <c r="O1382" s="22">
        <f>N1381*O1375+N1382</f>
        <v>7.309199999999999E-2</v>
      </c>
      <c r="P1382" s="22">
        <f>O1381*P1375+O1382</f>
        <v>7.3589079999999987E-2</v>
      </c>
    </row>
    <row r="1383" spans="3:17" x14ac:dyDescent="0.3">
      <c r="N1383" s="22"/>
      <c r="O1383" s="22"/>
    </row>
    <row r="1384" spans="3:17" x14ac:dyDescent="0.3">
      <c r="E1384" t="s">
        <v>195</v>
      </c>
      <c r="M1384" s="22">
        <f>(1-M1374)*L1370</f>
        <v>0.86449999999999994</v>
      </c>
      <c r="O1384" s="29">
        <f>N1380*(1-O1374)+N1381*(1-O1375)+N1382*(1-O1376)</f>
        <v>6.1786650000000033E-2</v>
      </c>
      <c r="P1384" s="29">
        <f>O1381*(1-P1375)+O1384</f>
        <v>6.1910920000000036E-2</v>
      </c>
      <c r="Q1384" s="22"/>
    </row>
    <row r="1385" spans="3:17" x14ac:dyDescent="0.3">
      <c r="M1385" s="22"/>
      <c r="O1385" s="29"/>
      <c r="P1385" s="29"/>
      <c r="Q1385" s="22"/>
    </row>
    <row r="1386" spans="3:17" x14ac:dyDescent="0.3">
      <c r="M1386" s="25" t="s">
        <v>32</v>
      </c>
    </row>
    <row r="1387" spans="3:17" x14ac:dyDescent="0.3">
      <c r="C1387" s="11"/>
      <c r="D1387" s="11"/>
      <c r="E1387" s="11" t="s">
        <v>124</v>
      </c>
      <c r="M1387" s="8">
        <f>SUM(M1388:M1391)</f>
        <v>3872.2675694624991</v>
      </c>
      <c r="N1387" s="8">
        <f t="shared" ref="N1387:O1387" si="110">SUM(N1388:N1391)</f>
        <v>524.69225566216869</v>
      </c>
      <c r="O1387" s="8">
        <f t="shared" si="110"/>
        <v>285.43781464143848</v>
      </c>
    </row>
    <row r="1388" spans="3:17" x14ac:dyDescent="0.3">
      <c r="C1388" s="23"/>
      <c r="D1388" s="23"/>
      <c r="E1388" s="23" t="s">
        <v>120</v>
      </c>
      <c r="M1388" s="7">
        <f>L1345*(1-M1374)</f>
        <v>3523.7634882108741</v>
      </c>
      <c r="N1388" s="82">
        <f>M1426*(1-N1374)+M1389*(1-N1375)</f>
        <v>240.60334542855253</v>
      </c>
    </row>
    <row r="1389" spans="3:17" x14ac:dyDescent="0.3">
      <c r="C1389" s="24"/>
      <c r="D1389" s="24"/>
      <c r="E1389" s="24" t="s">
        <v>122</v>
      </c>
      <c r="M1389" s="7">
        <f>L1345*M1374</f>
        <v>348.50408125162488</v>
      </c>
      <c r="N1389" s="7">
        <f>M1426*N1374</f>
        <v>5.2856452323163161</v>
      </c>
      <c r="O1389" s="7">
        <f>N1388*O1374</f>
        <v>2.4060334542855255</v>
      </c>
      <c r="P1389" s="7">
        <f>O1388*P1374</f>
        <v>0</v>
      </c>
    </row>
    <row r="1390" spans="3:17" x14ac:dyDescent="0.3">
      <c r="C1390" s="23"/>
      <c r="D1390" s="23"/>
      <c r="E1390" s="23" t="s">
        <v>121</v>
      </c>
      <c r="N1390" s="7">
        <f>M1389*N1375</f>
        <v>278.80326500129991</v>
      </c>
      <c r="O1390" s="7">
        <f>N1389*O1375</f>
        <v>4.2285161858530529</v>
      </c>
      <c r="P1390" s="7">
        <f>O1389*P1375</f>
        <v>1.9248267634284204</v>
      </c>
    </row>
    <row r="1391" spans="3:17" x14ac:dyDescent="0.3">
      <c r="C1391" s="23"/>
      <c r="D1391" s="23"/>
      <c r="E1391" s="23" t="s">
        <v>138</v>
      </c>
      <c r="N1391" s="7"/>
      <c r="O1391" s="7">
        <f>N1390*O1376</f>
        <v>278.80326500129991</v>
      </c>
      <c r="P1391" s="7">
        <f>O1390*P1376+O1391</f>
        <v>283.03178118715294</v>
      </c>
      <c r="Q1391" s="7">
        <f>P1390*Q1376+P1391</f>
        <v>284.95660795058137</v>
      </c>
    </row>
    <row r="1392" spans="3:17" x14ac:dyDescent="0.3">
      <c r="C1392" s="23"/>
      <c r="D1392" s="23"/>
      <c r="E1392" s="23"/>
      <c r="N1392" s="7"/>
    </row>
    <row r="1393" spans="3:17" x14ac:dyDescent="0.3">
      <c r="C1393" s="23"/>
      <c r="D1393" s="23"/>
      <c r="E1393" s="23" t="s">
        <v>137</v>
      </c>
      <c r="N1393" s="7"/>
      <c r="O1393" s="7">
        <f>N1388*(1-O1374)+N1389*(1-O1375)+N1390*(1-O1376)</f>
        <v>239.25444102073027</v>
      </c>
      <c r="P1393" s="7">
        <f>O1389*(1-P1375)+O1393</f>
        <v>239.73564771158738</v>
      </c>
      <c r="Q1393" s="7">
        <f>P1390*(1-Q1376)+P1393</f>
        <v>239.73564771158738</v>
      </c>
    </row>
    <row r="1394" spans="3:17" x14ac:dyDescent="0.3">
      <c r="C1394" s="23"/>
      <c r="D1394" s="23"/>
      <c r="E1394" s="23"/>
      <c r="N1394" s="7"/>
    </row>
    <row r="1395" spans="3:17" x14ac:dyDescent="0.3">
      <c r="C1395" s="11"/>
      <c r="D1395" s="11"/>
      <c r="E1395" s="11" t="s">
        <v>139</v>
      </c>
      <c r="M1395" s="8">
        <f>SUM(M1396:M1397)</f>
        <v>3523.7634882108741</v>
      </c>
      <c r="N1395" s="8">
        <f>SUM(N1396:N1397)</f>
        <v>240.60334542855253</v>
      </c>
      <c r="O1395" s="8">
        <f>SUM(O1396:O1397)</f>
        <v>239.25444102073027</v>
      </c>
      <c r="P1395" s="8">
        <f>SUM(P1396:P1397)</f>
        <v>0.48120669085710499</v>
      </c>
    </row>
    <row r="1396" spans="3:17" x14ac:dyDescent="0.3">
      <c r="C1396" s="23"/>
      <c r="D1396" s="23"/>
      <c r="E1396" s="23" t="s">
        <v>120</v>
      </c>
      <c r="M1396" s="7">
        <f>M1388</f>
        <v>3523.7634882108741</v>
      </c>
      <c r="N1396" s="7">
        <f>M1426*(1-N1374)</f>
        <v>170.90252917822755</v>
      </c>
      <c r="O1396" s="7">
        <f>N1388*(1-O1374)</f>
        <v>238.197311974267</v>
      </c>
    </row>
    <row r="1397" spans="3:17" x14ac:dyDescent="0.3">
      <c r="C1397" s="24"/>
      <c r="D1397" s="24"/>
      <c r="E1397" s="24" t="s">
        <v>122</v>
      </c>
      <c r="N1397" s="7">
        <f>M1389*(1-N1375)</f>
        <v>69.700816250324962</v>
      </c>
      <c r="O1397" s="7">
        <f>N1389*(1-O1375)</f>
        <v>1.057129046463263</v>
      </c>
      <c r="P1397" s="7">
        <f>O1389*(1-P1375)</f>
        <v>0.48120669085710499</v>
      </c>
    </row>
    <row r="1398" spans="3:17" x14ac:dyDescent="0.3">
      <c r="C1398" s="23"/>
      <c r="D1398" s="23"/>
      <c r="E1398" s="23"/>
      <c r="N1398" s="7"/>
      <c r="O1398" s="7">
        <f>N1390*(1-O1376)</f>
        <v>0</v>
      </c>
      <c r="P1398" s="7">
        <f>O1390*(1-P1376)</f>
        <v>0</v>
      </c>
    </row>
    <row r="1399" spans="3:17" x14ac:dyDescent="0.3">
      <c r="C1399" s="81"/>
      <c r="D1399" s="81"/>
      <c r="E1399" s="81" t="s">
        <v>123</v>
      </c>
    </row>
    <row r="1400" spans="3:17" x14ac:dyDescent="0.3">
      <c r="C1400" s="23"/>
      <c r="D1400" s="23"/>
      <c r="E1400" s="23" t="s">
        <v>120</v>
      </c>
      <c r="M1400" s="7">
        <f>L1361-M1368</f>
        <v>25.641025641025642</v>
      </c>
      <c r="N1400" s="7">
        <f>M1400-N1368</f>
        <v>12.820512820512823</v>
      </c>
      <c r="O1400" s="7">
        <f>N1400-O1368</f>
        <v>0</v>
      </c>
    </row>
    <row r="1401" spans="3:17" x14ac:dyDescent="0.3">
      <c r="C1401" s="24"/>
      <c r="D1401" s="24"/>
      <c r="E1401" s="24" t="s">
        <v>122</v>
      </c>
      <c r="M1401" s="7">
        <f>L1361</f>
        <v>38.46153846153846</v>
      </c>
      <c r="N1401" s="7">
        <f>M1400</f>
        <v>25.641025641025642</v>
      </c>
      <c r="O1401" s="7">
        <f>N1400</f>
        <v>12.820512820512823</v>
      </c>
    </row>
    <row r="1402" spans="3:17" x14ac:dyDescent="0.3">
      <c r="C1402" s="23"/>
      <c r="D1402" s="23"/>
      <c r="E1402" s="23" t="s">
        <v>121</v>
      </c>
      <c r="N1402" s="7">
        <f>M1401</f>
        <v>38.46153846153846</v>
      </c>
      <c r="O1402" s="7">
        <f>N1401</f>
        <v>25.641025641025642</v>
      </c>
      <c r="P1402" s="7">
        <f>O1401</f>
        <v>12.820512820512823</v>
      </c>
    </row>
    <row r="1403" spans="3:17" x14ac:dyDescent="0.3">
      <c r="C1403" s="23"/>
      <c r="D1403" s="23"/>
      <c r="E1403" s="23"/>
      <c r="O1403" s="7"/>
      <c r="P1403" s="7"/>
    </row>
    <row r="1404" spans="3:17" x14ac:dyDescent="0.3">
      <c r="C1404" s="23"/>
      <c r="D1404" s="23"/>
      <c r="E1404" s="23"/>
      <c r="O1404" s="7"/>
      <c r="P1404" s="7"/>
    </row>
    <row r="1405" spans="3:17" x14ac:dyDescent="0.3">
      <c r="C1405" s="11"/>
      <c r="D1405" s="11"/>
      <c r="E1405" s="11" t="s">
        <v>130</v>
      </c>
      <c r="M1405" s="8">
        <f>SUM(M1406:M1409)</f>
        <v>103756.91307918748</v>
      </c>
      <c r="N1405" s="8">
        <f t="shared" ref="N1405:P1405" si="111">SUM(N1406:N1409)</f>
        <v>13943.390139706216</v>
      </c>
      <c r="O1405" s="8">
        <f t="shared" si="111"/>
        <v>10862.472574742196</v>
      </c>
      <c r="P1405" s="8">
        <f t="shared" si="111"/>
        <v>10856.303258192747</v>
      </c>
    </row>
    <row r="1406" spans="3:17" x14ac:dyDescent="0.3">
      <c r="C1406" s="23"/>
      <c r="D1406" s="23"/>
      <c r="E1406" s="23" t="s">
        <v>120</v>
      </c>
      <c r="M1406" s="7">
        <f>M1400*M1388</f>
        <v>90352.909954124989</v>
      </c>
      <c r="N1406" s="7">
        <f t="shared" ref="N1406:O1407" si="112">N1400*N1388</f>
        <v>3084.6582747250332</v>
      </c>
      <c r="O1406" s="7">
        <f t="shared" si="112"/>
        <v>0</v>
      </c>
    </row>
    <row r="1407" spans="3:17" x14ac:dyDescent="0.3">
      <c r="C1407" s="24"/>
      <c r="D1407" s="24"/>
      <c r="E1407" s="24" t="s">
        <v>122</v>
      </c>
      <c r="M1407" s="7">
        <f>M1401*M1389</f>
        <v>13404.003125062494</v>
      </c>
      <c r="N1407" s="7">
        <f t="shared" si="112"/>
        <v>135.52936493118759</v>
      </c>
      <c r="O1407" s="7">
        <f t="shared" si="112"/>
        <v>30.846582747250334</v>
      </c>
      <c r="P1407" s="7">
        <f>P1401*P1389</f>
        <v>0</v>
      </c>
    </row>
    <row r="1408" spans="3:17" x14ac:dyDescent="0.3">
      <c r="C1408" s="23"/>
      <c r="D1408" s="23"/>
      <c r="E1408" s="23" t="s">
        <v>121</v>
      </c>
      <c r="N1408" s="7">
        <f>N1402*N1390</f>
        <v>10723.202500049996</v>
      </c>
      <c r="O1408" s="7">
        <f>O1402*O1390</f>
        <v>108.42349194495009</v>
      </c>
      <c r="P1408" s="7">
        <f>P1402*P1390</f>
        <v>24.677266197800265</v>
      </c>
    </row>
    <row r="1409" spans="3:17" x14ac:dyDescent="0.3">
      <c r="C1409" s="23"/>
      <c r="D1409" s="23"/>
      <c r="E1409" s="23" t="s">
        <v>299</v>
      </c>
      <c r="O1409" s="8">
        <f>N1408</f>
        <v>10723.202500049996</v>
      </c>
      <c r="P1409" s="8">
        <f>O1409+O1408</f>
        <v>10831.625991994946</v>
      </c>
      <c r="Q1409" s="8">
        <f>P1409+P1408</f>
        <v>10856.303258192747</v>
      </c>
    </row>
    <row r="1410" spans="3:17" x14ac:dyDescent="0.3">
      <c r="C1410" s="23"/>
      <c r="D1410" s="23"/>
      <c r="E1410" s="23"/>
    </row>
    <row r="1411" spans="3:17" x14ac:dyDescent="0.3">
      <c r="C1411" s="105"/>
      <c r="D1411" s="105"/>
      <c r="E1411" s="105" t="s">
        <v>300</v>
      </c>
      <c r="L1411" s="8">
        <f>Q1409</f>
        <v>10856.303258192747</v>
      </c>
    </row>
    <row r="1412" spans="3:17" x14ac:dyDescent="0.3">
      <c r="C1412" s="23"/>
      <c r="D1412" s="23"/>
      <c r="E1412" s="23"/>
    </row>
    <row r="1413" spans="3:17" x14ac:dyDescent="0.3">
      <c r="C1413" s="11"/>
      <c r="D1413" s="11"/>
      <c r="E1413" s="11" t="s">
        <v>140</v>
      </c>
      <c r="M1413" s="8">
        <f>SUM(M1415:M1418)</f>
        <v>131011.71943348121</v>
      </c>
      <c r="N1413" s="8">
        <f>SUM(N1415:N1418)</f>
        <v>3978.2584830625315</v>
      </c>
      <c r="O1413" s="8">
        <f t="shared" ref="O1413:P1413" si="113">SUM(O1415:O1418)</f>
        <v>3080.9175649640192</v>
      </c>
      <c r="P1413" s="8">
        <f t="shared" si="113"/>
        <v>6.1693165494500635</v>
      </c>
    </row>
    <row r="1414" spans="3:17" x14ac:dyDescent="0.3">
      <c r="C1414" s="11"/>
      <c r="D1414" s="11"/>
      <c r="E1414" s="11"/>
      <c r="M1414" s="8"/>
      <c r="N1414" s="8"/>
      <c r="O1414" s="8"/>
      <c r="P1414" s="8"/>
    </row>
    <row r="1415" spans="3:17" x14ac:dyDescent="0.3">
      <c r="E1415" t="s">
        <v>131</v>
      </c>
      <c r="G1415" s="23" t="s">
        <v>120</v>
      </c>
      <c r="M1415" s="6">
        <f>M1424*M1369</f>
        <v>128752.89668462808</v>
      </c>
    </row>
    <row r="1416" spans="3:17" x14ac:dyDescent="0.3">
      <c r="G1416" s="23"/>
      <c r="M1416" s="6"/>
    </row>
    <row r="1417" spans="3:17" x14ac:dyDescent="0.3">
      <c r="E1417" t="s">
        <v>200</v>
      </c>
      <c r="G1417" s="23" t="s">
        <v>120</v>
      </c>
      <c r="M1417" s="6">
        <f>M1426*M1368</f>
        <v>2258.8227488531261</v>
      </c>
      <c r="N1417" s="27">
        <f>N1396*N1368</f>
        <v>2191.0580663875326</v>
      </c>
      <c r="O1417" s="27">
        <f>O1396*O1368</f>
        <v>3053.8116919777817</v>
      </c>
      <c r="P1417" s="27">
        <f>P1396*P1368</f>
        <v>0</v>
      </c>
    </row>
    <row r="1418" spans="3:17" x14ac:dyDescent="0.3">
      <c r="E1418" t="s">
        <v>200</v>
      </c>
      <c r="G1418" s="24" t="s">
        <v>122</v>
      </c>
      <c r="M1418" s="6"/>
      <c r="N1418" s="27">
        <f>N1397*(M1368+N1368)</f>
        <v>1787.2004166749989</v>
      </c>
      <c r="O1418" s="27">
        <f>O1397*(N1368+O1368)</f>
        <v>27.105872986237511</v>
      </c>
      <c r="P1418" s="27">
        <f>P1397*(O1368+P1368)</f>
        <v>6.1693165494500635</v>
      </c>
    </row>
    <row r="1420" spans="3:17" x14ac:dyDescent="0.3">
      <c r="C1420" s="11"/>
      <c r="D1420" s="11"/>
      <c r="E1420" s="11" t="s">
        <v>283</v>
      </c>
      <c r="M1420" s="8">
        <f>SUM(M1417:P1418)</f>
        <v>9324.1681134291284</v>
      </c>
    </row>
    <row r="1422" spans="3:17" x14ac:dyDescent="0.3">
      <c r="E1422" t="s">
        <v>202</v>
      </c>
      <c r="M1422" s="28">
        <f>M1424*(N1368+O1368)</f>
        <v>85835.264456418721</v>
      </c>
    </row>
    <row r="1424" spans="3:17" x14ac:dyDescent="0.3">
      <c r="C1424" t="s">
        <v>349</v>
      </c>
      <c r="D1424" t="s">
        <v>352</v>
      </c>
      <c r="E1424" s="72" t="s">
        <v>132</v>
      </c>
      <c r="M1424" s="73">
        <f>M1388*L1370</f>
        <v>3347.5753138003302</v>
      </c>
    </row>
    <row r="1426" spans="3:25" x14ac:dyDescent="0.3">
      <c r="E1426" t="s">
        <v>201</v>
      </c>
      <c r="M1426" s="7">
        <f>M1388*L1371</f>
        <v>176.18817441054387</v>
      </c>
    </row>
    <row r="1429" spans="3:25" x14ac:dyDescent="0.3">
      <c r="E1429" s="152" t="s">
        <v>257</v>
      </c>
      <c r="F1429" s="153"/>
      <c r="G1429" s="153"/>
      <c r="H1429" s="153"/>
      <c r="I1429" s="153"/>
      <c r="J1429" s="153"/>
      <c r="K1429" s="153"/>
      <c r="L1429" s="153"/>
      <c r="M1429" s="153"/>
      <c r="N1429" s="153"/>
      <c r="O1429" s="153"/>
      <c r="P1429" s="153"/>
      <c r="Q1429" s="153"/>
      <c r="R1429" s="153"/>
      <c r="S1429" s="153"/>
      <c r="T1429" s="153"/>
      <c r="U1429" s="153"/>
      <c r="V1429" s="153"/>
      <c r="W1429" s="153"/>
      <c r="X1429" s="153"/>
      <c r="Y1429" s="154"/>
    </row>
    <row r="1431" spans="3:25" x14ac:dyDescent="0.3">
      <c r="E1431" t="s">
        <v>197</v>
      </c>
      <c r="N1431" s="83">
        <f>N815</f>
        <v>287.08459235076714</v>
      </c>
    </row>
    <row r="1432" spans="3:25" x14ac:dyDescent="0.3">
      <c r="E1432" t="s">
        <v>206</v>
      </c>
      <c r="N1432" s="7">
        <f>N1434*N1431</f>
        <v>287.08459235076714</v>
      </c>
      <c r="Q1432" s="77"/>
    </row>
    <row r="1433" spans="3:25" x14ac:dyDescent="0.3">
      <c r="N1433" s="7"/>
      <c r="Q1433" s="77"/>
    </row>
    <row r="1434" spans="3:25" x14ac:dyDescent="0.3">
      <c r="C1434" s="11"/>
      <c r="D1434" s="11"/>
      <c r="E1434" s="11" t="s">
        <v>134</v>
      </c>
      <c r="F1434" s="11"/>
      <c r="G1434" s="11"/>
      <c r="N1434" s="104">
        <f>$I$129</f>
        <v>1</v>
      </c>
      <c r="O1434" s="7">
        <f>O1435*O1436*O1437*O1438</f>
        <v>0</v>
      </c>
      <c r="P1434" s="11"/>
      <c r="R1434" s="11"/>
    </row>
    <row r="1435" spans="3:25" x14ac:dyDescent="0.3">
      <c r="E1435" t="s">
        <v>35</v>
      </c>
      <c r="N1435" s="89">
        <f>R776</f>
        <v>0</v>
      </c>
    </row>
    <row r="1436" spans="3:25" x14ac:dyDescent="0.3">
      <c r="E1436" t="s">
        <v>36</v>
      </c>
      <c r="N1436" s="89">
        <f>0.95</f>
        <v>0.95</v>
      </c>
    </row>
    <row r="1437" spans="3:25" x14ac:dyDescent="0.3">
      <c r="E1437" t="s">
        <v>142</v>
      </c>
      <c r="N1437" s="89">
        <v>0.99</v>
      </c>
    </row>
    <row r="1438" spans="3:25" x14ac:dyDescent="0.3">
      <c r="E1438" t="s">
        <v>37</v>
      </c>
      <c r="N1438" s="89">
        <v>0.98</v>
      </c>
    </row>
    <row r="1441" spans="5:17" x14ac:dyDescent="0.3">
      <c r="E1441" t="s">
        <v>125</v>
      </c>
      <c r="N1441" s="83">
        <f>$F$34</f>
        <v>32.051282051282051</v>
      </c>
    </row>
    <row r="1442" spans="5:17" x14ac:dyDescent="0.3">
      <c r="E1442" t="s">
        <v>135</v>
      </c>
      <c r="N1442" s="82">
        <f>N1441</f>
        <v>32.051282051282051</v>
      </c>
    </row>
    <row r="1444" spans="5:17" x14ac:dyDescent="0.3">
      <c r="E1444" t="s">
        <v>126</v>
      </c>
      <c r="N1444" s="88">
        <f>$H$52</f>
        <v>0.2</v>
      </c>
    </row>
    <row r="1445" spans="5:17" x14ac:dyDescent="0.3">
      <c r="E1445" t="s">
        <v>117</v>
      </c>
      <c r="N1445" s="7">
        <f>N1444*N1441</f>
        <v>6.4102564102564106</v>
      </c>
    </row>
    <row r="1447" spans="5:17" x14ac:dyDescent="0.3">
      <c r="E1447" t="s">
        <v>118</v>
      </c>
      <c r="N1447" s="7">
        <f>N1442</f>
        <v>32.051282051282051</v>
      </c>
    </row>
    <row r="1448" spans="5:17" x14ac:dyDescent="0.3">
      <c r="E1448" t="s">
        <v>106</v>
      </c>
      <c r="N1448" s="7">
        <f>N1441*(1+N1444)</f>
        <v>38.46153846153846</v>
      </c>
    </row>
    <row r="1449" spans="5:17" x14ac:dyDescent="0.3">
      <c r="N1449" s="7"/>
    </row>
    <row r="1450" spans="5:17" x14ac:dyDescent="0.3">
      <c r="E1450" t="s">
        <v>136</v>
      </c>
      <c r="N1450" s="7">
        <f>N1447*N1432</f>
        <v>9201.4292420117672</v>
      </c>
    </row>
    <row r="1451" spans="5:17" x14ac:dyDescent="0.3">
      <c r="E1451" t="s">
        <v>119</v>
      </c>
      <c r="N1451" s="7">
        <f>N1448*N1432</f>
        <v>11041.71509041412</v>
      </c>
    </row>
    <row r="1452" spans="5:17" x14ac:dyDescent="0.3">
      <c r="N1452" s="7"/>
    </row>
    <row r="1453" spans="5:17" x14ac:dyDescent="0.3">
      <c r="E1453" t="s">
        <v>302</v>
      </c>
      <c r="N1453" s="6">
        <f>N1445*N1432</f>
        <v>1840.2858484023536</v>
      </c>
    </row>
    <row r="1454" spans="5:17" x14ac:dyDescent="0.3">
      <c r="N1454" s="7"/>
    </row>
    <row r="1455" spans="5:17" x14ac:dyDescent="0.3">
      <c r="E1455" t="s">
        <v>127</v>
      </c>
      <c r="O1455" s="7">
        <f>N1448/3</f>
        <v>12.820512820512819</v>
      </c>
      <c r="P1455" s="7">
        <f>N1448/3</f>
        <v>12.820512820512819</v>
      </c>
      <c r="Q1455" s="7">
        <f>N1448/3</f>
        <v>12.820512820512819</v>
      </c>
    </row>
    <row r="1456" spans="5:17" x14ac:dyDescent="0.3">
      <c r="O1456" s="7">
        <f>N1448</f>
        <v>38.46153846153846</v>
      </c>
    </row>
    <row r="1457" spans="3:19" s="103" customFormat="1" x14ac:dyDescent="0.3">
      <c r="E1457" s="103" t="s">
        <v>128</v>
      </c>
      <c r="N1457" s="79">
        <f>'Summary500-600'!$C$42</f>
        <v>0.95</v>
      </c>
    </row>
    <row r="1458" spans="3:19" s="103" customFormat="1" x14ac:dyDescent="0.3">
      <c r="E1458" s="103" t="s">
        <v>129</v>
      </c>
      <c r="N1458" s="79">
        <f>1-N1457</f>
        <v>5.0000000000000044E-2</v>
      </c>
    </row>
    <row r="1460" spans="3:19" x14ac:dyDescent="0.3">
      <c r="C1460" s="71"/>
      <c r="D1460" s="71"/>
      <c r="E1460" s="71" t="s">
        <v>16</v>
      </c>
    </row>
    <row r="1461" spans="3:19" x14ac:dyDescent="0.3">
      <c r="E1461" t="s">
        <v>17</v>
      </c>
      <c r="O1461" s="74">
        <f>'Summary500-600'!$C$86</f>
        <v>0.09</v>
      </c>
      <c r="P1461" s="74">
        <f>'Summary500-600'!$C$87</f>
        <v>0.03</v>
      </c>
      <c r="Q1461" s="74">
        <f>'Summary500-600'!$C$88</f>
        <v>0.01</v>
      </c>
      <c r="R1461" s="75"/>
      <c r="S1461" s="75"/>
    </row>
    <row r="1462" spans="3:19" x14ac:dyDescent="0.3">
      <c r="E1462" t="s">
        <v>18</v>
      </c>
      <c r="G1462" s="75"/>
      <c r="P1462" s="74">
        <f>'Summary500-600'!$C$89</f>
        <v>0.8</v>
      </c>
      <c r="Q1462" s="76">
        <f>P1462</f>
        <v>0.8</v>
      </c>
      <c r="R1462" s="76">
        <f>Q1462</f>
        <v>0.8</v>
      </c>
      <c r="S1462" s="75"/>
    </row>
    <row r="1463" spans="3:19" x14ac:dyDescent="0.3">
      <c r="E1463" t="s">
        <v>19</v>
      </c>
      <c r="G1463" s="75"/>
      <c r="P1463" s="75"/>
      <c r="Q1463" s="74">
        <f>'Summary500-600'!$C$90</f>
        <v>1</v>
      </c>
      <c r="R1463" s="74">
        <f>Q1463</f>
        <v>1</v>
      </c>
      <c r="S1463" s="74">
        <f>R1463</f>
        <v>1</v>
      </c>
    </row>
    <row r="1464" spans="3:19" x14ac:dyDescent="0.3">
      <c r="E1464" t="s">
        <v>20</v>
      </c>
      <c r="Q1464" s="21"/>
    </row>
    <row r="1465" spans="3:19" x14ac:dyDescent="0.3">
      <c r="Q1465" s="21"/>
    </row>
    <row r="1466" spans="3:19" x14ac:dyDescent="0.3">
      <c r="C1466" s="11"/>
      <c r="D1466" s="11"/>
      <c r="E1466" s="11" t="s">
        <v>196</v>
      </c>
      <c r="O1466" s="90">
        <f>SUM(O1467:O1470)</f>
        <v>0.13550000000000004</v>
      </c>
      <c r="P1466" s="90">
        <f t="shared" ref="P1466:R1466" si="114">SUM(P1467:P1470)</f>
        <v>0.13550000000000001</v>
      </c>
      <c r="Q1466" s="90">
        <f t="shared" si="114"/>
        <v>7.3713349999999997E-2</v>
      </c>
      <c r="R1466" s="90">
        <f t="shared" si="114"/>
        <v>7.3589079999999987E-2</v>
      </c>
    </row>
    <row r="1467" spans="3:19" x14ac:dyDescent="0.3">
      <c r="E1467" t="s">
        <v>17</v>
      </c>
      <c r="O1467" s="22">
        <f>(1-O1461)*N1458</f>
        <v>4.550000000000004E-2</v>
      </c>
      <c r="P1467" s="22">
        <f>O1467*(1-P1461)+O1468*(1-P1462)</f>
        <v>6.213500000000003E-2</v>
      </c>
    </row>
    <row r="1468" spans="3:19" x14ac:dyDescent="0.3">
      <c r="E1468" t="s">
        <v>18</v>
      </c>
      <c r="O1468" s="22">
        <f>O1461</f>
        <v>0.09</v>
      </c>
      <c r="P1468" s="22">
        <f>O1467*P1461</f>
        <v>1.3650000000000012E-3</v>
      </c>
      <c r="Q1468" s="22">
        <f>P1467*Q1461</f>
        <v>6.2135000000000033E-4</v>
      </c>
      <c r="S1468" s="22"/>
    </row>
    <row r="1469" spans="3:19" x14ac:dyDescent="0.3">
      <c r="E1469" t="s">
        <v>19</v>
      </c>
      <c r="P1469" s="22">
        <f>O1468*P1462</f>
        <v>7.1999999999999995E-2</v>
      </c>
      <c r="Q1469" s="22">
        <f>P1468*Q1462+P1469</f>
        <v>7.309199999999999E-2</v>
      </c>
      <c r="R1469" s="22">
        <f>Q1468*R1462+Q1469</f>
        <v>7.3589079999999987E-2</v>
      </c>
    </row>
    <row r="1470" spans="3:19" x14ac:dyDescent="0.3">
      <c r="P1470" s="22"/>
      <c r="Q1470" s="22"/>
    </row>
    <row r="1471" spans="3:19" x14ac:dyDescent="0.3">
      <c r="E1471" t="s">
        <v>195</v>
      </c>
      <c r="O1471" s="22">
        <f>(1-O1461)*N1457</f>
        <v>0.86449999999999994</v>
      </c>
      <c r="Q1471" s="29">
        <f>P1467*(1-Q1461)+P1468*(1-Q1462)+P1469*(1-Q1463)</f>
        <v>6.1786650000000033E-2</v>
      </c>
      <c r="R1471" s="29">
        <f>Q1468*(1-R1462)+Q1471</f>
        <v>6.1910920000000036E-2</v>
      </c>
      <c r="S1471" s="22"/>
    </row>
    <row r="1472" spans="3:19" x14ac:dyDescent="0.3">
      <c r="O1472" s="22"/>
      <c r="Q1472" s="29"/>
      <c r="R1472" s="29"/>
      <c r="S1472" s="22"/>
    </row>
    <row r="1473" spans="3:19" x14ac:dyDescent="0.3">
      <c r="O1473" s="25" t="s">
        <v>32</v>
      </c>
    </row>
    <row r="1474" spans="3:19" x14ac:dyDescent="0.3">
      <c r="C1474" s="11"/>
      <c r="D1474" s="11"/>
      <c r="E1474" s="11" t="s">
        <v>124</v>
      </c>
      <c r="O1474" s="8">
        <f>SUM(O1475:O1478)</f>
        <v>287.08459235076714</v>
      </c>
      <c r="P1474" s="8">
        <f t="shared" ref="P1474:Q1474" si="115">SUM(P1475:P1478)</f>
        <v>38.899962263528955</v>
      </c>
      <c r="Q1474" s="8">
        <f t="shared" si="115"/>
        <v>21.161967035559421</v>
      </c>
    </row>
    <row r="1475" spans="3:19" x14ac:dyDescent="0.3">
      <c r="C1475" s="23"/>
      <c r="D1475" s="23"/>
      <c r="E1475" s="23" t="s">
        <v>120</v>
      </c>
      <c r="O1475" s="7">
        <f>N1432*(1-O1461)</f>
        <v>261.2469790391981</v>
      </c>
      <c r="P1475" s="82">
        <f>O1513*(1-P1461)+O1476*(1-P1462)</f>
        <v>17.838001145714927</v>
      </c>
    </row>
    <row r="1476" spans="3:19" x14ac:dyDescent="0.3">
      <c r="C1476" s="24"/>
      <c r="D1476" s="24"/>
      <c r="E1476" s="24" t="s">
        <v>122</v>
      </c>
      <c r="O1476" s="7">
        <f>N1432*O1461</f>
        <v>25.83761331156904</v>
      </c>
      <c r="P1476" s="7">
        <f>O1513*P1461</f>
        <v>0.39187046855879748</v>
      </c>
      <c r="Q1476" s="7">
        <f>P1475*Q1461</f>
        <v>0.17838001145714927</v>
      </c>
      <c r="R1476" s="7">
        <f>Q1475*R1461</f>
        <v>0</v>
      </c>
    </row>
    <row r="1477" spans="3:19" x14ac:dyDescent="0.3">
      <c r="C1477" s="23"/>
      <c r="D1477" s="23"/>
      <c r="E1477" s="23" t="s">
        <v>121</v>
      </c>
      <c r="P1477" s="7">
        <f>O1476*P1462</f>
        <v>20.670090649255233</v>
      </c>
      <c r="Q1477" s="7">
        <f>P1476*Q1462</f>
        <v>0.31349637484703802</v>
      </c>
      <c r="R1477" s="7">
        <f>Q1476*R1462</f>
        <v>0.14270400916571943</v>
      </c>
    </row>
    <row r="1478" spans="3:19" x14ac:dyDescent="0.3">
      <c r="C1478" s="23"/>
      <c r="D1478" s="23"/>
      <c r="E1478" s="23" t="s">
        <v>138</v>
      </c>
      <c r="P1478" s="7"/>
      <c r="Q1478" s="7">
        <f>P1477*Q1463</f>
        <v>20.670090649255233</v>
      </c>
      <c r="R1478" s="7">
        <f>Q1477*R1463+Q1478</f>
        <v>20.98358702410227</v>
      </c>
      <c r="S1478" s="7">
        <f>R1477*S1463+R1478</f>
        <v>21.126291033267989</v>
      </c>
    </row>
    <row r="1479" spans="3:19" x14ac:dyDescent="0.3">
      <c r="C1479" s="23"/>
      <c r="D1479" s="23"/>
      <c r="E1479" s="23"/>
      <c r="P1479" s="7"/>
    </row>
    <row r="1480" spans="3:19" x14ac:dyDescent="0.3">
      <c r="C1480" s="23"/>
      <c r="D1480" s="23"/>
      <c r="E1480" s="23" t="s">
        <v>137</v>
      </c>
      <c r="P1480" s="7"/>
      <c r="Q1480" s="7">
        <f>P1475*(1-Q1461)+P1476*(1-Q1462)+P1477*(1-Q1463)</f>
        <v>17.737995227969535</v>
      </c>
      <c r="R1480" s="7">
        <f>Q1476*(1-R1462)+Q1480</f>
        <v>17.773671230260966</v>
      </c>
      <c r="S1480" s="7">
        <f>R1477*(1-S1463)+R1480</f>
        <v>17.773671230260966</v>
      </c>
    </row>
    <row r="1481" spans="3:19" x14ac:dyDescent="0.3">
      <c r="C1481" s="23"/>
      <c r="D1481" s="23"/>
      <c r="E1481" s="23"/>
      <c r="P1481" s="7"/>
    </row>
    <row r="1482" spans="3:19" x14ac:dyDescent="0.3">
      <c r="C1482" s="11"/>
      <c r="D1482" s="11"/>
      <c r="E1482" s="11" t="s">
        <v>139</v>
      </c>
      <c r="O1482" s="8">
        <f>SUM(O1483:O1484)</f>
        <v>261.2469790391981</v>
      </c>
      <c r="P1482" s="8">
        <f>SUM(P1483:P1484)</f>
        <v>17.838001145714927</v>
      </c>
      <c r="Q1482" s="8">
        <f>SUM(Q1483:Q1484)</f>
        <v>17.737995227969535</v>
      </c>
      <c r="R1482" s="8">
        <f>SUM(R1483:R1484)</f>
        <v>3.5676002291429844E-2</v>
      </c>
    </row>
    <row r="1483" spans="3:19" x14ac:dyDescent="0.3">
      <c r="C1483" s="23"/>
      <c r="D1483" s="23"/>
      <c r="E1483" s="23" t="s">
        <v>120</v>
      </c>
      <c r="O1483" s="7">
        <f>O1475</f>
        <v>261.2469790391981</v>
      </c>
      <c r="P1483" s="7">
        <f>O1513*(1-P1461)</f>
        <v>12.670478483401119</v>
      </c>
      <c r="Q1483" s="7">
        <f>P1475*(1-Q1461)</f>
        <v>17.659621134257776</v>
      </c>
    </row>
    <row r="1484" spans="3:19" x14ac:dyDescent="0.3">
      <c r="C1484" s="24"/>
      <c r="D1484" s="24"/>
      <c r="E1484" s="24" t="s">
        <v>122</v>
      </c>
      <c r="P1484" s="7">
        <f>O1476*(1-P1462)</f>
        <v>5.1675226623138073</v>
      </c>
      <c r="Q1484" s="7">
        <f>P1476*(1-Q1462)</f>
        <v>7.8374093711759477E-2</v>
      </c>
      <c r="R1484" s="7">
        <f>Q1476*(1-R1462)</f>
        <v>3.5676002291429844E-2</v>
      </c>
    </row>
    <row r="1485" spans="3:19" x14ac:dyDescent="0.3">
      <c r="C1485" s="23"/>
      <c r="D1485" s="23"/>
      <c r="E1485" s="23"/>
      <c r="P1485" s="7"/>
      <c r="Q1485" s="7">
        <f>P1477*(1-Q1463)</f>
        <v>0</v>
      </c>
      <c r="R1485" s="7">
        <f>Q1477*(1-R1463)</f>
        <v>0</v>
      </c>
    </row>
    <row r="1486" spans="3:19" x14ac:dyDescent="0.3">
      <c r="C1486" s="81"/>
      <c r="D1486" s="81"/>
      <c r="E1486" s="81" t="s">
        <v>123</v>
      </c>
    </row>
    <row r="1487" spans="3:19" x14ac:dyDescent="0.3">
      <c r="C1487" s="23"/>
      <c r="D1487" s="23"/>
      <c r="E1487" s="23" t="s">
        <v>120</v>
      </c>
      <c r="O1487" s="7">
        <f>N1448-O1455</f>
        <v>25.641025641025642</v>
      </c>
      <c r="P1487" s="7">
        <f>O1487-P1455</f>
        <v>12.820512820512823</v>
      </c>
      <c r="Q1487" s="7">
        <f>P1487-Q1455</f>
        <v>0</v>
      </c>
    </row>
    <row r="1488" spans="3:19" x14ac:dyDescent="0.3">
      <c r="C1488" s="24"/>
      <c r="D1488" s="24"/>
      <c r="E1488" s="24" t="s">
        <v>122</v>
      </c>
      <c r="O1488" s="7">
        <f>N1448</f>
        <v>38.46153846153846</v>
      </c>
      <c r="P1488" s="7">
        <f>O1487</f>
        <v>25.641025641025642</v>
      </c>
      <c r="Q1488" s="7">
        <f>P1487</f>
        <v>12.820512820512823</v>
      </c>
    </row>
    <row r="1489" spans="3:19" x14ac:dyDescent="0.3">
      <c r="C1489" s="23"/>
      <c r="D1489" s="23"/>
      <c r="E1489" s="23" t="s">
        <v>121</v>
      </c>
      <c r="P1489" s="7">
        <f>O1488</f>
        <v>38.46153846153846</v>
      </c>
      <c r="Q1489" s="7">
        <f>P1488</f>
        <v>25.641025641025642</v>
      </c>
      <c r="R1489" s="7">
        <f>Q1488</f>
        <v>12.820512820512823</v>
      </c>
    </row>
    <row r="1490" spans="3:19" x14ac:dyDescent="0.3">
      <c r="C1490" s="23"/>
      <c r="D1490" s="23"/>
      <c r="E1490" s="23"/>
      <c r="Q1490" s="7"/>
      <c r="R1490" s="7"/>
    </row>
    <row r="1491" spans="3:19" x14ac:dyDescent="0.3">
      <c r="C1491" s="23"/>
      <c r="D1491" s="23"/>
      <c r="E1491" s="23"/>
      <c r="Q1491" s="7"/>
      <c r="R1491" s="7"/>
    </row>
    <row r="1492" spans="3:19" x14ac:dyDescent="0.3">
      <c r="C1492" s="11"/>
      <c r="D1492" s="11"/>
      <c r="E1492" s="11" t="s">
        <v>130</v>
      </c>
      <c r="O1492" s="8">
        <f>SUM(O1493:O1496)</f>
        <v>7692.3948463218376</v>
      </c>
      <c r="P1492" s="8">
        <f t="shared" ref="P1492:R1492" si="116">SUM(P1493:P1496)</f>
        <v>1033.743769623054</v>
      </c>
      <c r="Q1492" s="8">
        <f t="shared" si="116"/>
        <v>805.32877831944768</v>
      </c>
      <c r="R1492" s="8">
        <f t="shared" si="116"/>
        <v>804.87139367468581</v>
      </c>
    </row>
    <row r="1493" spans="3:19" x14ac:dyDescent="0.3">
      <c r="C1493" s="23"/>
      <c r="D1493" s="23"/>
      <c r="E1493" s="23" t="s">
        <v>120</v>
      </c>
      <c r="O1493" s="7">
        <f>O1487*O1475</f>
        <v>6698.6404881845665</v>
      </c>
      <c r="P1493" s="7">
        <f t="shared" ref="P1493:Q1494" si="117">P1487*P1475</f>
        <v>228.69232238096063</v>
      </c>
      <c r="Q1493" s="7">
        <f t="shared" si="117"/>
        <v>0</v>
      </c>
    </row>
    <row r="1494" spans="3:19" x14ac:dyDescent="0.3">
      <c r="C1494" s="24"/>
      <c r="D1494" s="24"/>
      <c r="E1494" s="24" t="s">
        <v>122</v>
      </c>
      <c r="O1494" s="7">
        <f>O1488*O1476</f>
        <v>993.75435813727074</v>
      </c>
      <c r="P1494" s="7">
        <f t="shared" si="117"/>
        <v>10.047960732276859</v>
      </c>
      <c r="Q1494" s="7">
        <f t="shared" si="117"/>
        <v>2.2869232238096062</v>
      </c>
      <c r="R1494" s="7">
        <f>R1488*R1476</f>
        <v>0</v>
      </c>
    </row>
    <row r="1495" spans="3:19" x14ac:dyDescent="0.3">
      <c r="C1495" s="23"/>
      <c r="D1495" s="23"/>
      <c r="E1495" s="23" t="s">
        <v>121</v>
      </c>
      <c r="P1495" s="7">
        <f>P1489*P1477</f>
        <v>795.00348650981664</v>
      </c>
      <c r="Q1495" s="7">
        <f>Q1489*Q1477</f>
        <v>8.0383685858214875</v>
      </c>
      <c r="R1495" s="7">
        <f>R1489*R1477</f>
        <v>1.8295385790476855</v>
      </c>
    </row>
    <row r="1496" spans="3:19" x14ac:dyDescent="0.3">
      <c r="C1496" s="23"/>
      <c r="D1496" s="23"/>
      <c r="E1496" s="23" t="s">
        <v>299</v>
      </c>
      <c r="Q1496" s="8">
        <f>P1495</f>
        <v>795.00348650981664</v>
      </c>
      <c r="R1496" s="8">
        <f>Q1496+Q1495</f>
        <v>803.04185509563808</v>
      </c>
      <c r="S1496" s="8">
        <f>R1496+R1495</f>
        <v>804.87139367468581</v>
      </c>
    </row>
    <row r="1497" spans="3:19" x14ac:dyDescent="0.3">
      <c r="C1497" s="23"/>
      <c r="D1497" s="23"/>
      <c r="E1497" s="23"/>
    </row>
    <row r="1498" spans="3:19" x14ac:dyDescent="0.3">
      <c r="C1498" s="105"/>
      <c r="D1498" s="105"/>
      <c r="E1498" s="105" t="s">
        <v>300</v>
      </c>
      <c r="N1498" s="8">
        <f>S1496</f>
        <v>804.87139367468581</v>
      </c>
    </row>
    <row r="1499" spans="3:19" x14ac:dyDescent="0.3">
      <c r="C1499" s="23"/>
      <c r="D1499" s="23"/>
      <c r="E1499" s="23"/>
    </row>
    <row r="1500" spans="3:19" x14ac:dyDescent="0.3">
      <c r="C1500" s="11"/>
      <c r="D1500" s="11"/>
      <c r="E1500" s="11" t="s">
        <v>140</v>
      </c>
      <c r="O1500" s="8">
        <f>SUM(O1502:O1505)</f>
        <v>9713.0287078676211</v>
      </c>
      <c r="P1500" s="8">
        <f>SUM(P1502:P1505)</f>
        <v>294.94261292344527</v>
      </c>
      <c r="Q1500" s="8">
        <f t="shared" ref="Q1500:R1500" si="118">SUM(Q1502:Q1505)</f>
        <v>228.41499130360631</v>
      </c>
      <c r="R1500" s="8">
        <f t="shared" si="118"/>
        <v>0.45738464476192103</v>
      </c>
    </row>
    <row r="1501" spans="3:19" x14ac:dyDescent="0.3">
      <c r="C1501" s="11"/>
      <c r="D1501" s="11"/>
      <c r="E1501" s="11"/>
      <c r="O1501" s="8"/>
      <c r="P1501" s="8"/>
      <c r="Q1501" s="8"/>
      <c r="R1501" s="8"/>
    </row>
    <row r="1502" spans="3:19" x14ac:dyDescent="0.3">
      <c r="E1502" t="s">
        <v>131</v>
      </c>
      <c r="G1502" s="23" t="s">
        <v>120</v>
      </c>
      <c r="O1502" s="6">
        <f>O1511*O1456</f>
        <v>9545.5626956630076</v>
      </c>
    </row>
    <row r="1503" spans="3:19" x14ac:dyDescent="0.3">
      <c r="G1503" s="23"/>
      <c r="O1503" s="6"/>
    </row>
    <row r="1504" spans="3:19" x14ac:dyDescent="0.3">
      <c r="E1504" t="s">
        <v>200</v>
      </c>
      <c r="G1504" s="23" t="s">
        <v>120</v>
      </c>
      <c r="O1504" s="6">
        <f>O1513*O1455</f>
        <v>167.46601220461432</v>
      </c>
      <c r="P1504" s="27">
        <f>P1483*P1455</f>
        <v>162.44203183847588</v>
      </c>
      <c r="Q1504" s="27">
        <f>Q1483*Q1455</f>
        <v>226.40539915715095</v>
      </c>
      <c r="R1504" s="27">
        <f>R1483*R1455</f>
        <v>0</v>
      </c>
    </row>
    <row r="1505" spans="3:25" x14ac:dyDescent="0.3">
      <c r="E1505" t="s">
        <v>200</v>
      </c>
      <c r="G1505" s="24" t="s">
        <v>122</v>
      </c>
      <c r="O1505" s="6"/>
      <c r="P1505" s="27">
        <f>P1484*(O1455+P1455)</f>
        <v>132.50058108496941</v>
      </c>
      <c r="Q1505" s="27">
        <f>Q1484*(P1455+Q1455)</f>
        <v>2.009592146455371</v>
      </c>
      <c r="R1505" s="27">
        <f>R1484*(Q1455+R1455)</f>
        <v>0.45738464476192103</v>
      </c>
    </row>
    <row r="1507" spans="3:25" x14ac:dyDescent="0.3">
      <c r="C1507" s="11"/>
      <c r="D1507" s="11"/>
      <c r="E1507" s="11" t="s">
        <v>283</v>
      </c>
      <c r="O1507" s="8">
        <f>SUM(O1504:R1505)</f>
        <v>691.28100107642786</v>
      </c>
    </row>
    <row r="1509" spans="3:25" x14ac:dyDescent="0.3">
      <c r="E1509" t="s">
        <v>202</v>
      </c>
      <c r="O1509" s="28">
        <f>O1511*(P1455+Q1455)</f>
        <v>6363.7084637753378</v>
      </c>
    </row>
    <row r="1511" spans="3:25" x14ac:dyDescent="0.3">
      <c r="C1511" s="72"/>
      <c r="D1511" s="72"/>
      <c r="E1511" s="72" t="s">
        <v>132</v>
      </c>
      <c r="O1511" s="73">
        <f>O1475*N1457</f>
        <v>248.18463008723819</v>
      </c>
    </row>
    <row r="1513" spans="3:25" x14ac:dyDescent="0.3">
      <c r="E1513" t="s">
        <v>201</v>
      </c>
      <c r="O1513" s="7">
        <f>O1475*N1458</f>
        <v>13.062348951959917</v>
      </c>
    </row>
    <row r="1518" spans="3:25" x14ac:dyDescent="0.3">
      <c r="E1518" s="152" t="s">
        <v>260</v>
      </c>
      <c r="F1518" s="153"/>
      <c r="G1518" s="153"/>
      <c r="H1518" s="153"/>
      <c r="I1518" s="153"/>
      <c r="J1518" s="153"/>
      <c r="K1518" s="153"/>
      <c r="L1518" s="153"/>
      <c r="M1518" s="153"/>
      <c r="N1518" s="153"/>
      <c r="O1518" s="153"/>
      <c r="P1518" s="153"/>
      <c r="Q1518" s="153"/>
      <c r="R1518" s="153"/>
      <c r="S1518" s="153"/>
      <c r="T1518" s="153"/>
      <c r="U1518" s="153"/>
      <c r="V1518" s="153"/>
      <c r="W1518" s="153"/>
      <c r="X1518" s="153"/>
      <c r="Y1518" s="154"/>
    </row>
    <row r="1520" spans="3:25" x14ac:dyDescent="0.3">
      <c r="E1520" t="s">
        <v>197</v>
      </c>
      <c r="N1520" s="83">
        <f>N902</f>
        <v>293.83952393549106</v>
      </c>
    </row>
    <row r="1521" spans="3:18" x14ac:dyDescent="0.3">
      <c r="E1521" t="s">
        <v>206</v>
      </c>
      <c r="N1521" s="7">
        <f>N1523*N1520</f>
        <v>293.83952393549106</v>
      </c>
      <c r="Q1521" s="77"/>
    </row>
    <row r="1522" spans="3:18" x14ac:dyDescent="0.3">
      <c r="N1522" s="7"/>
      <c r="Q1522" s="77"/>
    </row>
    <row r="1523" spans="3:18" x14ac:dyDescent="0.3">
      <c r="C1523" s="11"/>
      <c r="D1523" s="11"/>
      <c r="E1523" s="11" t="s">
        <v>134</v>
      </c>
      <c r="F1523" s="11"/>
      <c r="G1523" s="11"/>
      <c r="N1523" s="104">
        <f>$I$129</f>
        <v>1</v>
      </c>
      <c r="O1523" s="7">
        <f>O1524*O1525*O1526*O1527</f>
        <v>0</v>
      </c>
      <c r="P1523" s="11"/>
      <c r="R1523" s="11"/>
    </row>
    <row r="1524" spans="3:18" x14ac:dyDescent="0.3">
      <c r="E1524" t="s">
        <v>35</v>
      </c>
      <c r="N1524" s="89">
        <f>R865</f>
        <v>0</v>
      </c>
    </row>
    <row r="1525" spans="3:18" x14ac:dyDescent="0.3">
      <c r="E1525" t="s">
        <v>36</v>
      </c>
      <c r="N1525" s="89">
        <f>0.95</f>
        <v>0.95</v>
      </c>
    </row>
    <row r="1526" spans="3:18" x14ac:dyDescent="0.3">
      <c r="E1526" t="s">
        <v>142</v>
      </c>
      <c r="N1526" s="89">
        <v>0.99</v>
      </c>
    </row>
    <row r="1527" spans="3:18" x14ac:dyDescent="0.3">
      <c r="E1527" t="s">
        <v>37</v>
      </c>
      <c r="N1527" s="89">
        <v>0.98</v>
      </c>
    </row>
    <row r="1530" spans="3:18" x14ac:dyDescent="0.3">
      <c r="E1530" t="s">
        <v>125</v>
      </c>
      <c r="N1530" s="83">
        <f>$F$34</f>
        <v>32.051282051282051</v>
      </c>
    </row>
    <row r="1531" spans="3:18" x14ac:dyDescent="0.3">
      <c r="E1531" t="s">
        <v>135</v>
      </c>
      <c r="N1531" s="82">
        <f>N1530</f>
        <v>32.051282051282051</v>
      </c>
    </row>
    <row r="1533" spans="3:18" x14ac:dyDescent="0.3">
      <c r="E1533" t="s">
        <v>126</v>
      </c>
      <c r="N1533" s="88">
        <f>$H$52</f>
        <v>0.2</v>
      </c>
    </row>
    <row r="1534" spans="3:18" x14ac:dyDescent="0.3">
      <c r="E1534" t="s">
        <v>117</v>
      </c>
      <c r="N1534" s="7">
        <f>N1533*N1530</f>
        <v>6.4102564102564106</v>
      </c>
    </row>
    <row r="1536" spans="3:18" x14ac:dyDescent="0.3">
      <c r="E1536" t="s">
        <v>118</v>
      </c>
      <c r="N1536" s="7">
        <f>N1531</f>
        <v>32.051282051282051</v>
      </c>
    </row>
    <row r="1537" spans="3:19" x14ac:dyDescent="0.3">
      <c r="E1537" t="s">
        <v>106</v>
      </c>
      <c r="N1537" s="7">
        <f>N1530*(1+N1533)</f>
        <v>38.46153846153846</v>
      </c>
    </row>
    <row r="1538" spans="3:19" x14ac:dyDescent="0.3">
      <c r="N1538" s="7"/>
    </row>
    <row r="1539" spans="3:19" x14ac:dyDescent="0.3">
      <c r="E1539" t="s">
        <v>136</v>
      </c>
      <c r="N1539" s="7">
        <f>N1536*N1521</f>
        <v>9417.9334594708671</v>
      </c>
    </row>
    <row r="1540" spans="3:19" x14ac:dyDescent="0.3">
      <c r="E1540" t="s">
        <v>119</v>
      </c>
      <c r="N1540" s="7">
        <f>N1537*N1521</f>
        <v>11301.520151365041</v>
      </c>
    </row>
    <row r="1541" spans="3:19" x14ac:dyDescent="0.3">
      <c r="N1541" s="7"/>
    </row>
    <row r="1542" spans="3:19" x14ac:dyDescent="0.3">
      <c r="E1542" t="s">
        <v>302</v>
      </c>
      <c r="N1542" s="6">
        <f>N1534*N1521</f>
        <v>1883.5866918941736</v>
      </c>
    </row>
    <row r="1543" spans="3:19" x14ac:dyDescent="0.3">
      <c r="N1543" s="7"/>
    </row>
    <row r="1544" spans="3:19" x14ac:dyDescent="0.3">
      <c r="E1544" t="s">
        <v>127</v>
      </c>
      <c r="O1544" s="7">
        <f>N1537/3</f>
        <v>12.820512820512819</v>
      </c>
      <c r="P1544" s="7">
        <f>N1537/3</f>
        <v>12.820512820512819</v>
      </c>
      <c r="Q1544" s="7">
        <f>N1537/3</f>
        <v>12.820512820512819</v>
      </c>
    </row>
    <row r="1545" spans="3:19" x14ac:dyDescent="0.3">
      <c r="O1545" s="7">
        <f>N1537</f>
        <v>38.46153846153846</v>
      </c>
    </row>
    <row r="1546" spans="3:19" s="103" customFormat="1" x14ac:dyDescent="0.3">
      <c r="E1546" s="103" t="s">
        <v>128</v>
      </c>
      <c r="N1546" s="79">
        <f>'Summary500-600'!$C$42</f>
        <v>0.95</v>
      </c>
    </row>
    <row r="1547" spans="3:19" s="103" customFormat="1" x14ac:dyDescent="0.3">
      <c r="E1547" s="103" t="s">
        <v>129</v>
      </c>
      <c r="N1547" s="79">
        <f>1-N1546</f>
        <v>5.0000000000000044E-2</v>
      </c>
    </row>
    <row r="1549" spans="3:19" x14ac:dyDescent="0.3">
      <c r="C1549" s="71"/>
      <c r="D1549" s="71"/>
      <c r="E1549" s="71" t="s">
        <v>16</v>
      </c>
    </row>
    <row r="1550" spans="3:19" x14ac:dyDescent="0.3">
      <c r="E1550" t="s">
        <v>17</v>
      </c>
      <c r="O1550" s="74">
        <f>'Summary500-600'!$C$86</f>
        <v>0.09</v>
      </c>
      <c r="P1550" s="74">
        <f>'Summary500-600'!$C$87</f>
        <v>0.03</v>
      </c>
      <c r="Q1550" s="74">
        <f>'Summary500-600'!$C$88</f>
        <v>0.01</v>
      </c>
      <c r="R1550" s="75"/>
      <c r="S1550" s="75"/>
    </row>
    <row r="1551" spans="3:19" x14ac:dyDescent="0.3">
      <c r="E1551" t="s">
        <v>18</v>
      </c>
      <c r="G1551" s="75"/>
      <c r="P1551" s="74">
        <f>'Summary500-600'!$C$89</f>
        <v>0.8</v>
      </c>
      <c r="Q1551" s="76">
        <f>P1551</f>
        <v>0.8</v>
      </c>
      <c r="R1551" s="76">
        <f>Q1551</f>
        <v>0.8</v>
      </c>
      <c r="S1551" s="75"/>
    </row>
    <row r="1552" spans="3:19" x14ac:dyDescent="0.3">
      <c r="E1552" t="s">
        <v>19</v>
      </c>
      <c r="G1552" s="75"/>
      <c r="P1552" s="75"/>
      <c r="Q1552" s="74">
        <f>'Summary500-600'!$C$90</f>
        <v>1</v>
      </c>
      <c r="R1552" s="74">
        <f>Q1552</f>
        <v>1</v>
      </c>
      <c r="S1552" s="74">
        <f>R1552</f>
        <v>1</v>
      </c>
    </row>
    <row r="1553" spans="3:19" x14ac:dyDescent="0.3">
      <c r="E1553" t="s">
        <v>20</v>
      </c>
      <c r="Q1553" s="21"/>
    </row>
    <row r="1554" spans="3:19" x14ac:dyDescent="0.3">
      <c r="Q1554" s="21"/>
    </row>
    <row r="1555" spans="3:19" x14ac:dyDescent="0.3">
      <c r="C1555" s="11"/>
      <c r="D1555" s="11"/>
      <c r="E1555" s="11" t="s">
        <v>196</v>
      </c>
      <c r="O1555" s="90">
        <f>SUM(O1556:O1559)</f>
        <v>0.13550000000000004</v>
      </c>
      <c r="P1555" s="90">
        <f t="shared" ref="P1555:R1555" si="119">SUM(P1556:P1559)</f>
        <v>0.13550000000000001</v>
      </c>
      <c r="Q1555" s="90">
        <f t="shared" si="119"/>
        <v>7.3713349999999997E-2</v>
      </c>
      <c r="R1555" s="90">
        <f t="shared" si="119"/>
        <v>7.3589079999999987E-2</v>
      </c>
    </row>
    <row r="1556" spans="3:19" x14ac:dyDescent="0.3">
      <c r="E1556" t="s">
        <v>17</v>
      </c>
      <c r="O1556" s="22">
        <f>(1-O1550)*N1547</f>
        <v>4.550000000000004E-2</v>
      </c>
      <c r="P1556" s="22">
        <f>O1556*(1-P1550)+O1557*(1-P1551)</f>
        <v>6.213500000000003E-2</v>
      </c>
    </row>
    <row r="1557" spans="3:19" x14ac:dyDescent="0.3">
      <c r="E1557" t="s">
        <v>18</v>
      </c>
      <c r="O1557" s="22">
        <f>O1550</f>
        <v>0.09</v>
      </c>
      <c r="P1557" s="22">
        <f>O1556*P1550</f>
        <v>1.3650000000000012E-3</v>
      </c>
      <c r="Q1557" s="22">
        <f>P1556*Q1550</f>
        <v>6.2135000000000033E-4</v>
      </c>
      <c r="S1557" s="22"/>
    </row>
    <row r="1558" spans="3:19" x14ac:dyDescent="0.3">
      <c r="E1558" t="s">
        <v>19</v>
      </c>
      <c r="P1558" s="22">
        <f>O1557*P1551</f>
        <v>7.1999999999999995E-2</v>
      </c>
      <c r="Q1558" s="22">
        <f>P1557*Q1551+P1558</f>
        <v>7.309199999999999E-2</v>
      </c>
      <c r="R1558" s="22">
        <f>Q1557*R1551+Q1558</f>
        <v>7.3589079999999987E-2</v>
      </c>
    </row>
    <row r="1559" spans="3:19" x14ac:dyDescent="0.3">
      <c r="P1559" s="22"/>
      <c r="Q1559" s="22"/>
    </row>
    <row r="1560" spans="3:19" x14ac:dyDescent="0.3">
      <c r="E1560" t="s">
        <v>195</v>
      </c>
      <c r="O1560" s="22">
        <f>(1-O1550)*N1546</f>
        <v>0.86449999999999994</v>
      </c>
      <c r="Q1560" s="29">
        <f>P1556*(1-Q1550)+P1557*(1-Q1551)+P1558*(1-Q1552)</f>
        <v>6.1786650000000033E-2</v>
      </c>
      <c r="R1560" s="29">
        <f>Q1557*(1-R1551)+Q1560</f>
        <v>6.1910920000000036E-2</v>
      </c>
      <c r="S1560" s="22"/>
    </row>
    <row r="1561" spans="3:19" x14ac:dyDescent="0.3">
      <c r="O1561" s="22"/>
      <c r="Q1561" s="29"/>
      <c r="R1561" s="29"/>
      <c r="S1561" s="22"/>
    </row>
    <row r="1562" spans="3:19" x14ac:dyDescent="0.3">
      <c r="O1562" s="25" t="s">
        <v>32</v>
      </c>
    </row>
    <row r="1563" spans="3:19" x14ac:dyDescent="0.3">
      <c r="C1563" s="11"/>
      <c r="D1563" s="11"/>
      <c r="E1563" s="11" t="s">
        <v>124</v>
      </c>
      <c r="O1563" s="8">
        <f>SUM(O1564:O1567)</f>
        <v>293.83952393549106</v>
      </c>
      <c r="P1563" s="8">
        <f t="shared" ref="P1563:Q1563" si="120">SUM(P1564:P1567)</f>
        <v>39.815255493259045</v>
      </c>
      <c r="Q1563" s="8">
        <f t="shared" si="120"/>
        <v>21.659895671690233</v>
      </c>
    </row>
    <row r="1564" spans="3:19" x14ac:dyDescent="0.3">
      <c r="C1564" s="23"/>
      <c r="D1564" s="23"/>
      <c r="E1564" s="23" t="s">
        <v>120</v>
      </c>
      <c r="O1564" s="7">
        <f>N1521*(1-O1550)</f>
        <v>267.39396678129685</v>
      </c>
      <c r="P1564" s="82">
        <f>O1602*(1-P1550)+O1565*(1-P1551)</f>
        <v>18.257718819731746</v>
      </c>
    </row>
    <row r="1565" spans="3:19" x14ac:dyDescent="0.3">
      <c r="C1565" s="24"/>
      <c r="D1565" s="24"/>
      <c r="E1565" s="24" t="s">
        <v>122</v>
      </c>
      <c r="O1565" s="7">
        <f>N1521*O1550</f>
        <v>26.445557154194194</v>
      </c>
      <c r="P1565" s="7">
        <f>O1602*P1550</f>
        <v>0.40109095017194563</v>
      </c>
      <c r="Q1565" s="7">
        <f>P1564*Q1550</f>
        <v>0.18257718819731747</v>
      </c>
      <c r="R1565" s="7">
        <f>Q1564*R1550</f>
        <v>0</v>
      </c>
    </row>
    <row r="1566" spans="3:19" x14ac:dyDescent="0.3">
      <c r="C1566" s="23"/>
      <c r="D1566" s="23"/>
      <c r="E1566" s="23" t="s">
        <v>121</v>
      </c>
      <c r="P1566" s="7">
        <f>O1565*P1551</f>
        <v>21.156445723355358</v>
      </c>
      <c r="Q1566" s="7">
        <f>P1565*Q1551</f>
        <v>0.3208727601375565</v>
      </c>
      <c r="R1566" s="7">
        <f>Q1565*R1551</f>
        <v>0.14606175055785398</v>
      </c>
    </row>
    <row r="1567" spans="3:19" x14ac:dyDescent="0.3">
      <c r="C1567" s="23"/>
      <c r="D1567" s="23"/>
      <c r="E1567" s="23" t="s">
        <v>138</v>
      </c>
      <c r="P1567" s="7"/>
      <c r="Q1567" s="7">
        <f>P1566*Q1552</f>
        <v>21.156445723355358</v>
      </c>
      <c r="R1567" s="7">
        <f>Q1566*R1552+Q1567</f>
        <v>21.477318483492915</v>
      </c>
      <c r="S1567" s="7">
        <f>R1566*S1552+R1567</f>
        <v>21.623380234050771</v>
      </c>
    </row>
    <row r="1568" spans="3:19" x14ac:dyDescent="0.3">
      <c r="C1568" s="23"/>
      <c r="D1568" s="23"/>
      <c r="E1568" s="23"/>
      <c r="P1568" s="7"/>
    </row>
    <row r="1569" spans="3:19" x14ac:dyDescent="0.3">
      <c r="C1569" s="23"/>
      <c r="D1569" s="23"/>
      <c r="E1569" s="23" t="s">
        <v>137</v>
      </c>
      <c r="P1569" s="7"/>
      <c r="Q1569" s="7">
        <f>P1564*(1-Q1550)+P1565*(1-Q1551)+P1566*(1-Q1552)</f>
        <v>18.155359821568819</v>
      </c>
      <c r="R1569" s="7">
        <f>Q1565*(1-R1551)+Q1569</f>
        <v>18.191875259208281</v>
      </c>
      <c r="S1569" s="7">
        <f>R1566*(1-S1552)+R1569</f>
        <v>18.191875259208281</v>
      </c>
    </row>
    <row r="1570" spans="3:19" x14ac:dyDescent="0.3">
      <c r="C1570" s="23"/>
      <c r="D1570" s="23"/>
      <c r="E1570" s="23"/>
      <c r="P1570" s="7"/>
    </row>
    <row r="1571" spans="3:19" x14ac:dyDescent="0.3">
      <c r="C1571" s="11"/>
      <c r="D1571" s="11"/>
      <c r="E1571" s="11" t="s">
        <v>139</v>
      </c>
      <c r="O1571" s="8">
        <f>SUM(O1572:O1573)</f>
        <v>267.39396678129685</v>
      </c>
      <c r="P1571" s="8">
        <f>SUM(P1572:P1573)</f>
        <v>18.257718819731746</v>
      </c>
      <c r="Q1571" s="8">
        <f>SUM(Q1572:Q1573)</f>
        <v>18.155359821568819</v>
      </c>
      <c r="R1571" s="8">
        <f>SUM(R1572:R1573)</f>
        <v>3.6515437639463487E-2</v>
      </c>
    </row>
    <row r="1572" spans="3:19" x14ac:dyDescent="0.3">
      <c r="C1572" s="23"/>
      <c r="D1572" s="23"/>
      <c r="E1572" s="23" t="s">
        <v>120</v>
      </c>
      <c r="O1572" s="7">
        <f>O1564</f>
        <v>267.39396678129685</v>
      </c>
      <c r="P1572" s="7">
        <f>O1602*(1-P1550)</f>
        <v>12.968607388892908</v>
      </c>
      <c r="Q1572" s="7">
        <f>P1564*(1-Q1550)</f>
        <v>18.075141631534429</v>
      </c>
    </row>
    <row r="1573" spans="3:19" x14ac:dyDescent="0.3">
      <c r="C1573" s="24"/>
      <c r="D1573" s="24"/>
      <c r="E1573" s="24" t="s">
        <v>122</v>
      </c>
      <c r="P1573" s="7">
        <f>O1565*(1-P1551)</f>
        <v>5.2891114308388376</v>
      </c>
      <c r="Q1573" s="7">
        <f>P1565*(1-Q1551)</f>
        <v>8.0218190034389111E-2</v>
      </c>
      <c r="R1573" s="7">
        <f>Q1565*(1-R1551)</f>
        <v>3.6515437639463487E-2</v>
      </c>
    </row>
    <row r="1574" spans="3:19" x14ac:dyDescent="0.3">
      <c r="C1574" s="23"/>
      <c r="D1574" s="23"/>
      <c r="E1574" s="23"/>
      <c r="P1574" s="7"/>
      <c r="Q1574" s="7">
        <f>P1566*(1-Q1552)</f>
        <v>0</v>
      </c>
      <c r="R1574" s="7">
        <f>Q1566*(1-R1552)</f>
        <v>0</v>
      </c>
    </row>
    <row r="1575" spans="3:19" x14ac:dyDescent="0.3">
      <c r="C1575" s="81"/>
      <c r="D1575" s="81"/>
      <c r="E1575" s="81" t="s">
        <v>123</v>
      </c>
    </row>
    <row r="1576" spans="3:19" x14ac:dyDescent="0.3">
      <c r="C1576" s="23"/>
      <c r="D1576" s="23"/>
      <c r="E1576" s="23" t="s">
        <v>120</v>
      </c>
      <c r="O1576" s="7">
        <f>N1537-O1544</f>
        <v>25.641025641025642</v>
      </c>
      <c r="P1576" s="7">
        <f>O1576-P1544</f>
        <v>12.820512820512823</v>
      </c>
      <c r="Q1576" s="7">
        <f>P1576-Q1544</f>
        <v>0</v>
      </c>
    </row>
    <row r="1577" spans="3:19" x14ac:dyDescent="0.3">
      <c r="C1577" s="24"/>
      <c r="D1577" s="24"/>
      <c r="E1577" s="24" t="s">
        <v>122</v>
      </c>
      <c r="O1577" s="7">
        <f>N1537</f>
        <v>38.46153846153846</v>
      </c>
      <c r="P1577" s="7">
        <f>O1576</f>
        <v>25.641025641025642</v>
      </c>
      <c r="Q1577" s="7">
        <f>P1576</f>
        <v>12.820512820512823</v>
      </c>
    </row>
    <row r="1578" spans="3:19" x14ac:dyDescent="0.3">
      <c r="C1578" s="23"/>
      <c r="D1578" s="23"/>
      <c r="E1578" s="23" t="s">
        <v>121</v>
      </c>
      <c r="P1578" s="7">
        <f>O1577</f>
        <v>38.46153846153846</v>
      </c>
      <c r="Q1578" s="7">
        <f>P1577</f>
        <v>25.641025641025642</v>
      </c>
      <c r="R1578" s="7">
        <f>Q1577</f>
        <v>12.820512820512823</v>
      </c>
    </row>
    <row r="1579" spans="3:19" x14ac:dyDescent="0.3">
      <c r="C1579" s="23"/>
      <c r="D1579" s="23"/>
      <c r="E1579" s="23"/>
      <c r="Q1579" s="7"/>
      <c r="R1579" s="7"/>
    </row>
    <row r="1580" spans="3:19" x14ac:dyDescent="0.3">
      <c r="C1580" s="23"/>
      <c r="D1580" s="23"/>
      <c r="E1580" s="23"/>
      <c r="Q1580" s="7"/>
      <c r="R1580" s="7"/>
    </row>
    <row r="1581" spans="3:19" x14ac:dyDescent="0.3">
      <c r="C1581" s="11"/>
      <c r="D1581" s="11"/>
      <c r="E1581" s="11" t="s">
        <v>130</v>
      </c>
      <c r="O1581" s="8">
        <f>SUM(O1582:O1585)</f>
        <v>7873.3923721176452</v>
      </c>
      <c r="P1581" s="8">
        <f t="shared" ref="P1581:R1581" si="121">SUM(P1582:P1585)</f>
        <v>1058.0671524377142</v>
      </c>
      <c r="Q1581" s="8">
        <f t="shared" si="121"/>
        <v>824.27769075049366</v>
      </c>
      <c r="R1581" s="8">
        <f t="shared" si="121"/>
        <v>823.80954411409027</v>
      </c>
    </row>
    <row r="1582" spans="3:19" x14ac:dyDescent="0.3">
      <c r="C1582" s="23"/>
      <c r="D1582" s="23"/>
      <c r="E1582" s="23" t="s">
        <v>120</v>
      </c>
      <c r="O1582" s="7">
        <f>O1576*O1564</f>
        <v>6856.2555584947913</v>
      </c>
      <c r="P1582" s="7">
        <f t="shared" ref="P1582:Q1583" si="122">P1576*P1564</f>
        <v>234.07331820168909</v>
      </c>
      <c r="Q1582" s="7">
        <f t="shared" si="122"/>
        <v>0</v>
      </c>
    </row>
    <row r="1583" spans="3:19" x14ac:dyDescent="0.3">
      <c r="C1583" s="24"/>
      <c r="D1583" s="24"/>
      <c r="E1583" s="24" t="s">
        <v>122</v>
      </c>
      <c r="O1583" s="7">
        <f>O1577*O1565</f>
        <v>1017.1368136228535</v>
      </c>
      <c r="P1583" s="7">
        <f t="shared" si="122"/>
        <v>10.284383337742197</v>
      </c>
      <c r="Q1583" s="7">
        <f t="shared" si="122"/>
        <v>2.3407331820168911</v>
      </c>
      <c r="R1583" s="7">
        <f>R1577*R1565</f>
        <v>0</v>
      </c>
    </row>
    <row r="1584" spans="3:19" x14ac:dyDescent="0.3">
      <c r="C1584" s="23"/>
      <c r="D1584" s="23"/>
      <c r="E1584" s="23" t="s">
        <v>121</v>
      </c>
      <c r="P1584" s="7">
        <f>P1578*P1566</f>
        <v>813.70945089828297</v>
      </c>
      <c r="Q1584" s="7">
        <f>Q1578*Q1566</f>
        <v>8.2275066701937565</v>
      </c>
      <c r="R1584" s="7">
        <f>R1578*R1566</f>
        <v>1.8725865456135129</v>
      </c>
    </row>
    <row r="1585" spans="3:19" x14ac:dyDescent="0.3">
      <c r="C1585" s="23"/>
      <c r="D1585" s="23"/>
      <c r="E1585" s="23" t="s">
        <v>299</v>
      </c>
      <c r="Q1585" s="8">
        <f>P1584</f>
        <v>813.70945089828297</v>
      </c>
      <c r="R1585" s="8">
        <f>Q1585+Q1584</f>
        <v>821.93695756847671</v>
      </c>
      <c r="S1585" s="8">
        <f>R1585+R1584</f>
        <v>823.80954411409027</v>
      </c>
    </row>
    <row r="1586" spans="3:19" x14ac:dyDescent="0.3">
      <c r="C1586" s="23"/>
      <c r="D1586" s="23"/>
      <c r="E1586" s="23"/>
    </row>
    <row r="1587" spans="3:19" x14ac:dyDescent="0.3">
      <c r="C1587" s="105"/>
      <c r="D1587" s="105"/>
      <c r="E1587" s="105" t="s">
        <v>300</v>
      </c>
      <c r="N1587" s="8">
        <f>S1585</f>
        <v>823.80954411409027</v>
      </c>
      <c r="P1587" s="7"/>
    </row>
    <row r="1588" spans="3:19" x14ac:dyDescent="0.3">
      <c r="C1588" s="23"/>
      <c r="D1588" s="23"/>
      <c r="E1588" s="23"/>
    </row>
    <row r="1589" spans="3:19" x14ac:dyDescent="0.3">
      <c r="C1589" s="11"/>
      <c r="D1589" s="11"/>
      <c r="E1589" s="11" t="s">
        <v>140</v>
      </c>
      <c r="O1589" s="8">
        <f>SUM(O1591:O1594)</f>
        <v>9941.5705598174463</v>
      </c>
      <c r="P1589" s="8">
        <f>SUM(P1591:P1594)</f>
        <v>301.88243910987921</v>
      </c>
      <c r="Q1589" s="8">
        <f t="shared" ref="Q1589:R1589" si="123">SUM(Q1591:Q1594)</f>
        <v>233.78946168722058</v>
      </c>
      <c r="R1589" s="8">
        <f t="shared" si="123"/>
        <v>0.468146636403378</v>
      </c>
    </row>
    <row r="1590" spans="3:19" x14ac:dyDescent="0.3">
      <c r="C1590" s="11"/>
      <c r="D1590" s="11"/>
      <c r="E1590" s="11"/>
      <c r="O1590" s="8"/>
      <c r="P1590" s="8"/>
      <c r="Q1590" s="8"/>
      <c r="R1590" s="8"/>
    </row>
    <row r="1591" spans="3:19" x14ac:dyDescent="0.3">
      <c r="E1591" t="s">
        <v>131</v>
      </c>
      <c r="G1591" s="23" t="s">
        <v>120</v>
      </c>
      <c r="O1591" s="6">
        <f>O1600*O1545</f>
        <v>9770.164170855076</v>
      </c>
    </row>
    <row r="1592" spans="3:19" x14ac:dyDescent="0.3">
      <c r="G1592" s="23"/>
      <c r="O1592" s="6"/>
    </row>
    <row r="1593" spans="3:19" x14ac:dyDescent="0.3">
      <c r="E1593" t="s">
        <v>200</v>
      </c>
      <c r="G1593" s="23" t="s">
        <v>120</v>
      </c>
      <c r="O1593" s="6">
        <f>O1602*O1544</f>
        <v>171.4063889623699</v>
      </c>
      <c r="P1593" s="27">
        <f>P1572*P1544</f>
        <v>166.2641972934988</v>
      </c>
      <c r="Q1593" s="27">
        <f>Q1572*Q1544</f>
        <v>231.73258501967214</v>
      </c>
      <c r="R1593" s="27">
        <f>R1572*R1544</f>
        <v>0</v>
      </c>
    </row>
    <row r="1594" spans="3:19" x14ac:dyDescent="0.3">
      <c r="E1594" t="s">
        <v>200</v>
      </c>
      <c r="G1594" s="24" t="s">
        <v>122</v>
      </c>
      <c r="O1594" s="6"/>
      <c r="P1594" s="27">
        <f>P1573*(O1544+P1544)</f>
        <v>135.61824181638045</v>
      </c>
      <c r="Q1594" s="27">
        <f>Q1573*(P1544+Q1544)</f>
        <v>2.0568766675484387</v>
      </c>
      <c r="R1594" s="27">
        <f>R1573*(Q1544+R1544)</f>
        <v>0.468146636403378</v>
      </c>
    </row>
    <row r="1596" spans="3:19" x14ac:dyDescent="0.3">
      <c r="C1596" s="11"/>
      <c r="D1596" s="11"/>
      <c r="E1596" s="11" t="s">
        <v>283</v>
      </c>
      <c r="O1596" s="8">
        <f>SUM(O1593:R1594)</f>
        <v>707.546436395873</v>
      </c>
    </row>
    <row r="1598" spans="3:19" x14ac:dyDescent="0.3">
      <c r="E1598" t="s">
        <v>202</v>
      </c>
      <c r="O1598" s="28">
        <f>O1600*(P1544+Q1544)</f>
        <v>6513.4427805700507</v>
      </c>
    </row>
    <row r="1600" spans="3:19" x14ac:dyDescent="0.3">
      <c r="C1600" s="72"/>
      <c r="D1600" s="72"/>
      <c r="E1600" s="72" t="s">
        <v>132</v>
      </c>
      <c r="O1600" s="73">
        <f>O1564*N1546</f>
        <v>254.024268442232</v>
      </c>
    </row>
    <row r="1602" spans="3:25" x14ac:dyDescent="0.3">
      <c r="E1602" t="s">
        <v>201</v>
      </c>
      <c r="O1602" s="7">
        <f>O1564*N1547</f>
        <v>13.369698339064854</v>
      </c>
    </row>
    <row r="1607" spans="3:25" x14ac:dyDescent="0.3">
      <c r="E1607" s="152" t="s">
        <v>261</v>
      </c>
      <c r="F1607" s="153"/>
      <c r="G1607" s="153"/>
      <c r="H1607" s="153"/>
      <c r="I1607" s="153"/>
      <c r="J1607" s="153"/>
      <c r="K1607" s="153"/>
      <c r="L1607" s="153"/>
      <c r="M1607" s="153"/>
      <c r="N1607" s="153"/>
      <c r="O1607" s="153"/>
      <c r="P1607" s="153"/>
      <c r="Q1607" s="153"/>
      <c r="R1607" s="153"/>
      <c r="S1607" s="153"/>
      <c r="T1607" s="153"/>
      <c r="U1607" s="153"/>
      <c r="V1607" s="153"/>
      <c r="W1607" s="153"/>
      <c r="X1607" s="153"/>
      <c r="Y1607" s="154"/>
    </row>
    <row r="1609" spans="3:25" x14ac:dyDescent="0.3">
      <c r="E1609" t="s">
        <v>197</v>
      </c>
      <c r="N1609" s="83">
        <f>N902</f>
        <v>293.83952393549106</v>
      </c>
    </row>
    <row r="1610" spans="3:25" x14ac:dyDescent="0.3">
      <c r="E1610" t="s">
        <v>206</v>
      </c>
      <c r="N1610" s="7">
        <f>N1612*N1609</f>
        <v>293.83952393549106</v>
      </c>
      <c r="Q1610" s="77"/>
    </row>
    <row r="1611" spans="3:25" x14ac:dyDescent="0.3">
      <c r="N1611" s="7"/>
      <c r="Q1611" s="77"/>
    </row>
    <row r="1612" spans="3:25" x14ac:dyDescent="0.3">
      <c r="C1612" s="11"/>
      <c r="D1612" s="11"/>
      <c r="E1612" s="11" t="s">
        <v>134</v>
      </c>
      <c r="F1612" s="11"/>
      <c r="G1612" s="11"/>
      <c r="N1612" s="104">
        <f>$I$129</f>
        <v>1</v>
      </c>
      <c r="O1612" s="7">
        <f>O1613*O1614*O1615*O1616</f>
        <v>0</v>
      </c>
      <c r="P1612" s="11"/>
      <c r="R1612" s="11"/>
    </row>
    <row r="1613" spans="3:25" x14ac:dyDescent="0.3">
      <c r="E1613" t="s">
        <v>35</v>
      </c>
      <c r="N1613" s="89">
        <f>R954</f>
        <v>0</v>
      </c>
    </row>
    <row r="1614" spans="3:25" x14ac:dyDescent="0.3">
      <c r="E1614" t="s">
        <v>36</v>
      </c>
      <c r="N1614" s="89">
        <f>0.95</f>
        <v>0.95</v>
      </c>
    </row>
    <row r="1615" spans="3:25" x14ac:dyDescent="0.3">
      <c r="E1615" t="s">
        <v>142</v>
      </c>
      <c r="N1615" s="89">
        <v>0.99</v>
      </c>
    </row>
    <row r="1616" spans="3:25" x14ac:dyDescent="0.3">
      <c r="E1616" t="s">
        <v>37</v>
      </c>
      <c r="N1616" s="89">
        <v>0.98</v>
      </c>
    </row>
    <row r="1619" spans="5:14" x14ac:dyDescent="0.3">
      <c r="E1619" t="s">
        <v>125</v>
      </c>
      <c r="N1619" s="83">
        <f>$F$34</f>
        <v>32.051282051282051</v>
      </c>
    </row>
    <row r="1620" spans="5:14" x14ac:dyDescent="0.3">
      <c r="E1620" t="s">
        <v>135</v>
      </c>
      <c r="N1620" s="82">
        <f>N1619</f>
        <v>32.051282051282051</v>
      </c>
    </row>
    <row r="1622" spans="5:14" x14ac:dyDescent="0.3">
      <c r="E1622" t="s">
        <v>126</v>
      </c>
      <c r="N1622" s="88">
        <f>$H$52</f>
        <v>0.2</v>
      </c>
    </row>
    <row r="1623" spans="5:14" x14ac:dyDescent="0.3">
      <c r="E1623" t="s">
        <v>117</v>
      </c>
      <c r="N1623" s="7">
        <f>N1622*N1619</f>
        <v>6.4102564102564106</v>
      </c>
    </row>
    <row r="1625" spans="5:14" x14ac:dyDescent="0.3">
      <c r="E1625" t="s">
        <v>118</v>
      </c>
      <c r="N1625" s="7">
        <f>N1620</f>
        <v>32.051282051282051</v>
      </c>
    </row>
    <row r="1626" spans="5:14" x14ac:dyDescent="0.3">
      <c r="E1626" t="s">
        <v>106</v>
      </c>
      <c r="N1626" s="7">
        <f>N1619*(1+N1622)</f>
        <v>38.46153846153846</v>
      </c>
    </row>
    <row r="1627" spans="5:14" x14ac:dyDescent="0.3">
      <c r="N1627" s="7"/>
    </row>
    <row r="1628" spans="5:14" x14ac:dyDescent="0.3">
      <c r="E1628" t="s">
        <v>136</v>
      </c>
      <c r="N1628" s="7">
        <f>N1625*N1610</f>
        <v>9417.9334594708671</v>
      </c>
    </row>
    <row r="1629" spans="5:14" x14ac:dyDescent="0.3">
      <c r="E1629" t="s">
        <v>119</v>
      </c>
      <c r="N1629" s="7">
        <f>N1626*N1610</f>
        <v>11301.520151365041</v>
      </c>
    </row>
    <row r="1630" spans="5:14" x14ac:dyDescent="0.3">
      <c r="N1630" s="7"/>
    </row>
    <row r="1631" spans="5:14" x14ac:dyDescent="0.3">
      <c r="E1631" t="s">
        <v>302</v>
      </c>
      <c r="N1631" s="6">
        <f>N1623*N1610</f>
        <v>1883.5866918941736</v>
      </c>
    </row>
    <row r="1632" spans="5:14" x14ac:dyDescent="0.3">
      <c r="N1632" s="7"/>
    </row>
    <row r="1633" spans="3:19" x14ac:dyDescent="0.3">
      <c r="E1633" t="s">
        <v>127</v>
      </c>
      <c r="O1633" s="7">
        <f>N1626/3</f>
        <v>12.820512820512819</v>
      </c>
      <c r="P1633" s="7">
        <f>N1626/3</f>
        <v>12.820512820512819</v>
      </c>
      <c r="Q1633" s="7">
        <f>N1626/3</f>
        <v>12.820512820512819</v>
      </c>
    </row>
    <row r="1634" spans="3:19" x14ac:dyDescent="0.3">
      <c r="O1634" s="7">
        <f>N1626</f>
        <v>38.46153846153846</v>
      </c>
    </row>
    <row r="1635" spans="3:19" s="103" customFormat="1" x14ac:dyDescent="0.3">
      <c r="E1635" s="103" t="s">
        <v>128</v>
      </c>
      <c r="N1635" s="79">
        <f>'Summary500-600'!$C$42</f>
        <v>0.95</v>
      </c>
    </row>
    <row r="1636" spans="3:19" s="103" customFormat="1" x14ac:dyDescent="0.3">
      <c r="E1636" s="103" t="s">
        <v>129</v>
      </c>
      <c r="N1636" s="79">
        <f>1-N1635</f>
        <v>5.0000000000000044E-2</v>
      </c>
    </row>
    <row r="1638" spans="3:19" x14ac:dyDescent="0.3">
      <c r="C1638" s="71"/>
      <c r="D1638" s="71"/>
      <c r="E1638" s="71" t="s">
        <v>16</v>
      </c>
    </row>
    <row r="1639" spans="3:19" x14ac:dyDescent="0.3">
      <c r="E1639" t="s">
        <v>17</v>
      </c>
      <c r="O1639" s="74">
        <f>'Summary500-600'!$C$86</f>
        <v>0.09</v>
      </c>
      <c r="P1639" s="74">
        <f>'Summary500-600'!$C$87</f>
        <v>0.03</v>
      </c>
      <c r="Q1639" s="74">
        <f>'Summary500-600'!$C$88</f>
        <v>0.01</v>
      </c>
      <c r="R1639" s="75"/>
      <c r="S1639" s="75"/>
    </row>
    <row r="1640" spans="3:19" x14ac:dyDescent="0.3">
      <c r="E1640" t="s">
        <v>18</v>
      </c>
      <c r="G1640" s="75"/>
      <c r="P1640" s="74">
        <f>'Summary500-600'!$C$89</f>
        <v>0.8</v>
      </c>
      <c r="Q1640" s="76">
        <f>P1640</f>
        <v>0.8</v>
      </c>
      <c r="R1640" s="76">
        <f>Q1640</f>
        <v>0.8</v>
      </c>
      <c r="S1640" s="75"/>
    </row>
    <row r="1641" spans="3:19" x14ac:dyDescent="0.3">
      <c r="E1641" t="s">
        <v>19</v>
      </c>
      <c r="G1641" s="75"/>
      <c r="P1641" s="75"/>
      <c r="Q1641" s="74">
        <f>'Summary500-600'!$C$90</f>
        <v>1</v>
      </c>
      <c r="R1641" s="74">
        <f>Q1641</f>
        <v>1</v>
      </c>
      <c r="S1641" s="74">
        <f>R1641</f>
        <v>1</v>
      </c>
    </row>
    <row r="1642" spans="3:19" x14ac:dyDescent="0.3">
      <c r="E1642" t="s">
        <v>20</v>
      </c>
      <c r="Q1642" s="21"/>
    </row>
    <row r="1643" spans="3:19" x14ac:dyDescent="0.3">
      <c r="Q1643" s="21"/>
    </row>
    <row r="1644" spans="3:19" x14ac:dyDescent="0.3">
      <c r="C1644" s="11"/>
      <c r="D1644" s="11"/>
      <c r="E1644" s="11" t="s">
        <v>196</v>
      </c>
      <c r="O1644" s="90">
        <f>SUM(O1645:O1648)</f>
        <v>0.13550000000000004</v>
      </c>
      <c r="P1644" s="90">
        <f t="shared" ref="P1644:R1644" si="124">SUM(P1645:P1648)</f>
        <v>0.13550000000000001</v>
      </c>
      <c r="Q1644" s="90">
        <f t="shared" si="124"/>
        <v>7.3713349999999997E-2</v>
      </c>
      <c r="R1644" s="90">
        <f t="shared" si="124"/>
        <v>7.3589079999999987E-2</v>
      </c>
    </row>
    <row r="1645" spans="3:19" x14ac:dyDescent="0.3">
      <c r="E1645" t="s">
        <v>17</v>
      </c>
      <c r="O1645" s="22">
        <f>(1-O1639)*N1636</f>
        <v>4.550000000000004E-2</v>
      </c>
      <c r="P1645" s="22">
        <f>O1645*(1-P1639)+O1646*(1-P1640)</f>
        <v>6.213500000000003E-2</v>
      </c>
    </row>
    <row r="1646" spans="3:19" x14ac:dyDescent="0.3">
      <c r="E1646" t="s">
        <v>18</v>
      </c>
      <c r="O1646" s="22">
        <f>O1639</f>
        <v>0.09</v>
      </c>
      <c r="P1646" s="22">
        <f>O1645*P1639</f>
        <v>1.3650000000000012E-3</v>
      </c>
      <c r="Q1646" s="22">
        <f>P1645*Q1639</f>
        <v>6.2135000000000033E-4</v>
      </c>
      <c r="S1646" s="22"/>
    </row>
    <row r="1647" spans="3:19" x14ac:dyDescent="0.3">
      <c r="E1647" t="s">
        <v>19</v>
      </c>
      <c r="P1647" s="22">
        <f>O1646*P1640</f>
        <v>7.1999999999999995E-2</v>
      </c>
      <c r="Q1647" s="22">
        <f>P1646*Q1640+P1647</f>
        <v>7.309199999999999E-2</v>
      </c>
      <c r="R1647" s="22">
        <f>Q1646*R1640+Q1647</f>
        <v>7.3589079999999987E-2</v>
      </c>
    </row>
    <row r="1648" spans="3:19" x14ac:dyDescent="0.3">
      <c r="P1648" s="22"/>
      <c r="Q1648" s="22"/>
    </row>
    <row r="1649" spans="3:19" x14ac:dyDescent="0.3">
      <c r="E1649" t="s">
        <v>195</v>
      </c>
      <c r="O1649" s="22">
        <f>(1-O1639)*N1635</f>
        <v>0.86449999999999994</v>
      </c>
      <c r="Q1649" s="29">
        <f>P1645*(1-Q1639)+P1646*(1-Q1640)+P1647*(1-Q1641)</f>
        <v>6.1786650000000033E-2</v>
      </c>
      <c r="R1649" s="29">
        <f>Q1646*(1-R1640)+Q1649</f>
        <v>6.1910920000000036E-2</v>
      </c>
      <c r="S1649" s="22"/>
    </row>
    <row r="1650" spans="3:19" x14ac:dyDescent="0.3">
      <c r="O1650" s="22"/>
      <c r="Q1650" s="29"/>
      <c r="R1650" s="29"/>
      <c r="S1650" s="22"/>
    </row>
    <row r="1651" spans="3:19" x14ac:dyDescent="0.3">
      <c r="O1651" s="25" t="s">
        <v>32</v>
      </c>
    </row>
    <row r="1652" spans="3:19" x14ac:dyDescent="0.3">
      <c r="C1652" s="11"/>
      <c r="D1652" s="11"/>
      <c r="E1652" s="11" t="s">
        <v>124</v>
      </c>
      <c r="O1652" s="8">
        <f>SUM(O1653:O1656)</f>
        <v>293.83952393549106</v>
      </c>
      <c r="P1652" s="8">
        <f t="shared" ref="P1652:Q1652" si="125">SUM(P1653:P1656)</f>
        <v>39.815255493259045</v>
      </c>
      <c r="Q1652" s="8">
        <f t="shared" si="125"/>
        <v>21.659895671690233</v>
      </c>
    </row>
    <row r="1653" spans="3:19" x14ac:dyDescent="0.3">
      <c r="C1653" s="23"/>
      <c r="D1653" s="23"/>
      <c r="E1653" s="23" t="s">
        <v>120</v>
      </c>
      <c r="O1653" s="7">
        <f>N1610*(1-O1639)</f>
        <v>267.39396678129685</v>
      </c>
      <c r="P1653" s="82">
        <f>O1691*(1-P1639)+O1654*(1-P1640)</f>
        <v>18.257718819731746</v>
      </c>
    </row>
    <row r="1654" spans="3:19" x14ac:dyDescent="0.3">
      <c r="C1654" s="24"/>
      <c r="D1654" s="24"/>
      <c r="E1654" s="24" t="s">
        <v>122</v>
      </c>
      <c r="O1654" s="7">
        <f>N1610*O1639</f>
        <v>26.445557154194194</v>
      </c>
      <c r="P1654" s="7">
        <f>O1691*P1639</f>
        <v>0.40109095017194563</v>
      </c>
      <c r="Q1654" s="7">
        <f>P1653*Q1639</f>
        <v>0.18257718819731747</v>
      </c>
      <c r="R1654" s="7">
        <f>Q1653*R1639</f>
        <v>0</v>
      </c>
    </row>
    <row r="1655" spans="3:19" x14ac:dyDescent="0.3">
      <c r="C1655" s="23"/>
      <c r="D1655" s="23"/>
      <c r="E1655" s="23" t="s">
        <v>121</v>
      </c>
      <c r="P1655" s="7">
        <f>O1654*P1640</f>
        <v>21.156445723355358</v>
      </c>
      <c r="Q1655" s="7">
        <f>P1654*Q1640</f>
        <v>0.3208727601375565</v>
      </c>
      <c r="R1655" s="7">
        <f>Q1654*R1640</f>
        <v>0.14606175055785398</v>
      </c>
    </row>
    <row r="1656" spans="3:19" x14ac:dyDescent="0.3">
      <c r="C1656" s="23"/>
      <c r="D1656" s="23"/>
      <c r="E1656" s="23" t="s">
        <v>138</v>
      </c>
      <c r="P1656" s="7"/>
      <c r="Q1656" s="7">
        <f>P1655*Q1641</f>
        <v>21.156445723355358</v>
      </c>
      <c r="R1656" s="7">
        <f>Q1655*R1641+Q1656</f>
        <v>21.477318483492915</v>
      </c>
      <c r="S1656" s="7">
        <f>R1655*S1641+R1656</f>
        <v>21.623380234050771</v>
      </c>
    </row>
    <row r="1657" spans="3:19" x14ac:dyDescent="0.3">
      <c r="C1657" s="23"/>
      <c r="D1657" s="23"/>
      <c r="E1657" s="23"/>
      <c r="P1657" s="7"/>
    </row>
    <row r="1658" spans="3:19" x14ac:dyDescent="0.3">
      <c r="C1658" s="23"/>
      <c r="D1658" s="23"/>
      <c r="E1658" s="23" t="s">
        <v>137</v>
      </c>
      <c r="P1658" s="7"/>
      <c r="Q1658" s="7">
        <f>P1653*(1-Q1639)+P1654*(1-Q1640)+P1655*(1-Q1641)</f>
        <v>18.155359821568819</v>
      </c>
      <c r="R1658" s="7">
        <f>Q1654*(1-R1640)+Q1658</f>
        <v>18.191875259208281</v>
      </c>
      <c r="S1658" s="7">
        <f>R1655*(1-S1641)+R1658</f>
        <v>18.191875259208281</v>
      </c>
    </row>
    <row r="1659" spans="3:19" x14ac:dyDescent="0.3">
      <c r="C1659" s="23"/>
      <c r="D1659" s="23"/>
      <c r="E1659" s="23"/>
      <c r="P1659" s="7"/>
    </row>
    <row r="1660" spans="3:19" x14ac:dyDescent="0.3">
      <c r="C1660" s="11"/>
      <c r="D1660" s="11"/>
      <c r="E1660" s="11" t="s">
        <v>139</v>
      </c>
      <c r="O1660" s="8">
        <f>SUM(O1661:O1662)</f>
        <v>267.39396678129685</v>
      </c>
      <c r="P1660" s="8">
        <f>SUM(P1661:P1662)</f>
        <v>18.257718819731746</v>
      </c>
      <c r="Q1660" s="8">
        <f>SUM(Q1661:Q1662)</f>
        <v>18.155359821568819</v>
      </c>
      <c r="R1660" s="8">
        <f>SUM(R1661:R1662)</f>
        <v>3.6515437639463487E-2</v>
      </c>
    </row>
    <row r="1661" spans="3:19" x14ac:dyDescent="0.3">
      <c r="C1661" s="23"/>
      <c r="D1661" s="23"/>
      <c r="E1661" s="23" t="s">
        <v>120</v>
      </c>
      <c r="O1661" s="7">
        <f>O1653</f>
        <v>267.39396678129685</v>
      </c>
      <c r="P1661" s="7">
        <f>O1691*(1-P1639)</f>
        <v>12.968607388892908</v>
      </c>
      <c r="Q1661" s="7">
        <f>P1653*(1-Q1639)</f>
        <v>18.075141631534429</v>
      </c>
    </row>
    <row r="1662" spans="3:19" x14ac:dyDescent="0.3">
      <c r="C1662" s="24"/>
      <c r="D1662" s="24"/>
      <c r="E1662" s="24" t="s">
        <v>122</v>
      </c>
      <c r="P1662" s="7">
        <f>O1654*(1-P1640)</f>
        <v>5.2891114308388376</v>
      </c>
      <c r="Q1662" s="7">
        <f>P1654*(1-Q1640)</f>
        <v>8.0218190034389111E-2</v>
      </c>
      <c r="R1662" s="7">
        <f>Q1654*(1-R1640)</f>
        <v>3.6515437639463487E-2</v>
      </c>
    </row>
    <row r="1663" spans="3:19" x14ac:dyDescent="0.3">
      <c r="C1663" s="23"/>
      <c r="D1663" s="23"/>
      <c r="E1663" s="23"/>
      <c r="P1663" s="7"/>
      <c r="Q1663" s="7">
        <f>P1655*(1-Q1641)</f>
        <v>0</v>
      </c>
      <c r="R1663" s="7">
        <f>Q1655*(1-R1641)</f>
        <v>0</v>
      </c>
    </row>
    <row r="1664" spans="3:19" x14ac:dyDescent="0.3">
      <c r="C1664" s="81"/>
      <c r="D1664" s="81"/>
      <c r="E1664" s="81" t="s">
        <v>123</v>
      </c>
    </row>
    <row r="1665" spans="3:19" x14ac:dyDescent="0.3">
      <c r="C1665" s="23"/>
      <c r="D1665" s="23"/>
      <c r="E1665" s="23" t="s">
        <v>120</v>
      </c>
      <c r="O1665" s="7">
        <f>N1626-O1633</f>
        <v>25.641025641025642</v>
      </c>
      <c r="P1665" s="7">
        <f>O1665-P1633</f>
        <v>12.820512820512823</v>
      </c>
      <c r="Q1665" s="7">
        <f>P1665-Q1633</f>
        <v>0</v>
      </c>
    </row>
    <row r="1666" spans="3:19" x14ac:dyDescent="0.3">
      <c r="C1666" s="24"/>
      <c r="D1666" s="24"/>
      <c r="E1666" s="24" t="s">
        <v>122</v>
      </c>
      <c r="O1666" s="7">
        <f>N1626</f>
        <v>38.46153846153846</v>
      </c>
      <c r="P1666" s="7">
        <f>O1665</f>
        <v>25.641025641025642</v>
      </c>
      <c r="Q1666" s="7">
        <f>P1665</f>
        <v>12.820512820512823</v>
      </c>
    </row>
    <row r="1667" spans="3:19" x14ac:dyDescent="0.3">
      <c r="C1667" s="23"/>
      <c r="D1667" s="23"/>
      <c r="E1667" s="23" t="s">
        <v>121</v>
      </c>
      <c r="P1667" s="7">
        <f>O1666</f>
        <v>38.46153846153846</v>
      </c>
      <c r="Q1667" s="7">
        <f>P1666</f>
        <v>25.641025641025642</v>
      </c>
      <c r="R1667" s="7">
        <f>Q1666</f>
        <v>12.820512820512823</v>
      </c>
    </row>
    <row r="1668" spans="3:19" x14ac:dyDescent="0.3">
      <c r="C1668" s="23"/>
      <c r="D1668" s="23"/>
      <c r="E1668" s="23"/>
      <c r="Q1668" s="7"/>
      <c r="R1668" s="7"/>
    </row>
    <row r="1669" spans="3:19" x14ac:dyDescent="0.3">
      <c r="C1669" s="23"/>
      <c r="D1669" s="23"/>
      <c r="E1669" s="23"/>
      <c r="Q1669" s="7"/>
      <c r="R1669" s="7"/>
    </row>
    <row r="1670" spans="3:19" x14ac:dyDescent="0.3">
      <c r="C1670" s="11"/>
      <c r="D1670" s="11"/>
      <c r="E1670" s="11" t="s">
        <v>130</v>
      </c>
      <c r="O1670" s="8">
        <f>SUM(O1671:O1674)</f>
        <v>7873.3923721176452</v>
      </c>
      <c r="P1670" s="8">
        <f t="shared" ref="P1670:R1670" si="126">SUM(P1671:P1674)</f>
        <v>1058.0671524377142</v>
      </c>
      <c r="Q1670" s="8">
        <f t="shared" si="126"/>
        <v>824.27769075049366</v>
      </c>
      <c r="R1670" s="8">
        <f t="shared" si="126"/>
        <v>823.80954411409027</v>
      </c>
    </row>
    <row r="1671" spans="3:19" x14ac:dyDescent="0.3">
      <c r="C1671" s="23"/>
      <c r="D1671" s="23"/>
      <c r="E1671" s="23" t="s">
        <v>120</v>
      </c>
      <c r="O1671" s="7">
        <f>O1665*O1653</f>
        <v>6856.2555584947913</v>
      </c>
      <c r="P1671" s="7">
        <f t="shared" ref="P1671:Q1672" si="127">P1665*P1653</f>
        <v>234.07331820168909</v>
      </c>
      <c r="Q1671" s="7">
        <f t="shared" si="127"/>
        <v>0</v>
      </c>
    </row>
    <row r="1672" spans="3:19" x14ac:dyDescent="0.3">
      <c r="C1672" s="24"/>
      <c r="D1672" s="24"/>
      <c r="E1672" s="24" t="s">
        <v>122</v>
      </c>
      <c r="O1672" s="7">
        <f>O1666*O1654</f>
        <v>1017.1368136228535</v>
      </c>
      <c r="P1672" s="7">
        <f t="shared" si="127"/>
        <v>10.284383337742197</v>
      </c>
      <c r="Q1672" s="7">
        <f t="shared" si="127"/>
        <v>2.3407331820168911</v>
      </c>
      <c r="R1672" s="7">
        <f>R1666*R1654</f>
        <v>0</v>
      </c>
    </row>
    <row r="1673" spans="3:19" x14ac:dyDescent="0.3">
      <c r="C1673" s="23"/>
      <c r="D1673" s="23"/>
      <c r="E1673" s="23" t="s">
        <v>121</v>
      </c>
      <c r="P1673" s="7">
        <f>P1667*P1655</f>
        <v>813.70945089828297</v>
      </c>
      <c r="Q1673" s="7">
        <f>Q1667*Q1655</f>
        <v>8.2275066701937565</v>
      </c>
      <c r="R1673" s="7">
        <f>R1667*R1655</f>
        <v>1.8725865456135129</v>
      </c>
    </row>
    <row r="1674" spans="3:19" x14ac:dyDescent="0.3">
      <c r="C1674" s="23"/>
      <c r="D1674" s="23"/>
      <c r="E1674" s="23" t="s">
        <v>299</v>
      </c>
      <c r="Q1674" s="8">
        <f>P1673</f>
        <v>813.70945089828297</v>
      </c>
      <c r="R1674" s="8">
        <f>Q1674+Q1673</f>
        <v>821.93695756847671</v>
      </c>
      <c r="S1674" s="8">
        <f>R1674+R1673</f>
        <v>823.80954411409027</v>
      </c>
    </row>
    <row r="1675" spans="3:19" x14ac:dyDescent="0.3">
      <c r="C1675" s="23"/>
      <c r="D1675" s="23"/>
      <c r="E1675" s="23"/>
    </row>
    <row r="1676" spans="3:19" x14ac:dyDescent="0.3">
      <c r="C1676" s="105"/>
      <c r="D1676" s="105"/>
      <c r="E1676" s="105" t="s">
        <v>300</v>
      </c>
      <c r="N1676" s="8">
        <f>S1674</f>
        <v>823.80954411409027</v>
      </c>
    </row>
    <row r="1677" spans="3:19" x14ac:dyDescent="0.3">
      <c r="C1677" s="23"/>
      <c r="D1677" s="23"/>
      <c r="E1677" s="23"/>
    </row>
    <row r="1678" spans="3:19" x14ac:dyDescent="0.3">
      <c r="C1678" s="11"/>
      <c r="D1678" s="11"/>
      <c r="E1678" s="11" t="s">
        <v>140</v>
      </c>
      <c r="O1678" s="8">
        <f>SUM(O1680:O1683)</f>
        <v>9941.5705598174463</v>
      </c>
      <c r="P1678" s="8">
        <f>SUM(P1680:P1683)</f>
        <v>301.88243910987921</v>
      </c>
      <c r="Q1678" s="8">
        <f t="shared" ref="Q1678:R1678" si="128">SUM(Q1680:Q1683)</f>
        <v>233.78946168722058</v>
      </c>
      <c r="R1678" s="8">
        <f t="shared" si="128"/>
        <v>0.468146636403378</v>
      </c>
    </row>
    <row r="1679" spans="3:19" x14ac:dyDescent="0.3">
      <c r="C1679" s="11"/>
      <c r="D1679" s="11"/>
      <c r="E1679" s="11"/>
      <c r="O1679" s="8"/>
      <c r="P1679" s="8"/>
      <c r="Q1679" s="8"/>
      <c r="R1679" s="8"/>
    </row>
    <row r="1680" spans="3:19" x14ac:dyDescent="0.3">
      <c r="E1680" t="s">
        <v>131</v>
      </c>
      <c r="G1680" s="23" t="s">
        <v>120</v>
      </c>
      <c r="O1680" s="6">
        <f>O1689*O1634</f>
        <v>9770.164170855076</v>
      </c>
    </row>
    <row r="1681" spans="3:34" x14ac:dyDescent="0.3">
      <c r="G1681" s="23"/>
      <c r="O1681" s="6"/>
    </row>
    <row r="1682" spans="3:34" x14ac:dyDescent="0.3">
      <c r="E1682" t="s">
        <v>200</v>
      </c>
      <c r="G1682" s="23" t="s">
        <v>120</v>
      </c>
      <c r="O1682" s="6">
        <f>O1691*O1633</f>
        <v>171.4063889623699</v>
      </c>
      <c r="P1682" s="27">
        <f>P1661*P1633</f>
        <v>166.2641972934988</v>
      </c>
      <c r="Q1682" s="27">
        <f>Q1661*Q1633</f>
        <v>231.73258501967214</v>
      </c>
      <c r="R1682" s="27">
        <f>R1661*R1633</f>
        <v>0</v>
      </c>
    </row>
    <row r="1683" spans="3:34" x14ac:dyDescent="0.3">
      <c r="E1683" t="s">
        <v>200</v>
      </c>
      <c r="G1683" s="24" t="s">
        <v>122</v>
      </c>
      <c r="O1683" s="6"/>
      <c r="P1683" s="27">
        <f>P1662*(O1633+P1633)</f>
        <v>135.61824181638045</v>
      </c>
      <c r="Q1683" s="27">
        <f>Q1662*(P1633+Q1633)</f>
        <v>2.0568766675484387</v>
      </c>
      <c r="R1683" s="27">
        <f>R1662*(Q1633+R1633)</f>
        <v>0.468146636403378</v>
      </c>
    </row>
    <row r="1685" spans="3:34" x14ac:dyDescent="0.3">
      <c r="C1685" s="11"/>
      <c r="D1685" s="11"/>
      <c r="E1685" s="11" t="s">
        <v>283</v>
      </c>
      <c r="O1685" s="8">
        <f>SUM(O1682:R1683)</f>
        <v>707.546436395873</v>
      </c>
    </row>
    <row r="1687" spans="3:34" x14ac:dyDescent="0.3">
      <c r="E1687" t="s">
        <v>202</v>
      </c>
      <c r="O1687" s="28">
        <f>O1689*(P1633+Q1633)</f>
        <v>6513.4427805700507</v>
      </c>
    </row>
    <row r="1689" spans="3:34" x14ac:dyDescent="0.3">
      <c r="C1689" s="72"/>
      <c r="D1689" s="72"/>
      <c r="E1689" s="72" t="s">
        <v>132</v>
      </c>
      <c r="O1689" s="73">
        <f>O1653*N1635</f>
        <v>254.024268442232</v>
      </c>
    </row>
    <row r="1691" spans="3:34" x14ac:dyDescent="0.3">
      <c r="E1691" t="s">
        <v>201</v>
      </c>
      <c r="O1691" s="7">
        <f>O1653*N1636</f>
        <v>13.369698339064854</v>
      </c>
    </row>
    <row r="1694" spans="3:34" x14ac:dyDescent="0.3">
      <c r="E1694" s="160" t="s">
        <v>263</v>
      </c>
      <c r="F1694" s="161"/>
      <c r="G1694" s="161"/>
      <c r="H1694" s="161"/>
      <c r="I1694" s="161"/>
      <c r="J1694" s="161"/>
      <c r="K1694" s="161"/>
      <c r="L1694" s="161"/>
      <c r="M1694" s="161"/>
      <c r="N1694" s="161"/>
      <c r="O1694" s="161"/>
      <c r="P1694" s="161"/>
      <c r="Q1694" s="161"/>
      <c r="R1694" s="161"/>
      <c r="S1694" s="161"/>
      <c r="T1694" s="161"/>
      <c r="U1694" s="161"/>
      <c r="V1694" s="161"/>
      <c r="W1694" s="161"/>
      <c r="X1694" s="161"/>
      <c r="Y1694" s="161"/>
      <c r="Z1694" s="161"/>
      <c r="AA1694" s="161"/>
      <c r="AB1694" s="161"/>
      <c r="AC1694" s="161"/>
      <c r="AD1694" s="161"/>
      <c r="AE1694" s="161"/>
      <c r="AF1694" s="161"/>
      <c r="AG1694" s="161"/>
      <c r="AH1694" s="162"/>
    </row>
    <row r="1696" spans="3:34" x14ac:dyDescent="0.3">
      <c r="E1696" t="s">
        <v>197</v>
      </c>
      <c r="O1696" s="83">
        <f>K649</f>
        <v>4685.139224999999</v>
      </c>
    </row>
    <row r="1697" spans="3:19" x14ac:dyDescent="0.3">
      <c r="E1697" t="s">
        <v>206</v>
      </c>
      <c r="O1697" s="7">
        <f>O1699*O1696</f>
        <v>287.08459235076708</v>
      </c>
      <c r="R1697" s="77"/>
    </row>
    <row r="1698" spans="3:19" x14ac:dyDescent="0.3">
      <c r="O1698" s="7"/>
      <c r="R1698" s="77"/>
    </row>
    <row r="1699" spans="3:19" x14ac:dyDescent="0.3">
      <c r="C1699" s="11"/>
      <c r="D1699" s="11"/>
      <c r="E1699" s="11" t="s">
        <v>134</v>
      </c>
      <c r="F1699" s="11"/>
      <c r="G1699" s="11"/>
      <c r="O1699" s="97">
        <f>O1700*O1701*O1702*O1703</f>
        <v>6.1275573374400025E-2</v>
      </c>
      <c r="P1699" s="7">
        <f>P1700*P1701*P1702*P1703</f>
        <v>0</v>
      </c>
      <c r="Q1699" s="11"/>
      <c r="S1699" s="11"/>
    </row>
    <row r="1700" spans="3:19" x14ac:dyDescent="0.3">
      <c r="E1700" t="s">
        <v>35</v>
      </c>
      <c r="O1700" s="97">
        <f>O688</f>
        <v>6.6481760000000029E-2</v>
      </c>
    </row>
    <row r="1701" spans="3:19" x14ac:dyDescent="0.3">
      <c r="E1701" t="s">
        <v>36</v>
      </c>
      <c r="O1701" s="86">
        <f>0.95</f>
        <v>0.95</v>
      </c>
    </row>
    <row r="1702" spans="3:19" x14ac:dyDescent="0.3">
      <c r="E1702" t="s">
        <v>142</v>
      </c>
      <c r="O1702" s="86">
        <v>0.99</v>
      </c>
    </row>
    <row r="1703" spans="3:19" x14ac:dyDescent="0.3">
      <c r="E1703" t="s">
        <v>37</v>
      </c>
      <c r="O1703" s="86">
        <v>0.98</v>
      </c>
    </row>
    <row r="1706" spans="3:19" x14ac:dyDescent="0.3">
      <c r="E1706" t="s">
        <v>125</v>
      </c>
      <c r="O1706" s="83">
        <f>$F$34</f>
        <v>32.051282051282051</v>
      </c>
    </row>
    <row r="1707" spans="3:19" x14ac:dyDescent="0.3">
      <c r="C1707" s="100"/>
      <c r="D1707" s="100"/>
      <c r="E1707" s="100" t="s">
        <v>135</v>
      </c>
      <c r="O1707" s="101">
        <f>O1706</f>
        <v>32.051282051282051</v>
      </c>
    </row>
    <row r="1709" spans="3:19" x14ac:dyDescent="0.3">
      <c r="E1709" t="s">
        <v>126</v>
      </c>
      <c r="O1709" s="88">
        <f>$H$52</f>
        <v>0.2</v>
      </c>
    </row>
    <row r="1710" spans="3:19" x14ac:dyDescent="0.3">
      <c r="E1710" t="s">
        <v>117</v>
      </c>
      <c r="O1710" s="7">
        <f>O1709*O1706</f>
        <v>6.4102564102564106</v>
      </c>
    </row>
    <row r="1712" spans="3:19" x14ac:dyDescent="0.3">
      <c r="E1712" t="s">
        <v>118</v>
      </c>
      <c r="O1712" s="7">
        <f>O1707</f>
        <v>32.051282051282051</v>
      </c>
    </row>
    <row r="1713" spans="3:20" x14ac:dyDescent="0.3">
      <c r="E1713" t="s">
        <v>106</v>
      </c>
      <c r="O1713" s="7">
        <f>O1706*(1+O1709)</f>
        <v>38.46153846153846</v>
      </c>
    </row>
    <row r="1714" spans="3:20" x14ac:dyDescent="0.3">
      <c r="O1714" s="7"/>
    </row>
    <row r="1715" spans="3:20" x14ac:dyDescent="0.3">
      <c r="E1715" t="s">
        <v>136</v>
      </c>
      <c r="O1715" s="7">
        <f>O1712*O1697</f>
        <v>9201.4292420117654</v>
      </c>
    </row>
    <row r="1716" spans="3:20" x14ac:dyDescent="0.3">
      <c r="E1716" t="s">
        <v>119</v>
      </c>
      <c r="O1716" s="7">
        <f>O1713*O1697</f>
        <v>11041.715090414118</v>
      </c>
    </row>
    <row r="1717" spans="3:20" x14ac:dyDescent="0.3">
      <c r="O1717" s="7"/>
    </row>
    <row r="1718" spans="3:20" x14ac:dyDescent="0.3">
      <c r="E1718" t="s">
        <v>302</v>
      </c>
      <c r="O1718" s="6">
        <f>O1710*O1697</f>
        <v>1840.2858484023532</v>
      </c>
    </row>
    <row r="1719" spans="3:20" x14ac:dyDescent="0.3">
      <c r="O1719" s="7"/>
    </row>
    <row r="1720" spans="3:20" x14ac:dyDescent="0.3">
      <c r="E1720" t="s">
        <v>127</v>
      </c>
      <c r="P1720" s="7">
        <f>O1713/3</f>
        <v>12.820512820512819</v>
      </c>
      <c r="Q1720" s="7">
        <f>O1713/3</f>
        <v>12.820512820512819</v>
      </c>
      <c r="R1720" s="7">
        <f>O1713/3</f>
        <v>12.820512820512819</v>
      </c>
    </row>
    <row r="1721" spans="3:20" x14ac:dyDescent="0.3">
      <c r="P1721" s="7">
        <f>O1713</f>
        <v>38.46153846153846</v>
      </c>
    </row>
    <row r="1722" spans="3:20" s="103" customFormat="1" x14ac:dyDescent="0.3">
      <c r="E1722" s="103" t="s">
        <v>128</v>
      </c>
      <c r="O1722" s="79">
        <f>'Summary500-600'!$E$42</f>
        <v>0.95</v>
      </c>
    </row>
    <row r="1723" spans="3:20" s="103" customFormat="1" x14ac:dyDescent="0.3">
      <c r="E1723" s="103" t="s">
        <v>129</v>
      </c>
      <c r="O1723" s="79">
        <f>1-O1722</f>
        <v>5.0000000000000044E-2</v>
      </c>
    </row>
    <row r="1725" spans="3:20" x14ac:dyDescent="0.3">
      <c r="C1725" s="71"/>
      <c r="D1725" s="71"/>
      <c r="E1725" s="71" t="s">
        <v>16</v>
      </c>
    </row>
    <row r="1726" spans="3:20" x14ac:dyDescent="0.3">
      <c r="E1726" t="s">
        <v>17</v>
      </c>
      <c r="P1726" s="74">
        <f>'Summary500-600'!$D$86</f>
        <v>0.09</v>
      </c>
      <c r="Q1726" s="74">
        <f>'Summary500-600'!$D$87</f>
        <v>0.03</v>
      </c>
      <c r="R1726" s="74">
        <f>'Summary500-600'!$D$88</f>
        <v>0.01</v>
      </c>
      <c r="S1726" s="75"/>
      <c r="T1726" s="75"/>
    </row>
    <row r="1727" spans="3:20" x14ac:dyDescent="0.3">
      <c r="E1727" t="s">
        <v>18</v>
      </c>
      <c r="G1727" s="75"/>
      <c r="Q1727" s="74">
        <f>'Summary500-600'!$D$89</f>
        <v>0.8</v>
      </c>
      <c r="R1727" s="76">
        <f>Q1727</f>
        <v>0.8</v>
      </c>
      <c r="S1727" s="76">
        <f>R1727</f>
        <v>0.8</v>
      </c>
      <c r="T1727" s="75"/>
    </row>
    <row r="1728" spans="3:20" x14ac:dyDescent="0.3">
      <c r="E1728" t="s">
        <v>19</v>
      </c>
      <c r="G1728" s="75"/>
      <c r="Q1728" s="75"/>
      <c r="R1728" s="74">
        <f>'Summary500-600'!$D$90</f>
        <v>1</v>
      </c>
      <c r="S1728" s="74">
        <f>R1728</f>
        <v>1</v>
      </c>
      <c r="T1728" s="74">
        <f>S1728</f>
        <v>1</v>
      </c>
    </row>
    <row r="1729" spans="3:20" x14ac:dyDescent="0.3">
      <c r="E1729" t="s">
        <v>20</v>
      </c>
      <c r="R1729" s="21"/>
    </row>
    <row r="1730" spans="3:20" x14ac:dyDescent="0.3">
      <c r="R1730" s="21"/>
    </row>
    <row r="1731" spans="3:20" x14ac:dyDescent="0.3">
      <c r="C1731" s="11"/>
      <c r="D1731" s="11"/>
      <c r="E1731" s="11" t="s">
        <v>196</v>
      </c>
      <c r="P1731" s="90">
        <f>SUM(P1732:P1735)</f>
        <v>0.13550000000000004</v>
      </c>
      <c r="Q1731" s="90">
        <f t="shared" ref="Q1731:S1731" si="129">SUM(Q1732:Q1735)</f>
        <v>0.13550000000000001</v>
      </c>
      <c r="R1731" s="90">
        <f t="shared" si="129"/>
        <v>7.3713349999999997E-2</v>
      </c>
      <c r="S1731" s="90">
        <f t="shared" si="129"/>
        <v>7.3589079999999987E-2</v>
      </c>
    </row>
    <row r="1732" spans="3:20" x14ac:dyDescent="0.3">
      <c r="E1732" t="s">
        <v>17</v>
      </c>
      <c r="P1732" s="22">
        <f>(1-P1726)*O1723</f>
        <v>4.550000000000004E-2</v>
      </c>
      <c r="Q1732" s="22">
        <f>P1732*(1-Q1726)+P1733*(1-Q1727)</f>
        <v>6.213500000000003E-2</v>
      </c>
    </row>
    <row r="1733" spans="3:20" x14ac:dyDescent="0.3">
      <c r="E1733" t="s">
        <v>18</v>
      </c>
      <c r="P1733" s="22">
        <f>P1726</f>
        <v>0.09</v>
      </c>
      <c r="Q1733" s="22">
        <f>P1732*Q1726</f>
        <v>1.3650000000000012E-3</v>
      </c>
      <c r="R1733" s="22">
        <f>Q1732*R1726</f>
        <v>6.2135000000000033E-4</v>
      </c>
      <c r="T1733" s="22"/>
    </row>
    <row r="1734" spans="3:20" x14ac:dyDescent="0.3">
      <c r="E1734" t="s">
        <v>19</v>
      </c>
      <c r="Q1734" s="22">
        <f>P1733*Q1727</f>
        <v>7.1999999999999995E-2</v>
      </c>
      <c r="R1734" s="22">
        <f>Q1733*R1727+Q1734</f>
        <v>7.309199999999999E-2</v>
      </c>
      <c r="S1734" s="22">
        <f>R1733*S1727+R1734</f>
        <v>7.3589079999999987E-2</v>
      </c>
    </row>
    <row r="1735" spans="3:20" x14ac:dyDescent="0.3">
      <c r="Q1735" s="22"/>
      <c r="R1735" s="22"/>
    </row>
    <row r="1736" spans="3:20" x14ac:dyDescent="0.3">
      <c r="E1736" t="s">
        <v>195</v>
      </c>
      <c r="P1736" s="22">
        <f>(1-P1726)*O1722</f>
        <v>0.86449999999999994</v>
      </c>
      <c r="R1736" s="29">
        <f>Q1732*(1-R1726)+Q1733*(1-R1727)+Q1734*(1-R1728)</f>
        <v>6.1786650000000033E-2</v>
      </c>
      <c r="S1736" s="29">
        <f>R1733*(1-S1727)+R1736</f>
        <v>6.1910920000000036E-2</v>
      </c>
      <c r="T1736" s="22"/>
    </row>
    <row r="1737" spans="3:20" x14ac:dyDescent="0.3">
      <c r="P1737" s="22"/>
      <c r="R1737" s="29"/>
      <c r="S1737" s="29"/>
      <c r="T1737" s="22"/>
    </row>
    <row r="1738" spans="3:20" x14ac:dyDescent="0.3">
      <c r="P1738" s="25" t="s">
        <v>32</v>
      </c>
    </row>
    <row r="1739" spans="3:20" x14ac:dyDescent="0.3">
      <c r="C1739" s="11"/>
      <c r="D1739" s="11"/>
      <c r="E1739" s="11" t="s">
        <v>124</v>
      </c>
      <c r="P1739" s="8">
        <f>SUM(P1740:P1743)</f>
        <v>287.08459235076708</v>
      </c>
      <c r="Q1739" s="8">
        <f t="shared" ref="Q1739:R1739" si="130">SUM(Q1740:Q1743)</f>
        <v>38.899962263528948</v>
      </c>
      <c r="R1739" s="8">
        <f t="shared" si="130"/>
        <v>21.161967035559417</v>
      </c>
    </row>
    <row r="1740" spans="3:20" x14ac:dyDescent="0.3">
      <c r="C1740" s="23"/>
      <c r="D1740" s="23"/>
      <c r="E1740" s="23" t="s">
        <v>120</v>
      </c>
      <c r="P1740" s="7">
        <f>O1697*(1-P1726)</f>
        <v>261.24697903919804</v>
      </c>
      <c r="Q1740" s="82">
        <f>P1778*(1-Q1726)+P1741*(1-Q1727)</f>
        <v>17.838001145714923</v>
      </c>
    </row>
    <row r="1741" spans="3:20" x14ac:dyDescent="0.3">
      <c r="C1741" s="24"/>
      <c r="D1741" s="24"/>
      <c r="E1741" s="24" t="s">
        <v>122</v>
      </c>
      <c r="P1741" s="7">
        <f>O1697*P1726</f>
        <v>25.837613311569037</v>
      </c>
      <c r="Q1741" s="7">
        <f>P1778*Q1726</f>
        <v>0.39187046855879737</v>
      </c>
      <c r="R1741" s="7">
        <f>Q1740*R1726</f>
        <v>0.17838001145714924</v>
      </c>
      <c r="S1741" s="7">
        <f>R1740*S1726</f>
        <v>0</v>
      </c>
    </row>
    <row r="1742" spans="3:20" x14ac:dyDescent="0.3">
      <c r="C1742" s="23"/>
      <c r="D1742" s="23"/>
      <c r="E1742" s="23" t="s">
        <v>121</v>
      </c>
      <c r="Q1742" s="7">
        <f>P1741*Q1727</f>
        <v>20.670090649255229</v>
      </c>
      <c r="R1742" s="7">
        <f>Q1741*R1727</f>
        <v>0.31349637484703791</v>
      </c>
      <c r="S1742" s="7">
        <f>R1741*S1727</f>
        <v>0.1427040091657194</v>
      </c>
    </row>
    <row r="1743" spans="3:20" x14ac:dyDescent="0.3">
      <c r="C1743" s="23"/>
      <c r="D1743" s="23"/>
      <c r="E1743" s="23" t="s">
        <v>138</v>
      </c>
      <c r="Q1743" s="7"/>
      <c r="R1743" s="7">
        <f>Q1742*R1728</f>
        <v>20.670090649255229</v>
      </c>
      <c r="S1743" s="7">
        <f>R1742*S1728+R1743</f>
        <v>20.983587024102267</v>
      </c>
      <c r="T1743" s="7">
        <f>S1742*T1728+S1743</f>
        <v>21.126291033267986</v>
      </c>
    </row>
    <row r="1744" spans="3:20" x14ac:dyDescent="0.3">
      <c r="C1744" s="23"/>
      <c r="D1744" s="23"/>
      <c r="E1744" s="23"/>
      <c r="Q1744" s="7"/>
    </row>
    <row r="1745" spans="3:20" x14ac:dyDescent="0.3">
      <c r="C1745" s="23"/>
      <c r="D1745" s="23"/>
      <c r="E1745" s="23" t="s">
        <v>137</v>
      </c>
      <c r="Q1745" s="7"/>
      <c r="R1745" s="7">
        <f>Q1740*(1-R1726)+Q1741*(1-R1727)+Q1742*(1-R1728)</f>
        <v>17.737995227969531</v>
      </c>
      <c r="S1745" s="7">
        <f>R1741*(1-S1727)+R1745</f>
        <v>17.773671230260963</v>
      </c>
      <c r="T1745" s="7">
        <f>S1742*(1-T1728)+S1745</f>
        <v>17.773671230260963</v>
      </c>
    </row>
    <row r="1746" spans="3:20" x14ac:dyDescent="0.3">
      <c r="C1746" s="23"/>
      <c r="D1746" s="23"/>
      <c r="E1746" s="23"/>
      <c r="Q1746" s="7"/>
    </row>
    <row r="1747" spans="3:20" x14ac:dyDescent="0.3">
      <c r="C1747" s="11"/>
      <c r="D1747" s="11"/>
      <c r="E1747" s="11" t="s">
        <v>139</v>
      </c>
      <c r="P1747" s="8">
        <f>SUM(P1748:P1749)</f>
        <v>261.24697903919804</v>
      </c>
      <c r="Q1747" s="8">
        <f>SUM(Q1748:Q1749)</f>
        <v>17.838001145714923</v>
      </c>
      <c r="R1747" s="8">
        <f>SUM(R1748:R1749)</f>
        <v>17.737995227969531</v>
      </c>
      <c r="S1747" s="8">
        <f>SUM(S1748:S1749)</f>
        <v>3.5676002291429837E-2</v>
      </c>
    </row>
    <row r="1748" spans="3:20" x14ac:dyDescent="0.3">
      <c r="C1748" s="23"/>
      <c r="D1748" s="23"/>
      <c r="E1748" s="23" t="s">
        <v>120</v>
      </c>
      <c r="P1748" s="7">
        <f>P1740</f>
        <v>261.24697903919804</v>
      </c>
      <c r="Q1748" s="7">
        <f>P1778*(1-Q1726)</f>
        <v>12.670478483401116</v>
      </c>
      <c r="R1748" s="7">
        <f>Q1740*(1-R1726)</f>
        <v>17.659621134257772</v>
      </c>
    </row>
    <row r="1749" spans="3:20" x14ac:dyDescent="0.3">
      <c r="C1749" s="24"/>
      <c r="D1749" s="24"/>
      <c r="E1749" s="24" t="s">
        <v>122</v>
      </c>
      <c r="Q1749" s="7">
        <f>P1741*(1-Q1727)</f>
        <v>5.1675226623138064</v>
      </c>
      <c r="R1749" s="7">
        <f>Q1741*(1-R1727)</f>
        <v>7.8374093711759463E-2</v>
      </c>
      <c r="S1749" s="7">
        <f>R1741*(1-S1727)</f>
        <v>3.5676002291429837E-2</v>
      </c>
    </row>
    <row r="1750" spans="3:20" x14ac:dyDescent="0.3">
      <c r="C1750" s="23"/>
      <c r="D1750" s="23"/>
      <c r="E1750" s="23"/>
      <c r="Q1750" s="7"/>
      <c r="R1750" s="7">
        <f>Q1742*(1-R1728)</f>
        <v>0</v>
      </c>
      <c r="S1750" s="7">
        <f>R1742*(1-S1728)</f>
        <v>0</v>
      </c>
    </row>
    <row r="1751" spans="3:20" x14ac:dyDescent="0.3">
      <c r="C1751" s="81"/>
      <c r="D1751" s="81"/>
      <c r="E1751" s="81" t="s">
        <v>123</v>
      </c>
    </row>
    <row r="1752" spans="3:20" x14ac:dyDescent="0.3">
      <c r="C1752" s="23"/>
      <c r="D1752" s="23"/>
      <c r="E1752" s="23" t="s">
        <v>120</v>
      </c>
      <c r="P1752" s="7">
        <f>O1713-P1720</f>
        <v>25.641025641025642</v>
      </c>
      <c r="Q1752" s="7">
        <f>P1752-Q1720</f>
        <v>12.820512820512823</v>
      </c>
      <c r="R1752" s="7">
        <f>Q1752-R1720</f>
        <v>0</v>
      </c>
    </row>
    <row r="1753" spans="3:20" x14ac:dyDescent="0.3">
      <c r="C1753" s="24"/>
      <c r="D1753" s="24"/>
      <c r="E1753" s="24" t="s">
        <v>122</v>
      </c>
      <c r="P1753" s="7">
        <f>O1713</f>
        <v>38.46153846153846</v>
      </c>
      <c r="Q1753" s="7">
        <f>P1752</f>
        <v>25.641025641025642</v>
      </c>
      <c r="R1753" s="7">
        <f>Q1752</f>
        <v>12.820512820512823</v>
      </c>
    </row>
    <row r="1754" spans="3:20" x14ac:dyDescent="0.3">
      <c r="C1754" s="23"/>
      <c r="D1754" s="23"/>
      <c r="E1754" s="23" t="s">
        <v>121</v>
      </c>
      <c r="Q1754" s="7">
        <f>P1753</f>
        <v>38.46153846153846</v>
      </c>
      <c r="R1754" s="7">
        <f>Q1753</f>
        <v>25.641025641025642</v>
      </c>
      <c r="S1754" s="7">
        <f>R1753</f>
        <v>12.820512820512823</v>
      </c>
    </row>
    <row r="1755" spans="3:20" x14ac:dyDescent="0.3">
      <c r="C1755" s="23"/>
      <c r="D1755" s="23"/>
      <c r="E1755" s="23"/>
      <c r="R1755" s="7"/>
      <c r="S1755" s="7"/>
    </row>
    <row r="1756" spans="3:20" x14ac:dyDescent="0.3">
      <c r="C1756" s="23"/>
      <c r="D1756" s="23"/>
      <c r="E1756" s="23"/>
      <c r="R1756" s="7"/>
      <c r="S1756" s="7"/>
    </row>
    <row r="1757" spans="3:20" x14ac:dyDescent="0.3">
      <c r="C1757" s="11"/>
      <c r="D1757" s="11"/>
      <c r="E1757" s="11" t="s">
        <v>130</v>
      </c>
      <c r="P1757" s="8">
        <f>SUM(P1758:P1761)</f>
        <v>7692.3948463218367</v>
      </c>
      <c r="Q1757" s="8">
        <f t="shared" ref="Q1757:S1757" si="131">SUM(Q1758:Q1761)</f>
        <v>1033.743769623054</v>
      </c>
      <c r="R1757" s="8">
        <f t="shared" si="131"/>
        <v>805.32877831944757</v>
      </c>
      <c r="S1757" s="8">
        <f t="shared" si="131"/>
        <v>804.87139367468569</v>
      </c>
    </row>
    <row r="1758" spans="3:20" x14ac:dyDescent="0.3">
      <c r="C1758" s="23"/>
      <c r="D1758" s="23"/>
      <c r="E1758" s="23" t="s">
        <v>120</v>
      </c>
      <c r="P1758" s="7">
        <f>P1752*P1740</f>
        <v>6698.6404881845656</v>
      </c>
      <c r="Q1758" s="7">
        <f t="shared" ref="Q1758:R1759" si="132">Q1752*Q1740</f>
        <v>228.6923223809606</v>
      </c>
      <c r="R1758" s="7">
        <f t="shared" si="132"/>
        <v>0</v>
      </c>
    </row>
    <row r="1759" spans="3:20" x14ac:dyDescent="0.3">
      <c r="C1759" s="24"/>
      <c r="D1759" s="24"/>
      <c r="E1759" s="24" t="s">
        <v>122</v>
      </c>
      <c r="P1759" s="7">
        <f>P1753*P1741</f>
        <v>993.75435813727063</v>
      </c>
      <c r="Q1759" s="7">
        <f t="shared" si="132"/>
        <v>10.047960732276856</v>
      </c>
      <c r="R1759" s="7">
        <f t="shared" si="132"/>
        <v>2.2869232238096062</v>
      </c>
      <c r="S1759" s="7">
        <f>S1753*S1741</f>
        <v>0</v>
      </c>
    </row>
    <row r="1760" spans="3:20" x14ac:dyDescent="0.3">
      <c r="C1760" s="23"/>
      <c r="D1760" s="23"/>
      <c r="E1760" s="23" t="s">
        <v>121</v>
      </c>
      <c r="Q1760" s="7">
        <f>Q1754*Q1742</f>
        <v>795.00348650981653</v>
      </c>
      <c r="R1760" s="7">
        <f>R1754*R1742</f>
        <v>8.0383685858214857</v>
      </c>
      <c r="S1760" s="7">
        <f>S1754*S1742</f>
        <v>1.829538579047685</v>
      </c>
    </row>
    <row r="1761" spans="3:20" x14ac:dyDescent="0.3">
      <c r="C1761" s="23"/>
      <c r="D1761" s="23"/>
      <c r="E1761" s="23" t="s">
        <v>299</v>
      </c>
      <c r="R1761" s="8">
        <f>Q1760</f>
        <v>795.00348650981653</v>
      </c>
      <c r="S1761" s="8">
        <f>R1761+R1760</f>
        <v>803.04185509563797</v>
      </c>
      <c r="T1761" s="8">
        <f>S1761+S1760</f>
        <v>804.87139367468569</v>
      </c>
    </row>
    <row r="1762" spans="3:20" x14ac:dyDescent="0.3">
      <c r="C1762" s="23"/>
      <c r="D1762" s="23"/>
      <c r="E1762" s="23"/>
    </row>
    <row r="1763" spans="3:20" x14ac:dyDescent="0.3">
      <c r="C1763" s="105"/>
      <c r="D1763" s="105"/>
      <c r="E1763" s="105" t="s">
        <v>300</v>
      </c>
      <c r="O1763" s="8">
        <f>T1761</f>
        <v>804.87139367468569</v>
      </c>
    </row>
    <row r="1764" spans="3:20" x14ac:dyDescent="0.3">
      <c r="C1764" s="23"/>
      <c r="D1764" s="23"/>
      <c r="E1764" s="23"/>
    </row>
    <row r="1765" spans="3:20" x14ac:dyDescent="0.3">
      <c r="C1765" s="11"/>
      <c r="D1765" s="11"/>
      <c r="E1765" s="11" t="s">
        <v>140</v>
      </c>
      <c r="P1765" s="8">
        <f>SUM(P1767:P1770)</f>
        <v>9713.0287078676174</v>
      </c>
      <c r="Q1765" s="8">
        <f>SUM(Q1767:Q1770)</f>
        <v>294.94261292344521</v>
      </c>
      <c r="R1765" s="8">
        <f t="shared" ref="R1765:S1765" si="133">SUM(R1767:R1770)</f>
        <v>228.41499130360626</v>
      </c>
      <c r="S1765" s="8">
        <f t="shared" si="133"/>
        <v>0.45738464476192092</v>
      </c>
    </row>
    <row r="1766" spans="3:20" x14ac:dyDescent="0.3">
      <c r="C1766" s="11"/>
      <c r="D1766" s="11"/>
      <c r="E1766" s="11"/>
      <c r="P1766" s="8"/>
      <c r="Q1766" s="8"/>
      <c r="R1766" s="8"/>
      <c r="S1766" s="8"/>
    </row>
    <row r="1767" spans="3:20" x14ac:dyDescent="0.3">
      <c r="E1767" t="s">
        <v>131</v>
      </c>
      <c r="G1767" s="23" t="s">
        <v>120</v>
      </c>
      <c r="P1767" s="6">
        <f>P1776*P1721</f>
        <v>9545.562695663004</v>
      </c>
    </row>
    <row r="1768" spans="3:20" x14ac:dyDescent="0.3">
      <c r="G1768" s="23"/>
      <c r="P1768" s="6"/>
    </row>
    <row r="1769" spans="3:20" x14ac:dyDescent="0.3">
      <c r="E1769" t="s">
        <v>200</v>
      </c>
      <c r="G1769" s="23" t="s">
        <v>120</v>
      </c>
      <c r="P1769" s="6">
        <f>P1778*P1720</f>
        <v>167.46601220461426</v>
      </c>
      <c r="Q1769" s="27">
        <f>Q1748*Q1720</f>
        <v>162.44203183847583</v>
      </c>
      <c r="R1769" s="27">
        <f>R1748*R1720</f>
        <v>226.4053991571509</v>
      </c>
      <c r="S1769" s="27">
        <f>S1748*S1720</f>
        <v>0</v>
      </c>
    </row>
    <row r="1770" spans="3:20" x14ac:dyDescent="0.3">
      <c r="E1770" t="s">
        <v>200</v>
      </c>
      <c r="G1770" s="24" t="s">
        <v>122</v>
      </c>
      <c r="P1770" s="6"/>
      <c r="Q1770" s="27">
        <f>Q1749*(P1720+Q1720)</f>
        <v>132.50058108496938</v>
      </c>
      <c r="R1770" s="27">
        <f>R1749*(Q1720+R1720)</f>
        <v>2.0095921464553705</v>
      </c>
      <c r="S1770" s="27">
        <f>S1749*(R1720+S1720)</f>
        <v>0.45738464476192092</v>
      </c>
    </row>
    <row r="1772" spans="3:20" x14ac:dyDescent="0.3">
      <c r="C1772" s="11"/>
      <c r="D1772" s="11"/>
      <c r="E1772" s="11" t="s">
        <v>283</v>
      </c>
      <c r="P1772" s="8">
        <f>SUM(P1769:S1770)</f>
        <v>691.28100107642751</v>
      </c>
    </row>
    <row r="1774" spans="3:20" x14ac:dyDescent="0.3">
      <c r="E1774" t="s">
        <v>202</v>
      </c>
      <c r="P1774" s="28">
        <f>P1776*(Q1720+R1720)</f>
        <v>6363.708463775336</v>
      </c>
    </row>
    <row r="1776" spans="3:20" x14ac:dyDescent="0.3">
      <c r="C1776" s="72"/>
      <c r="D1776" s="72"/>
      <c r="E1776" s="72" t="s">
        <v>132</v>
      </c>
      <c r="P1776" s="73">
        <f>P1740*O1722</f>
        <v>248.18463008723813</v>
      </c>
    </row>
    <row r="1778" spans="3:34" x14ac:dyDescent="0.3">
      <c r="E1778" t="s">
        <v>201</v>
      </c>
      <c r="P1778" s="7">
        <f>P1740*O1723</f>
        <v>13.062348951959914</v>
      </c>
    </row>
    <row r="1783" spans="3:34" x14ac:dyDescent="0.3">
      <c r="E1783" s="160" t="s">
        <v>264</v>
      </c>
      <c r="F1783" s="161"/>
      <c r="G1783" s="161"/>
      <c r="H1783" s="161"/>
      <c r="I1783" s="161"/>
      <c r="J1783" s="161"/>
      <c r="K1783" s="161"/>
      <c r="L1783" s="161"/>
      <c r="M1783" s="161"/>
      <c r="N1783" s="161"/>
      <c r="O1783" s="161"/>
      <c r="P1783" s="161"/>
      <c r="Q1783" s="161"/>
      <c r="R1783" s="161"/>
      <c r="S1783" s="161"/>
      <c r="T1783" s="161"/>
      <c r="U1783" s="161"/>
      <c r="V1783" s="161"/>
      <c r="W1783" s="161"/>
      <c r="X1783" s="161"/>
      <c r="Y1783" s="161"/>
      <c r="Z1783" s="161"/>
      <c r="AA1783" s="161"/>
      <c r="AB1783" s="161"/>
      <c r="AC1783" s="161"/>
      <c r="AD1783" s="161"/>
      <c r="AE1783" s="161"/>
      <c r="AF1783" s="161"/>
      <c r="AG1783" s="161"/>
      <c r="AH1783" s="162"/>
    </row>
    <row r="1785" spans="3:34" x14ac:dyDescent="0.3">
      <c r="E1785" t="s">
        <v>197</v>
      </c>
      <c r="P1785" s="83">
        <f>M736</f>
        <v>347.34977900879267</v>
      </c>
    </row>
    <row r="1786" spans="3:34" x14ac:dyDescent="0.3">
      <c r="E1786" t="s">
        <v>206</v>
      </c>
      <c r="P1786" s="7">
        <f>P1788*P1785</f>
        <v>21.28405687023491</v>
      </c>
      <c r="S1786" s="77"/>
    </row>
    <row r="1787" spans="3:34" x14ac:dyDescent="0.3">
      <c r="P1787" s="7"/>
      <c r="S1787" s="77"/>
    </row>
    <row r="1788" spans="3:34" x14ac:dyDescent="0.3">
      <c r="C1788" s="11"/>
      <c r="D1788" s="11"/>
      <c r="E1788" s="11" t="s">
        <v>134</v>
      </c>
      <c r="F1788" s="11"/>
      <c r="G1788" s="11"/>
      <c r="P1788" s="98">
        <f>P1789*P1790*P1791*P1792</f>
        <v>6.1275573374400025E-2</v>
      </c>
      <c r="Q1788" s="7">
        <f>Q1789*Q1790*Q1791*Q1792</f>
        <v>0</v>
      </c>
      <c r="R1788" s="11"/>
      <c r="T1788" s="11"/>
    </row>
    <row r="1789" spans="3:34" x14ac:dyDescent="0.3">
      <c r="E1789" t="s">
        <v>35</v>
      </c>
      <c r="P1789" s="97">
        <f>Q775</f>
        <v>6.6481760000000029E-2</v>
      </c>
    </row>
    <row r="1790" spans="3:34" x14ac:dyDescent="0.3">
      <c r="E1790" t="s">
        <v>36</v>
      </c>
      <c r="P1790" s="86">
        <f>0.95</f>
        <v>0.95</v>
      </c>
    </row>
    <row r="1791" spans="3:34" x14ac:dyDescent="0.3">
      <c r="E1791" t="s">
        <v>142</v>
      </c>
      <c r="P1791" s="86">
        <v>0.99</v>
      </c>
    </row>
    <row r="1792" spans="3:34" x14ac:dyDescent="0.3">
      <c r="E1792" t="s">
        <v>37</v>
      </c>
      <c r="P1792" s="86">
        <v>0.98</v>
      </c>
    </row>
    <row r="1795" spans="3:16" x14ac:dyDescent="0.3">
      <c r="E1795" t="s">
        <v>125</v>
      </c>
      <c r="P1795" s="83">
        <f>$F$34</f>
        <v>32.051282051282051</v>
      </c>
    </row>
    <row r="1796" spans="3:16" x14ac:dyDescent="0.3">
      <c r="C1796" s="100"/>
      <c r="D1796" s="100"/>
      <c r="E1796" s="100" t="s">
        <v>135</v>
      </c>
      <c r="P1796" s="82">
        <f>P1795</f>
        <v>32.051282051282051</v>
      </c>
    </row>
    <row r="1798" spans="3:16" x14ac:dyDescent="0.3">
      <c r="E1798" t="s">
        <v>126</v>
      </c>
      <c r="P1798" s="88">
        <f>$H$52</f>
        <v>0.2</v>
      </c>
    </row>
    <row r="1799" spans="3:16" x14ac:dyDescent="0.3">
      <c r="E1799" t="s">
        <v>117</v>
      </c>
      <c r="P1799" s="7">
        <f>P1798*P1795</f>
        <v>6.4102564102564106</v>
      </c>
    </row>
    <row r="1801" spans="3:16" x14ac:dyDescent="0.3">
      <c r="E1801" t="s">
        <v>118</v>
      </c>
      <c r="P1801" s="7">
        <f>P1796</f>
        <v>32.051282051282051</v>
      </c>
    </row>
    <row r="1802" spans="3:16" x14ac:dyDescent="0.3">
      <c r="E1802" t="s">
        <v>106</v>
      </c>
      <c r="P1802" s="7">
        <f>P1795*(1+P1798)</f>
        <v>38.46153846153846</v>
      </c>
    </row>
    <row r="1803" spans="3:16" x14ac:dyDescent="0.3">
      <c r="P1803" s="7"/>
    </row>
    <row r="1804" spans="3:16" x14ac:dyDescent="0.3">
      <c r="E1804" t="s">
        <v>136</v>
      </c>
      <c r="P1804" s="7">
        <f>P1801*P1786</f>
        <v>682.18130994342664</v>
      </c>
    </row>
    <row r="1805" spans="3:16" x14ac:dyDescent="0.3">
      <c r="E1805" t="s">
        <v>119</v>
      </c>
      <c r="P1805" s="7">
        <f>P1802*P1786</f>
        <v>818.6175719321119</v>
      </c>
    </row>
    <row r="1806" spans="3:16" x14ac:dyDescent="0.3">
      <c r="P1806" s="7"/>
    </row>
    <row r="1807" spans="3:16" x14ac:dyDescent="0.3">
      <c r="E1807" t="s">
        <v>302</v>
      </c>
      <c r="P1807" s="6">
        <f>P1799*P1786</f>
        <v>136.43626198868532</v>
      </c>
    </row>
    <row r="1808" spans="3:16" x14ac:dyDescent="0.3">
      <c r="P1808" s="7"/>
    </row>
    <row r="1809" spans="3:21" x14ac:dyDescent="0.3">
      <c r="E1809" t="s">
        <v>127</v>
      </c>
      <c r="Q1809" s="7">
        <f>P1802/3</f>
        <v>12.820512820512819</v>
      </c>
      <c r="R1809" s="7">
        <f>P1802/3</f>
        <v>12.820512820512819</v>
      </c>
      <c r="S1809" s="7">
        <f>P1802/3</f>
        <v>12.820512820512819</v>
      </c>
    </row>
    <row r="1810" spans="3:21" x14ac:dyDescent="0.3">
      <c r="Q1810" s="7">
        <f>P1802</f>
        <v>38.46153846153846</v>
      </c>
    </row>
    <row r="1811" spans="3:21" s="103" customFormat="1" x14ac:dyDescent="0.3">
      <c r="E1811" s="103" t="s">
        <v>128</v>
      </c>
      <c r="P1811" s="79">
        <f>'Summary500-600'!$E$42</f>
        <v>0.95</v>
      </c>
    </row>
    <row r="1812" spans="3:21" s="103" customFormat="1" x14ac:dyDescent="0.3">
      <c r="E1812" s="103" t="s">
        <v>129</v>
      </c>
      <c r="P1812" s="79">
        <f>1-P1811</f>
        <v>5.0000000000000044E-2</v>
      </c>
    </row>
    <row r="1814" spans="3:21" x14ac:dyDescent="0.3">
      <c r="C1814" s="71"/>
      <c r="D1814" s="71"/>
      <c r="E1814" s="71" t="s">
        <v>16</v>
      </c>
    </row>
    <row r="1815" spans="3:21" x14ac:dyDescent="0.3">
      <c r="E1815" t="s">
        <v>17</v>
      </c>
      <c r="Q1815" s="74">
        <f>'Summary500-600'!$D$86</f>
        <v>0.09</v>
      </c>
      <c r="R1815" s="74">
        <f>'Summary500-600'!$D$87</f>
        <v>0.03</v>
      </c>
      <c r="S1815" s="74">
        <f>'Summary500-600'!$D$88</f>
        <v>0.01</v>
      </c>
      <c r="T1815" s="75"/>
      <c r="U1815" s="75"/>
    </row>
    <row r="1816" spans="3:21" x14ac:dyDescent="0.3">
      <c r="E1816" t="s">
        <v>18</v>
      </c>
      <c r="G1816" s="75"/>
      <c r="R1816" s="74">
        <f>'Summary500-600'!$D$89</f>
        <v>0.8</v>
      </c>
      <c r="S1816" s="76">
        <f>R1816</f>
        <v>0.8</v>
      </c>
      <c r="T1816" s="76">
        <f>S1816</f>
        <v>0.8</v>
      </c>
      <c r="U1816" s="75"/>
    </row>
    <row r="1817" spans="3:21" x14ac:dyDescent="0.3">
      <c r="E1817" t="s">
        <v>19</v>
      </c>
      <c r="G1817" s="75"/>
      <c r="R1817" s="75"/>
      <c r="S1817" s="74">
        <f>'Summary500-600'!$D$90</f>
        <v>1</v>
      </c>
      <c r="T1817" s="74">
        <f>S1817</f>
        <v>1</v>
      </c>
      <c r="U1817" s="74">
        <f>T1817</f>
        <v>1</v>
      </c>
    </row>
    <row r="1818" spans="3:21" x14ac:dyDescent="0.3">
      <c r="E1818" t="s">
        <v>20</v>
      </c>
      <c r="S1818" s="21"/>
    </row>
    <row r="1819" spans="3:21" x14ac:dyDescent="0.3">
      <c r="S1819" s="21"/>
    </row>
    <row r="1820" spans="3:21" x14ac:dyDescent="0.3">
      <c r="C1820" s="11"/>
      <c r="D1820" s="11"/>
      <c r="E1820" s="11" t="s">
        <v>196</v>
      </c>
      <c r="Q1820" s="90">
        <f>SUM(Q1821:Q1824)</f>
        <v>0.13550000000000004</v>
      </c>
      <c r="R1820" s="90">
        <f t="shared" ref="R1820:T1820" si="134">SUM(R1821:R1824)</f>
        <v>0.13550000000000001</v>
      </c>
      <c r="S1820" s="90">
        <f t="shared" si="134"/>
        <v>7.3713349999999997E-2</v>
      </c>
      <c r="T1820" s="90">
        <f t="shared" si="134"/>
        <v>7.3589079999999987E-2</v>
      </c>
    </row>
    <row r="1821" spans="3:21" x14ac:dyDescent="0.3">
      <c r="E1821" t="s">
        <v>17</v>
      </c>
      <c r="Q1821" s="22">
        <f>(1-Q1815)*P1812</f>
        <v>4.550000000000004E-2</v>
      </c>
      <c r="R1821" s="22">
        <f>Q1821*(1-R1815)+Q1822*(1-R1816)</f>
        <v>6.213500000000003E-2</v>
      </c>
    </row>
    <row r="1822" spans="3:21" x14ac:dyDescent="0.3">
      <c r="E1822" t="s">
        <v>18</v>
      </c>
      <c r="Q1822" s="22">
        <f>Q1815</f>
        <v>0.09</v>
      </c>
      <c r="R1822" s="22">
        <f>Q1821*R1815</f>
        <v>1.3650000000000012E-3</v>
      </c>
      <c r="S1822" s="22">
        <f>R1821*S1815</f>
        <v>6.2135000000000033E-4</v>
      </c>
      <c r="U1822" s="22"/>
    </row>
    <row r="1823" spans="3:21" x14ac:dyDescent="0.3">
      <c r="E1823" t="s">
        <v>19</v>
      </c>
      <c r="R1823" s="22">
        <f>Q1822*R1816</f>
        <v>7.1999999999999995E-2</v>
      </c>
      <c r="S1823" s="22">
        <f>R1822*S1816+R1823</f>
        <v>7.309199999999999E-2</v>
      </c>
      <c r="T1823" s="22">
        <f>S1822*T1816+S1823</f>
        <v>7.3589079999999987E-2</v>
      </c>
    </row>
    <row r="1824" spans="3:21" x14ac:dyDescent="0.3">
      <c r="R1824" s="22"/>
      <c r="S1824" s="22"/>
    </row>
    <row r="1825" spans="3:21" x14ac:dyDescent="0.3">
      <c r="E1825" t="s">
        <v>195</v>
      </c>
      <c r="Q1825" s="22">
        <f>(1-Q1815)*P1811</f>
        <v>0.86449999999999994</v>
      </c>
      <c r="S1825" s="29">
        <f>R1821*(1-S1815)+R1822*(1-S1816)+R1823*(1-S1817)</f>
        <v>6.1786650000000033E-2</v>
      </c>
      <c r="T1825" s="29">
        <f>S1822*(1-T1816)+S1825</f>
        <v>6.1910920000000036E-2</v>
      </c>
      <c r="U1825" s="22"/>
    </row>
    <row r="1826" spans="3:21" x14ac:dyDescent="0.3">
      <c r="Q1826" s="22"/>
      <c r="S1826" s="29"/>
      <c r="T1826" s="29"/>
      <c r="U1826" s="22"/>
    </row>
    <row r="1827" spans="3:21" x14ac:dyDescent="0.3">
      <c r="Q1827" s="25" t="s">
        <v>32</v>
      </c>
    </row>
    <row r="1828" spans="3:21" x14ac:dyDescent="0.3">
      <c r="C1828" s="11"/>
      <c r="D1828" s="11"/>
      <c r="E1828" s="11" t="s">
        <v>124</v>
      </c>
      <c r="Q1828" s="8">
        <f>SUM(Q1829:Q1832)</f>
        <v>21.28405687023491</v>
      </c>
      <c r="R1828" s="8">
        <f t="shared" ref="R1828:S1828" si="135">SUM(R1829:R1832)</f>
        <v>2.8839897059168313</v>
      </c>
      <c r="S1828" s="8">
        <f t="shared" si="135"/>
        <v>1.5689191334955306</v>
      </c>
    </row>
    <row r="1829" spans="3:21" x14ac:dyDescent="0.3">
      <c r="C1829" s="23"/>
      <c r="D1829" s="23"/>
      <c r="E1829" s="23" t="s">
        <v>120</v>
      </c>
      <c r="Q1829" s="7">
        <f>P1786*(1-Q1815)</f>
        <v>19.368491751913769</v>
      </c>
      <c r="R1829" s="82">
        <f>Q1867*(1-R1815)+Q1830*(1-R1816)</f>
        <v>1.3224848736320469</v>
      </c>
    </row>
    <row r="1830" spans="3:21" x14ac:dyDescent="0.3">
      <c r="C1830" s="24"/>
      <c r="D1830" s="24"/>
      <c r="E1830" s="24" t="s">
        <v>122</v>
      </c>
      <c r="Q1830" s="7">
        <f>P1786*Q1815</f>
        <v>1.9155651183211417</v>
      </c>
      <c r="R1830" s="7">
        <f>Q1867*R1815</f>
        <v>2.9052737627870678E-2</v>
      </c>
      <c r="S1830" s="7">
        <f>R1829*S1815</f>
        <v>1.3224848736320469E-2</v>
      </c>
      <c r="T1830" s="7">
        <f>S1829*T1815</f>
        <v>0</v>
      </c>
    </row>
    <row r="1831" spans="3:21" x14ac:dyDescent="0.3">
      <c r="C1831" s="23"/>
      <c r="D1831" s="23"/>
      <c r="E1831" s="23" t="s">
        <v>121</v>
      </c>
      <c r="R1831" s="7">
        <f>Q1830*R1816</f>
        <v>1.5324520946569136</v>
      </c>
      <c r="S1831" s="7">
        <f>R1830*S1816</f>
        <v>2.3242190102296542E-2</v>
      </c>
      <c r="T1831" s="7">
        <f>S1830*T1816</f>
        <v>1.0579878989056376E-2</v>
      </c>
    </row>
    <row r="1832" spans="3:21" x14ac:dyDescent="0.3">
      <c r="C1832" s="23"/>
      <c r="D1832" s="23"/>
      <c r="E1832" s="23" t="s">
        <v>138</v>
      </c>
      <c r="R1832" s="7"/>
      <c r="S1832" s="7">
        <f>R1831*S1817</f>
        <v>1.5324520946569136</v>
      </c>
      <c r="T1832" s="7">
        <f>S1831*T1817+S1832</f>
        <v>1.5556942847592101</v>
      </c>
      <c r="U1832" s="7">
        <f>T1831*U1817+T1832</f>
        <v>1.5662741637482664</v>
      </c>
    </row>
    <row r="1833" spans="3:21" x14ac:dyDescent="0.3">
      <c r="C1833" s="23"/>
      <c r="D1833" s="23"/>
      <c r="E1833" s="23"/>
      <c r="R1833" s="7"/>
    </row>
    <row r="1834" spans="3:21" x14ac:dyDescent="0.3">
      <c r="C1834" s="23"/>
      <c r="D1834" s="23"/>
      <c r="E1834" s="23" t="s">
        <v>137</v>
      </c>
      <c r="R1834" s="7"/>
      <c r="S1834" s="7">
        <f>R1829*(1-S1815)+R1830*(1-S1816)+R1831*(1-S1817)</f>
        <v>1.3150705724213005</v>
      </c>
      <c r="T1834" s="7">
        <f>S1830*(1-T1816)+S1834</f>
        <v>1.3177155421685647</v>
      </c>
      <c r="U1834" s="7">
        <f>T1831*(1-U1817)+T1834</f>
        <v>1.3177155421685647</v>
      </c>
    </row>
    <row r="1835" spans="3:21" x14ac:dyDescent="0.3">
      <c r="C1835" s="23"/>
      <c r="D1835" s="23"/>
      <c r="E1835" s="23"/>
      <c r="R1835" s="7"/>
    </row>
    <row r="1836" spans="3:21" x14ac:dyDescent="0.3">
      <c r="C1836" s="11"/>
      <c r="D1836" s="11"/>
      <c r="E1836" s="11" t="s">
        <v>139</v>
      </c>
      <c r="Q1836" s="8">
        <f>SUM(Q1837:Q1838)</f>
        <v>19.368491751913769</v>
      </c>
      <c r="R1836" s="8">
        <f>SUM(R1837:R1838)</f>
        <v>1.3224848736320469</v>
      </c>
      <c r="S1836" s="8">
        <f>SUM(S1837:S1838)</f>
        <v>1.3150705724213005</v>
      </c>
      <c r="T1836" s="8">
        <f>SUM(T1837:T1838)</f>
        <v>2.6449697472640931E-3</v>
      </c>
    </row>
    <row r="1837" spans="3:21" x14ac:dyDescent="0.3">
      <c r="C1837" s="23"/>
      <c r="D1837" s="23"/>
      <c r="E1837" s="23" t="s">
        <v>120</v>
      </c>
      <c r="Q1837" s="7">
        <f>Q1829</f>
        <v>19.368491751913769</v>
      </c>
      <c r="R1837" s="7">
        <f>Q1867*(1-R1815)</f>
        <v>0.93937184996781853</v>
      </c>
      <c r="S1837" s="7">
        <f>R1829*(1-S1815)</f>
        <v>1.3092600248957265</v>
      </c>
    </row>
    <row r="1838" spans="3:21" x14ac:dyDescent="0.3">
      <c r="C1838" s="24"/>
      <c r="D1838" s="24"/>
      <c r="E1838" s="24" t="s">
        <v>122</v>
      </c>
      <c r="R1838" s="7">
        <f>Q1830*(1-R1816)</f>
        <v>0.38311302366422828</v>
      </c>
      <c r="S1838" s="7">
        <f>R1830*(1-S1816)</f>
        <v>5.8105475255741347E-3</v>
      </c>
      <c r="T1838" s="7">
        <f>S1830*(1-T1816)</f>
        <v>2.6449697472640931E-3</v>
      </c>
    </row>
    <row r="1839" spans="3:21" x14ac:dyDescent="0.3">
      <c r="C1839" s="23"/>
      <c r="D1839" s="23"/>
      <c r="E1839" s="23"/>
      <c r="R1839" s="7"/>
      <c r="S1839" s="7">
        <f>R1831*(1-S1817)</f>
        <v>0</v>
      </c>
      <c r="T1839" s="7">
        <f>S1831*(1-T1817)</f>
        <v>0</v>
      </c>
    </row>
    <row r="1840" spans="3:21" x14ac:dyDescent="0.3">
      <c r="C1840" s="81"/>
      <c r="D1840" s="81"/>
      <c r="E1840" s="81" t="s">
        <v>123</v>
      </c>
    </row>
    <row r="1841" spans="3:21" x14ac:dyDescent="0.3">
      <c r="C1841" s="23"/>
      <c r="D1841" s="23"/>
      <c r="E1841" s="23" t="s">
        <v>120</v>
      </c>
      <c r="Q1841" s="7">
        <f>P1802-Q1809</f>
        <v>25.641025641025642</v>
      </c>
      <c r="R1841" s="7">
        <f>Q1841-R1809</f>
        <v>12.820512820512823</v>
      </c>
      <c r="S1841" s="7">
        <f>R1841-S1809</f>
        <v>0</v>
      </c>
    </row>
    <row r="1842" spans="3:21" x14ac:dyDescent="0.3">
      <c r="C1842" s="24"/>
      <c r="D1842" s="24"/>
      <c r="E1842" s="24" t="s">
        <v>122</v>
      </c>
      <c r="Q1842" s="7">
        <f>P1802</f>
        <v>38.46153846153846</v>
      </c>
      <c r="R1842" s="7">
        <f>Q1841</f>
        <v>25.641025641025642</v>
      </c>
      <c r="S1842" s="7">
        <f>R1841</f>
        <v>12.820512820512823</v>
      </c>
    </row>
    <row r="1843" spans="3:21" x14ac:dyDescent="0.3">
      <c r="C1843" s="23"/>
      <c r="D1843" s="23"/>
      <c r="E1843" s="23" t="s">
        <v>121</v>
      </c>
      <c r="R1843" s="7">
        <f>Q1842</f>
        <v>38.46153846153846</v>
      </c>
      <c r="S1843" s="7">
        <f>R1842</f>
        <v>25.641025641025642</v>
      </c>
      <c r="T1843" s="7">
        <f>S1842</f>
        <v>12.820512820512823</v>
      </c>
    </row>
    <row r="1844" spans="3:21" x14ac:dyDescent="0.3">
      <c r="C1844" s="23"/>
      <c r="D1844" s="23"/>
      <c r="E1844" s="23"/>
      <c r="S1844" s="7"/>
      <c r="T1844" s="7"/>
    </row>
    <row r="1845" spans="3:21" x14ac:dyDescent="0.3">
      <c r="C1845" s="23"/>
      <c r="D1845" s="23"/>
      <c r="E1845" s="23"/>
      <c r="S1845" s="7"/>
      <c r="T1845" s="7"/>
    </row>
    <row r="1846" spans="3:21" x14ac:dyDescent="0.3">
      <c r="C1846" s="11"/>
      <c r="D1846" s="11"/>
      <c r="E1846" s="11" t="s">
        <v>130</v>
      </c>
      <c r="Q1846" s="8">
        <f>SUM(Q1847:Q1850)</f>
        <v>570.30357511270472</v>
      </c>
      <c r="R1846" s="8">
        <f t="shared" ref="R1846:T1846" si="136">SUM(R1847:R1850)</f>
        <v>76.640341446904216</v>
      </c>
      <c r="S1846" s="8">
        <f t="shared" si="136"/>
        <v>59.705968114251981</v>
      </c>
      <c r="T1846" s="8">
        <f t="shared" si="136"/>
        <v>59.672058245697308</v>
      </c>
    </row>
    <row r="1847" spans="3:21" x14ac:dyDescent="0.3">
      <c r="C1847" s="23"/>
      <c r="D1847" s="23"/>
      <c r="E1847" s="23" t="s">
        <v>120</v>
      </c>
      <c r="Q1847" s="7">
        <f>Q1841*Q1829</f>
        <v>496.62799363881464</v>
      </c>
      <c r="R1847" s="7">
        <f t="shared" ref="R1847:S1848" si="137">R1841*R1829</f>
        <v>16.954934277333937</v>
      </c>
      <c r="S1847" s="7">
        <f t="shared" si="137"/>
        <v>0</v>
      </c>
    </row>
    <row r="1848" spans="3:21" x14ac:dyDescent="0.3">
      <c r="C1848" s="24"/>
      <c r="D1848" s="24"/>
      <c r="E1848" s="24" t="s">
        <v>122</v>
      </c>
      <c r="Q1848" s="7">
        <f>Q1842*Q1830</f>
        <v>73.675581473890063</v>
      </c>
      <c r="R1848" s="7">
        <f t="shared" si="137"/>
        <v>0.74494199045822251</v>
      </c>
      <c r="S1848" s="7">
        <f t="shared" si="137"/>
        <v>0.16954934277333938</v>
      </c>
      <c r="T1848" s="7">
        <f>T1842*T1830</f>
        <v>0</v>
      </c>
    </row>
    <row r="1849" spans="3:21" x14ac:dyDescent="0.3">
      <c r="C1849" s="23"/>
      <c r="D1849" s="23"/>
      <c r="E1849" s="23" t="s">
        <v>121</v>
      </c>
      <c r="R1849" s="7">
        <f>R1843*R1831</f>
        <v>58.94046517911206</v>
      </c>
      <c r="S1849" s="7">
        <f>S1843*S1831</f>
        <v>0.59595359236657808</v>
      </c>
      <c r="T1849" s="7">
        <f>T1843*T1831</f>
        <v>0.13563947421867151</v>
      </c>
    </row>
    <row r="1850" spans="3:21" x14ac:dyDescent="0.3">
      <c r="C1850" s="23"/>
      <c r="D1850" s="23"/>
      <c r="E1850" s="23" t="s">
        <v>299</v>
      </c>
      <c r="S1850" s="8">
        <f>R1849</f>
        <v>58.94046517911206</v>
      </c>
      <c r="T1850" s="8">
        <f>S1850+S1849</f>
        <v>59.536418771478637</v>
      </c>
      <c r="U1850" s="8">
        <f>T1850+T1849</f>
        <v>59.672058245697308</v>
      </c>
    </row>
    <row r="1851" spans="3:21" x14ac:dyDescent="0.3">
      <c r="C1851" s="23"/>
      <c r="D1851" s="23"/>
      <c r="E1851" s="23"/>
    </row>
    <row r="1852" spans="3:21" x14ac:dyDescent="0.3">
      <c r="C1852" s="105"/>
      <c r="D1852" s="105"/>
      <c r="E1852" s="105" t="s">
        <v>300</v>
      </c>
      <c r="P1852" s="8">
        <f>U1850</f>
        <v>59.672058245697308</v>
      </c>
    </row>
    <row r="1853" spans="3:21" x14ac:dyDescent="0.3">
      <c r="C1853" s="23"/>
      <c r="D1853" s="23"/>
      <c r="E1853" s="23"/>
    </row>
    <row r="1854" spans="3:21" x14ac:dyDescent="0.3">
      <c r="C1854" s="11"/>
      <c r="D1854" s="11"/>
      <c r="E1854" s="11" t="s">
        <v>140</v>
      </c>
      <c r="Q1854" s="8">
        <f>SUM(Q1856:Q1859)</f>
        <v>720.11059077628113</v>
      </c>
      <c r="R1854" s="8">
        <f>SUM(R1856:R1859)</f>
        <v>21.866639708926602</v>
      </c>
      <c r="S1854" s="8">
        <f t="shared" ref="S1854:T1854" si="138">SUM(S1856:S1859)</f>
        <v>16.934373332652239</v>
      </c>
      <c r="T1854" s="8">
        <f t="shared" si="138"/>
        <v>3.3909868554667856E-2</v>
      </c>
    </row>
    <row r="1855" spans="3:21" x14ac:dyDescent="0.3">
      <c r="C1855" s="11"/>
      <c r="D1855" s="11"/>
      <c r="E1855" s="11"/>
      <c r="Q1855" s="8"/>
      <c r="R1855" s="8"/>
      <c r="S1855" s="8"/>
      <c r="T1855" s="8"/>
    </row>
    <row r="1856" spans="3:21" x14ac:dyDescent="0.3">
      <c r="E1856" t="s">
        <v>131</v>
      </c>
      <c r="G1856" s="23" t="s">
        <v>120</v>
      </c>
      <c r="Q1856" s="6">
        <f>Q1865*Q1810</f>
        <v>707.69489093531081</v>
      </c>
    </row>
    <row r="1857" spans="3:34" x14ac:dyDescent="0.3">
      <c r="G1857" s="23"/>
      <c r="Q1857" s="6"/>
    </row>
    <row r="1858" spans="3:34" x14ac:dyDescent="0.3">
      <c r="E1858" t="s">
        <v>200</v>
      </c>
      <c r="G1858" s="23" t="s">
        <v>120</v>
      </c>
      <c r="Q1858" s="6">
        <f>Q1867*Q1809</f>
        <v>12.415699840970374</v>
      </c>
      <c r="R1858" s="27">
        <f>R1837*R1809</f>
        <v>12.043228845741263</v>
      </c>
      <c r="S1858" s="27">
        <f>S1837*S1809</f>
        <v>16.785384934560593</v>
      </c>
      <c r="T1858" s="27">
        <f>T1837*T1809</f>
        <v>0</v>
      </c>
    </row>
    <row r="1859" spans="3:34" x14ac:dyDescent="0.3">
      <c r="E1859" t="s">
        <v>200</v>
      </c>
      <c r="G1859" s="24" t="s">
        <v>122</v>
      </c>
      <c r="Q1859" s="6"/>
      <c r="R1859" s="27">
        <f>R1838*(Q1809+R1809)</f>
        <v>9.8234108631853392</v>
      </c>
      <c r="S1859" s="27">
        <f>S1838*(R1809+S1809)</f>
        <v>0.14898839809164446</v>
      </c>
      <c r="T1859" s="27">
        <f>T1838*(S1809+T1809)</f>
        <v>3.3909868554667856E-2</v>
      </c>
    </row>
    <row r="1861" spans="3:34" x14ac:dyDescent="0.3">
      <c r="C1861" s="11"/>
      <c r="D1861" s="11"/>
      <c r="E1861" s="11" t="s">
        <v>283</v>
      </c>
      <c r="Q1861" s="8">
        <f>SUM(Q1858:T1859)</f>
        <v>51.250622751103876</v>
      </c>
    </row>
    <row r="1863" spans="3:34" x14ac:dyDescent="0.3">
      <c r="E1863" t="s">
        <v>202</v>
      </c>
      <c r="Q1863" s="28">
        <f>Q1865*(R1809+S1809)</f>
        <v>471.79659395687383</v>
      </c>
    </row>
    <row r="1865" spans="3:34" x14ac:dyDescent="0.3">
      <c r="C1865" s="72"/>
      <c r="D1865" s="72"/>
      <c r="E1865" s="72" t="s">
        <v>132</v>
      </c>
      <c r="Q1865" s="73">
        <f>Q1829*P1811</f>
        <v>18.400067164318081</v>
      </c>
    </row>
    <row r="1867" spans="3:34" x14ac:dyDescent="0.3">
      <c r="E1867" t="s">
        <v>201</v>
      </c>
      <c r="Q1867" s="7">
        <f>Q1829*P1812</f>
        <v>0.96842458759568928</v>
      </c>
    </row>
    <row r="1872" spans="3:34" x14ac:dyDescent="0.3">
      <c r="E1872" s="160" t="s">
        <v>268</v>
      </c>
      <c r="F1872" s="161"/>
      <c r="G1872" s="161"/>
      <c r="H1872" s="161"/>
      <c r="I1872" s="161"/>
      <c r="J1872" s="161"/>
      <c r="K1872" s="161"/>
      <c r="L1872" s="161"/>
      <c r="M1872" s="161"/>
      <c r="N1872" s="161"/>
      <c r="O1872" s="161"/>
      <c r="P1872" s="161"/>
      <c r="Q1872" s="161"/>
      <c r="R1872" s="161"/>
      <c r="S1872" s="161"/>
      <c r="T1872" s="161"/>
      <c r="U1872" s="161"/>
      <c r="V1872" s="161"/>
      <c r="W1872" s="161"/>
      <c r="X1872" s="161"/>
      <c r="Y1872" s="161"/>
      <c r="Z1872" s="161"/>
      <c r="AA1872" s="161"/>
      <c r="AB1872" s="161"/>
      <c r="AC1872" s="161"/>
      <c r="AD1872" s="161"/>
      <c r="AE1872" s="161"/>
      <c r="AF1872" s="161"/>
      <c r="AG1872" s="161"/>
      <c r="AH1872" s="162"/>
    </row>
    <row r="1874" spans="3:20" x14ac:dyDescent="0.3">
      <c r="E1874" t="s">
        <v>197</v>
      </c>
      <c r="P1874" s="83">
        <f>M823</f>
        <v>355.52271498547015</v>
      </c>
    </row>
    <row r="1875" spans="3:20" x14ac:dyDescent="0.3">
      <c r="E1875" t="s">
        <v>206</v>
      </c>
      <c r="P1875" s="7">
        <f>P1877*P1874</f>
        <v>21.784858208358084</v>
      </c>
      <c r="S1875" s="77"/>
    </row>
    <row r="1876" spans="3:20" x14ac:dyDescent="0.3">
      <c r="P1876" s="7"/>
      <c r="S1876" s="77"/>
    </row>
    <row r="1877" spans="3:20" x14ac:dyDescent="0.3">
      <c r="C1877" s="11"/>
      <c r="D1877" s="11"/>
      <c r="E1877" s="11" t="s">
        <v>134</v>
      </c>
      <c r="F1877" s="11"/>
      <c r="G1877" s="11"/>
      <c r="P1877" s="98">
        <f>P1878*P1879*P1880*P1881</f>
        <v>6.1275573374400025E-2</v>
      </c>
      <c r="Q1877" s="7">
        <f>Q1878*Q1879*Q1880*Q1881</f>
        <v>0</v>
      </c>
      <c r="R1877" s="11"/>
      <c r="T1877" s="11"/>
    </row>
    <row r="1878" spans="3:20" x14ac:dyDescent="0.3">
      <c r="E1878" t="s">
        <v>35</v>
      </c>
      <c r="P1878" s="97">
        <f>Q862</f>
        <v>6.6481760000000029E-2</v>
      </c>
    </row>
    <row r="1879" spans="3:20" x14ac:dyDescent="0.3">
      <c r="E1879" t="s">
        <v>36</v>
      </c>
      <c r="P1879" s="86">
        <f>0.95</f>
        <v>0.95</v>
      </c>
    </row>
    <row r="1880" spans="3:20" x14ac:dyDescent="0.3">
      <c r="E1880" t="s">
        <v>142</v>
      </c>
      <c r="P1880" s="86">
        <v>0.99</v>
      </c>
    </row>
    <row r="1881" spans="3:20" x14ac:dyDescent="0.3">
      <c r="E1881" t="s">
        <v>37</v>
      </c>
      <c r="P1881" s="86">
        <v>0.98</v>
      </c>
    </row>
    <row r="1884" spans="3:20" x14ac:dyDescent="0.3">
      <c r="E1884" t="s">
        <v>125</v>
      </c>
      <c r="P1884" s="83">
        <f>$F$34</f>
        <v>32.051282051282051</v>
      </c>
    </row>
    <row r="1885" spans="3:20" x14ac:dyDescent="0.3">
      <c r="C1885" s="100"/>
      <c r="D1885" s="100"/>
      <c r="E1885" s="100" t="s">
        <v>135</v>
      </c>
      <c r="P1885" s="101">
        <f>P1884</f>
        <v>32.051282051282051</v>
      </c>
    </row>
    <row r="1887" spans="3:20" x14ac:dyDescent="0.3">
      <c r="E1887" t="s">
        <v>126</v>
      </c>
      <c r="P1887" s="88">
        <f>$H$52</f>
        <v>0.2</v>
      </c>
    </row>
    <row r="1888" spans="3:20" x14ac:dyDescent="0.3">
      <c r="E1888" t="s">
        <v>117</v>
      </c>
      <c r="P1888" s="7">
        <f>P1887*P1884</f>
        <v>6.4102564102564106</v>
      </c>
    </row>
    <row r="1890" spans="3:21" x14ac:dyDescent="0.3">
      <c r="E1890" t="s">
        <v>118</v>
      </c>
      <c r="P1890" s="7">
        <f>P1885</f>
        <v>32.051282051282051</v>
      </c>
    </row>
    <row r="1891" spans="3:21" x14ac:dyDescent="0.3">
      <c r="E1891" t="s">
        <v>106</v>
      </c>
      <c r="P1891" s="7">
        <f>P1884*(1+P1887)</f>
        <v>38.46153846153846</v>
      </c>
    </row>
    <row r="1892" spans="3:21" x14ac:dyDescent="0.3">
      <c r="P1892" s="7"/>
    </row>
    <row r="1893" spans="3:21" x14ac:dyDescent="0.3">
      <c r="E1893" t="s">
        <v>136</v>
      </c>
      <c r="P1893" s="7">
        <f>P1890*P1875</f>
        <v>698.23263488327188</v>
      </c>
    </row>
    <row r="1894" spans="3:21" x14ac:dyDescent="0.3">
      <c r="E1894" t="s">
        <v>119</v>
      </c>
      <c r="P1894" s="7">
        <f>P1891*P1875</f>
        <v>837.87916185992628</v>
      </c>
    </row>
    <row r="1895" spans="3:21" x14ac:dyDescent="0.3">
      <c r="P1895" s="7"/>
    </row>
    <row r="1896" spans="3:21" x14ac:dyDescent="0.3">
      <c r="E1896" t="s">
        <v>302</v>
      </c>
      <c r="P1896" s="6">
        <f>P1888*P1875</f>
        <v>139.6465269766544</v>
      </c>
    </row>
    <row r="1897" spans="3:21" x14ac:dyDescent="0.3">
      <c r="P1897" s="7"/>
    </row>
    <row r="1898" spans="3:21" x14ac:dyDescent="0.3">
      <c r="E1898" t="s">
        <v>127</v>
      </c>
      <c r="Q1898" s="7">
        <f>P1891/3</f>
        <v>12.820512820512819</v>
      </c>
      <c r="R1898" s="7">
        <f>P1891/3</f>
        <v>12.820512820512819</v>
      </c>
      <c r="S1898" s="7">
        <f>P1891/3</f>
        <v>12.820512820512819</v>
      </c>
    </row>
    <row r="1899" spans="3:21" x14ac:dyDescent="0.3">
      <c r="Q1899" s="7">
        <f>P1891</f>
        <v>38.46153846153846</v>
      </c>
    </row>
    <row r="1900" spans="3:21" s="103" customFormat="1" x14ac:dyDescent="0.3">
      <c r="E1900" s="103" t="s">
        <v>128</v>
      </c>
      <c r="P1900" s="79">
        <f>'Summary500-600'!$E$42</f>
        <v>0.95</v>
      </c>
    </row>
    <row r="1901" spans="3:21" s="103" customFormat="1" x14ac:dyDescent="0.3">
      <c r="E1901" s="103" t="s">
        <v>129</v>
      </c>
      <c r="P1901" s="79">
        <f>1-P1900</f>
        <v>5.0000000000000044E-2</v>
      </c>
    </row>
    <row r="1903" spans="3:21" x14ac:dyDescent="0.3">
      <c r="C1903" s="71"/>
      <c r="D1903" s="71"/>
      <c r="E1903" s="71" t="s">
        <v>16</v>
      </c>
    </row>
    <row r="1904" spans="3:21" x14ac:dyDescent="0.3">
      <c r="E1904" t="s">
        <v>17</v>
      </c>
      <c r="Q1904" s="74">
        <f>'Summary500-600'!$D$86</f>
        <v>0.09</v>
      </c>
      <c r="R1904" s="74">
        <f>'Summary500-600'!$D$87</f>
        <v>0.03</v>
      </c>
      <c r="S1904" s="74">
        <f>'Summary500-600'!$D$88</f>
        <v>0.01</v>
      </c>
      <c r="T1904" s="75"/>
      <c r="U1904" s="75"/>
    </row>
    <row r="1905" spans="3:21" x14ac:dyDescent="0.3">
      <c r="E1905" t="s">
        <v>18</v>
      </c>
      <c r="G1905" s="75"/>
      <c r="R1905" s="74">
        <f>'Summary500-600'!$D$89</f>
        <v>0.8</v>
      </c>
      <c r="S1905" s="76">
        <f>R1905</f>
        <v>0.8</v>
      </c>
      <c r="T1905" s="76">
        <f>S1905</f>
        <v>0.8</v>
      </c>
      <c r="U1905" s="75"/>
    </row>
    <row r="1906" spans="3:21" x14ac:dyDescent="0.3">
      <c r="E1906" t="s">
        <v>19</v>
      </c>
      <c r="G1906" s="75"/>
      <c r="R1906" s="75"/>
      <c r="S1906" s="74">
        <f>'Summary500-600'!$D$90</f>
        <v>1</v>
      </c>
      <c r="T1906" s="74">
        <f>S1906</f>
        <v>1</v>
      </c>
      <c r="U1906" s="74">
        <f>T1906</f>
        <v>1</v>
      </c>
    </row>
    <row r="1907" spans="3:21" x14ac:dyDescent="0.3">
      <c r="E1907" t="s">
        <v>20</v>
      </c>
      <c r="S1907" s="21"/>
    </row>
    <row r="1908" spans="3:21" x14ac:dyDescent="0.3">
      <c r="S1908" s="21"/>
    </row>
    <row r="1909" spans="3:21" x14ac:dyDescent="0.3">
      <c r="C1909" s="11"/>
      <c r="D1909" s="11"/>
      <c r="E1909" s="11" t="s">
        <v>196</v>
      </c>
      <c r="Q1909" s="90">
        <f>SUM(Q1910:Q1913)</f>
        <v>0.13550000000000004</v>
      </c>
      <c r="R1909" s="90">
        <f t="shared" ref="R1909:T1909" si="139">SUM(R1910:R1913)</f>
        <v>0.13550000000000001</v>
      </c>
      <c r="S1909" s="90">
        <f t="shared" si="139"/>
        <v>7.3713349999999997E-2</v>
      </c>
      <c r="T1909" s="90">
        <f t="shared" si="139"/>
        <v>7.3589079999999987E-2</v>
      </c>
    </row>
    <row r="1910" spans="3:21" x14ac:dyDescent="0.3">
      <c r="E1910" t="s">
        <v>17</v>
      </c>
      <c r="Q1910" s="22">
        <f>(1-Q1904)*P1901</f>
        <v>4.550000000000004E-2</v>
      </c>
      <c r="R1910" s="22">
        <f>Q1910*(1-R1904)+Q1911*(1-R1905)</f>
        <v>6.213500000000003E-2</v>
      </c>
    </row>
    <row r="1911" spans="3:21" x14ac:dyDescent="0.3">
      <c r="E1911" t="s">
        <v>18</v>
      </c>
      <c r="Q1911" s="22">
        <f>Q1904</f>
        <v>0.09</v>
      </c>
      <c r="R1911" s="22">
        <f>Q1910*R1904</f>
        <v>1.3650000000000012E-3</v>
      </c>
      <c r="S1911" s="22">
        <f>R1910*S1904</f>
        <v>6.2135000000000033E-4</v>
      </c>
      <c r="U1911" s="22"/>
    </row>
    <row r="1912" spans="3:21" x14ac:dyDescent="0.3">
      <c r="E1912" t="s">
        <v>19</v>
      </c>
      <c r="R1912" s="22">
        <f>Q1911*R1905</f>
        <v>7.1999999999999995E-2</v>
      </c>
      <c r="S1912" s="22">
        <f>R1911*S1905+R1912</f>
        <v>7.309199999999999E-2</v>
      </c>
      <c r="T1912" s="22">
        <f>S1911*T1905+S1912</f>
        <v>7.3589079999999987E-2</v>
      </c>
    </row>
    <row r="1913" spans="3:21" x14ac:dyDescent="0.3">
      <c r="R1913" s="22"/>
      <c r="S1913" s="22"/>
    </row>
    <row r="1914" spans="3:21" x14ac:dyDescent="0.3">
      <c r="E1914" t="s">
        <v>195</v>
      </c>
      <c r="Q1914" s="22">
        <f>(1-Q1904)*P1900</f>
        <v>0.86449999999999994</v>
      </c>
      <c r="S1914" s="29">
        <f>R1910*(1-S1904)+R1911*(1-S1905)+R1912*(1-S1906)</f>
        <v>6.1786650000000033E-2</v>
      </c>
      <c r="T1914" s="29">
        <f>S1911*(1-T1905)+S1914</f>
        <v>6.1910920000000036E-2</v>
      </c>
      <c r="U1914" s="22"/>
    </row>
    <row r="1915" spans="3:21" x14ac:dyDescent="0.3">
      <c r="Q1915" s="22"/>
      <c r="S1915" s="29"/>
      <c r="T1915" s="29"/>
      <c r="U1915" s="22"/>
    </row>
    <row r="1916" spans="3:21" x14ac:dyDescent="0.3">
      <c r="Q1916" s="25" t="s">
        <v>32</v>
      </c>
    </row>
    <row r="1917" spans="3:21" x14ac:dyDescent="0.3">
      <c r="C1917" s="11"/>
      <c r="D1917" s="11"/>
      <c r="E1917" s="11" t="s">
        <v>124</v>
      </c>
      <c r="Q1917" s="8">
        <f>SUM(Q1918:Q1921)</f>
        <v>21.784858208358084</v>
      </c>
      <c r="R1917" s="8">
        <f t="shared" ref="R1917:S1917" si="140">SUM(R1918:R1921)</f>
        <v>2.9518482872325214</v>
      </c>
      <c r="S1917" s="8">
        <f t="shared" si="140"/>
        <v>1.6058348778130724</v>
      </c>
    </row>
    <row r="1918" spans="3:21" x14ac:dyDescent="0.3">
      <c r="C1918" s="23"/>
      <c r="D1918" s="23"/>
      <c r="E1918" s="23" t="s">
        <v>120</v>
      </c>
      <c r="Q1918" s="7">
        <f>P1875*(1-Q1904)</f>
        <v>19.824220969605857</v>
      </c>
      <c r="R1918" s="82">
        <f>Q1956*(1-R1904)+Q1919*(1-R1905)</f>
        <v>1.3536021647763303</v>
      </c>
    </row>
    <row r="1919" spans="3:21" x14ac:dyDescent="0.3">
      <c r="C1919" s="24"/>
      <c r="D1919" s="24"/>
      <c r="E1919" s="24" t="s">
        <v>122</v>
      </c>
      <c r="Q1919" s="7">
        <f>P1875*Q1904</f>
        <v>1.9606372387522275</v>
      </c>
      <c r="R1919" s="7">
        <f>Q1956*R1904</f>
        <v>2.973633145440881E-2</v>
      </c>
      <c r="S1919" s="7">
        <f>R1918*S1904</f>
        <v>1.3536021647763304E-2</v>
      </c>
      <c r="T1919" s="7">
        <f>S1918*T1904</f>
        <v>0</v>
      </c>
    </row>
    <row r="1920" spans="3:21" x14ac:dyDescent="0.3">
      <c r="C1920" s="23"/>
      <c r="D1920" s="23"/>
      <c r="E1920" s="23" t="s">
        <v>121</v>
      </c>
      <c r="R1920" s="7">
        <f>Q1919*R1905</f>
        <v>1.568509791001782</v>
      </c>
      <c r="S1920" s="7">
        <f>R1919*S1905</f>
        <v>2.3789065163527051E-2</v>
      </c>
      <c r="T1920" s="7">
        <f>S1919*T1905</f>
        <v>1.0828817318210643E-2</v>
      </c>
    </row>
    <row r="1921" spans="3:21" x14ac:dyDescent="0.3">
      <c r="C1921" s="23"/>
      <c r="D1921" s="23"/>
      <c r="E1921" s="23" t="s">
        <v>138</v>
      </c>
      <c r="R1921" s="7"/>
      <c r="S1921" s="7">
        <f>R1920*S1906</f>
        <v>1.568509791001782</v>
      </c>
      <c r="T1921" s="7">
        <f>S1920*T1906+S1921</f>
        <v>1.5922988561653091</v>
      </c>
      <c r="U1921" s="7">
        <f>T1920*U1906+T1921</f>
        <v>1.6031276734835198</v>
      </c>
    </row>
    <row r="1922" spans="3:21" x14ac:dyDescent="0.3">
      <c r="C1922" s="23"/>
      <c r="D1922" s="23"/>
      <c r="E1922" s="23"/>
      <c r="R1922" s="7"/>
    </row>
    <row r="1923" spans="3:21" x14ac:dyDescent="0.3">
      <c r="C1923" s="23"/>
      <c r="D1923" s="23"/>
      <c r="E1923" s="23" t="s">
        <v>137</v>
      </c>
      <c r="R1923" s="7"/>
      <c r="S1923" s="7">
        <f>R1918*(1-S1904)+R1919*(1-S1905)+R1920*(1-S1906)</f>
        <v>1.3460134094194487</v>
      </c>
      <c r="T1923" s="7">
        <f>S1919*(1-T1905)+S1923</f>
        <v>1.3487206137490013</v>
      </c>
      <c r="U1923" s="7">
        <f>T1920*(1-U1906)+T1923</f>
        <v>1.3487206137490013</v>
      </c>
    </row>
    <row r="1924" spans="3:21" x14ac:dyDescent="0.3">
      <c r="C1924" s="23"/>
      <c r="D1924" s="23"/>
      <c r="E1924" s="23"/>
      <c r="R1924" s="7"/>
    </row>
    <row r="1925" spans="3:21" x14ac:dyDescent="0.3">
      <c r="C1925" s="11"/>
      <c r="D1925" s="11"/>
      <c r="E1925" s="11" t="s">
        <v>139</v>
      </c>
      <c r="Q1925" s="8">
        <f>SUM(Q1926:Q1927)</f>
        <v>19.824220969605857</v>
      </c>
      <c r="R1925" s="8">
        <f>SUM(R1926:R1927)</f>
        <v>1.3536021647763303</v>
      </c>
      <c r="S1925" s="8">
        <f>SUM(S1926:S1927)</f>
        <v>1.3460134094194487</v>
      </c>
      <c r="T1925" s="8">
        <f>SUM(T1926:T1927)</f>
        <v>2.7072043295526603E-3</v>
      </c>
    </row>
    <row r="1926" spans="3:21" x14ac:dyDescent="0.3">
      <c r="C1926" s="23"/>
      <c r="D1926" s="23"/>
      <c r="E1926" s="23" t="s">
        <v>120</v>
      </c>
      <c r="Q1926" s="7">
        <f>Q1918</f>
        <v>19.824220969605857</v>
      </c>
      <c r="R1926" s="7">
        <f>Q1956*(1-R1904)</f>
        <v>0.96147471702588494</v>
      </c>
      <c r="S1926" s="7">
        <f>R1918*(1-S1904)</f>
        <v>1.340066143128567</v>
      </c>
    </row>
    <row r="1927" spans="3:21" x14ac:dyDescent="0.3">
      <c r="C1927" s="24"/>
      <c r="D1927" s="24"/>
      <c r="E1927" s="24" t="s">
        <v>122</v>
      </c>
      <c r="R1927" s="7">
        <f>Q1919*(1-R1905)</f>
        <v>0.39212744775044539</v>
      </c>
      <c r="S1927" s="7">
        <f>R1919*(1-S1905)</f>
        <v>5.947266290881761E-3</v>
      </c>
      <c r="T1927" s="7">
        <f>S1919*(1-T1905)</f>
        <v>2.7072043295526603E-3</v>
      </c>
    </row>
    <row r="1928" spans="3:21" x14ac:dyDescent="0.3">
      <c r="C1928" s="23"/>
      <c r="D1928" s="23"/>
      <c r="E1928" s="23"/>
      <c r="R1928" s="7"/>
      <c r="S1928" s="7">
        <f>R1920*(1-S1906)</f>
        <v>0</v>
      </c>
      <c r="T1928" s="7">
        <f>S1920*(1-T1906)</f>
        <v>0</v>
      </c>
    </row>
    <row r="1929" spans="3:21" x14ac:dyDescent="0.3">
      <c r="C1929" s="81"/>
      <c r="D1929" s="81"/>
      <c r="E1929" s="81" t="s">
        <v>123</v>
      </c>
    </row>
    <row r="1930" spans="3:21" x14ac:dyDescent="0.3">
      <c r="C1930" s="23"/>
      <c r="D1930" s="23"/>
      <c r="E1930" s="23" t="s">
        <v>120</v>
      </c>
      <c r="Q1930" s="7">
        <f>P1891-Q1898</f>
        <v>25.641025641025642</v>
      </c>
      <c r="R1930" s="7">
        <f>Q1930-R1898</f>
        <v>12.820512820512823</v>
      </c>
      <c r="S1930" s="7">
        <f>R1930-S1898</f>
        <v>0</v>
      </c>
    </row>
    <row r="1931" spans="3:21" x14ac:dyDescent="0.3">
      <c r="C1931" s="24"/>
      <c r="D1931" s="24"/>
      <c r="E1931" s="24" t="s">
        <v>122</v>
      </c>
      <c r="Q1931" s="7">
        <f>P1891</f>
        <v>38.46153846153846</v>
      </c>
      <c r="R1931" s="7">
        <f>Q1930</f>
        <v>25.641025641025642</v>
      </c>
      <c r="S1931" s="7">
        <f>R1930</f>
        <v>12.820512820512823</v>
      </c>
    </row>
    <row r="1932" spans="3:21" x14ac:dyDescent="0.3">
      <c r="C1932" s="23"/>
      <c r="D1932" s="23"/>
      <c r="E1932" s="23" t="s">
        <v>121</v>
      </c>
      <c r="R1932" s="7">
        <f>Q1931</f>
        <v>38.46153846153846</v>
      </c>
      <c r="S1932" s="7">
        <f>R1931</f>
        <v>25.641025641025642</v>
      </c>
      <c r="T1932" s="7">
        <f>S1931</f>
        <v>12.820512820512823</v>
      </c>
    </row>
    <row r="1933" spans="3:21" x14ac:dyDescent="0.3">
      <c r="C1933" s="23"/>
      <c r="D1933" s="23"/>
      <c r="E1933" s="23"/>
      <c r="S1933" s="7"/>
      <c r="T1933" s="7"/>
    </row>
    <row r="1934" spans="3:21" x14ac:dyDescent="0.3">
      <c r="C1934" s="23"/>
      <c r="D1934" s="23"/>
      <c r="E1934" s="23"/>
      <c r="S1934" s="7"/>
      <c r="T1934" s="7"/>
    </row>
    <row r="1935" spans="3:21" x14ac:dyDescent="0.3">
      <c r="C1935" s="11"/>
      <c r="D1935" s="11"/>
      <c r="E1935" s="11" t="s">
        <v>130</v>
      </c>
      <c r="Q1935" s="8">
        <f>SUM(Q1936:Q1939)</f>
        <v>583.72248276241544</v>
      </c>
      <c r="R1935" s="8">
        <f t="shared" ref="R1935:T1935" si="141">SUM(R1936:R1939)</f>
        <v>78.443643598596083</v>
      </c>
      <c r="S1935" s="8">
        <f t="shared" si="141"/>
        <v>61.110814422822607</v>
      </c>
      <c r="T1935" s="8">
        <f t="shared" si="141"/>
        <v>61.076106675007836</v>
      </c>
    </row>
    <row r="1936" spans="3:21" x14ac:dyDescent="0.3">
      <c r="C1936" s="23"/>
      <c r="D1936" s="23"/>
      <c r="E1936" s="23" t="s">
        <v>120</v>
      </c>
      <c r="Q1936" s="7">
        <f>Q1930*Q1918</f>
        <v>508.31335819502203</v>
      </c>
      <c r="R1936" s="7">
        <f t="shared" ref="R1936:S1937" si="142">R1930*R1918</f>
        <v>17.353873907388852</v>
      </c>
      <c r="S1936" s="7">
        <f t="shared" si="142"/>
        <v>0</v>
      </c>
    </row>
    <row r="1937" spans="3:21" x14ac:dyDescent="0.3">
      <c r="C1937" s="24"/>
      <c r="D1937" s="24"/>
      <c r="E1937" s="24" t="s">
        <v>122</v>
      </c>
      <c r="Q1937" s="7">
        <f>Q1931*Q1919</f>
        <v>75.409124567393363</v>
      </c>
      <c r="R1937" s="7">
        <f t="shared" si="142"/>
        <v>0.7624700372925336</v>
      </c>
      <c r="S1937" s="7">
        <f t="shared" si="142"/>
        <v>0.17353873907388853</v>
      </c>
      <c r="T1937" s="7">
        <f>T1931*T1919</f>
        <v>0</v>
      </c>
    </row>
    <row r="1938" spans="3:21" x14ac:dyDescent="0.3">
      <c r="C1938" s="23"/>
      <c r="D1938" s="23"/>
      <c r="E1938" s="23" t="s">
        <v>121</v>
      </c>
      <c r="R1938" s="7">
        <f>R1932*R1920</f>
        <v>60.327299653914693</v>
      </c>
      <c r="S1938" s="7">
        <f>S1932*S1920</f>
        <v>0.60997602983402699</v>
      </c>
      <c r="T1938" s="7">
        <f>T1932*T1920</f>
        <v>0.13883099125911083</v>
      </c>
    </row>
    <row r="1939" spans="3:21" x14ac:dyDescent="0.3">
      <c r="C1939" s="23"/>
      <c r="D1939" s="23"/>
      <c r="E1939" s="23" t="s">
        <v>299</v>
      </c>
      <c r="S1939" s="8">
        <f>R1938</f>
        <v>60.327299653914693</v>
      </c>
      <c r="T1939" s="8">
        <f>S1939+S1938</f>
        <v>60.937275683748723</v>
      </c>
      <c r="U1939" s="8">
        <f>T1939+T1938</f>
        <v>61.076106675007836</v>
      </c>
    </row>
    <row r="1940" spans="3:21" x14ac:dyDescent="0.3">
      <c r="C1940" s="23"/>
      <c r="D1940" s="23"/>
      <c r="E1940" s="23"/>
    </row>
    <row r="1941" spans="3:21" x14ac:dyDescent="0.3">
      <c r="C1941" s="105"/>
      <c r="D1941" s="105"/>
      <c r="E1941" s="105" t="s">
        <v>300</v>
      </c>
      <c r="P1941" s="8">
        <f>U1939</f>
        <v>61.076106675007836</v>
      </c>
    </row>
    <row r="1942" spans="3:21" x14ac:dyDescent="0.3">
      <c r="C1942" s="23"/>
      <c r="D1942" s="23"/>
      <c r="E1942" s="23"/>
    </row>
    <row r="1943" spans="3:21" x14ac:dyDescent="0.3">
      <c r="C1943" s="11"/>
      <c r="D1943" s="11"/>
      <c r="E1943" s="11" t="s">
        <v>140</v>
      </c>
      <c r="Q1943" s="8">
        <f>SUM(Q1945:Q1948)</f>
        <v>737.05436938278183</v>
      </c>
      <c r="R1943" s="8">
        <f>SUM(R1945:R1948)</f>
        <v>22.381148878548405</v>
      </c>
      <c r="S1943" s="8">
        <f t="shared" ref="S1943:T1943" si="143">SUM(S1945:S1948)</f>
        <v>17.332829175773469</v>
      </c>
      <c r="T1943" s="8">
        <f t="shared" si="143"/>
        <v>3.4707747814777694E-2</v>
      </c>
    </row>
    <row r="1944" spans="3:21" x14ac:dyDescent="0.3">
      <c r="C1944" s="11"/>
      <c r="D1944" s="11"/>
      <c r="E1944" s="11"/>
      <c r="Q1944" s="8"/>
      <c r="R1944" s="8"/>
      <c r="S1944" s="8"/>
      <c r="T1944" s="8"/>
    </row>
    <row r="1945" spans="3:21" x14ac:dyDescent="0.3">
      <c r="E1945" t="s">
        <v>131</v>
      </c>
      <c r="G1945" s="23" t="s">
        <v>120</v>
      </c>
      <c r="Q1945" s="6">
        <f>Q1954*Q1899</f>
        <v>724.34653542790625</v>
      </c>
    </row>
    <row r="1946" spans="3:21" x14ac:dyDescent="0.3">
      <c r="G1946" s="23"/>
      <c r="Q1946" s="6"/>
    </row>
    <row r="1947" spans="3:21" x14ac:dyDescent="0.3">
      <c r="E1947" t="s">
        <v>200</v>
      </c>
      <c r="G1947" s="23" t="s">
        <v>120</v>
      </c>
      <c r="Q1947" s="6">
        <f>Q1956*Q1898</f>
        <v>12.707833954875559</v>
      </c>
      <c r="R1947" s="27">
        <f>R1926*R1898</f>
        <v>12.326598936229294</v>
      </c>
      <c r="S1947" s="27">
        <f>S1926*S1898</f>
        <v>17.180335168314961</v>
      </c>
      <c r="T1947" s="27">
        <f>T1926*T1898</f>
        <v>0</v>
      </c>
    </row>
    <row r="1948" spans="3:21" x14ac:dyDescent="0.3">
      <c r="E1948" t="s">
        <v>200</v>
      </c>
      <c r="G1948" s="24" t="s">
        <v>122</v>
      </c>
      <c r="Q1948" s="6"/>
      <c r="R1948" s="27">
        <f>R1927*(Q1898+R1898)</f>
        <v>10.054549942319111</v>
      </c>
      <c r="S1948" s="27">
        <f>S1927*(R1898+S1898)</f>
        <v>0.15249400745850669</v>
      </c>
      <c r="T1948" s="27">
        <f>T1927*(S1898+T1898)</f>
        <v>3.4707747814777694E-2</v>
      </c>
    </row>
    <row r="1950" spans="3:21" x14ac:dyDescent="0.3">
      <c r="C1950" s="11"/>
      <c r="D1950" s="11"/>
      <c r="E1950" s="11" t="s">
        <v>283</v>
      </c>
      <c r="Q1950" s="8">
        <f>SUM(Q1947:T1948)</f>
        <v>52.456519757012209</v>
      </c>
    </row>
    <row r="1952" spans="3:21" x14ac:dyDescent="0.3">
      <c r="E1952" t="s">
        <v>202</v>
      </c>
      <c r="Q1952" s="28">
        <f>Q1954*(R1898+S1898)</f>
        <v>482.89769028527076</v>
      </c>
    </row>
    <row r="1954" spans="3:25" x14ac:dyDescent="0.3">
      <c r="C1954" s="72"/>
      <c r="D1954" s="72"/>
      <c r="E1954" s="72" t="s">
        <v>132</v>
      </c>
      <c r="Q1954" s="73">
        <f>Q1918*P1900</f>
        <v>18.833009921125562</v>
      </c>
    </row>
    <row r="1956" spans="3:25" x14ac:dyDescent="0.3">
      <c r="E1956" t="s">
        <v>201</v>
      </c>
      <c r="Q1956" s="7">
        <f>Q1918*P1901</f>
        <v>0.99121104848029373</v>
      </c>
    </row>
    <row r="1959" spans="3:25" x14ac:dyDescent="0.3">
      <c r="E1959" s="152" t="s">
        <v>269</v>
      </c>
      <c r="F1959" s="153"/>
      <c r="G1959" s="153"/>
      <c r="H1959" s="153"/>
      <c r="I1959" s="153"/>
      <c r="J1959" s="153"/>
      <c r="K1959" s="153"/>
      <c r="L1959" s="153"/>
      <c r="M1959" s="153"/>
      <c r="N1959" s="153"/>
      <c r="O1959" s="153"/>
      <c r="P1959" s="153"/>
      <c r="Q1959" s="153"/>
      <c r="R1959" s="153"/>
      <c r="S1959" s="153"/>
      <c r="T1959" s="153"/>
      <c r="U1959" s="153"/>
      <c r="V1959" s="153"/>
      <c r="W1959" s="153"/>
      <c r="X1959" s="153"/>
      <c r="Y1959" s="154"/>
    </row>
    <row r="1961" spans="3:25" x14ac:dyDescent="0.3">
      <c r="E1961" t="s">
        <v>197</v>
      </c>
      <c r="P1961" s="83">
        <f>P1076</f>
        <v>21.784858208358081</v>
      </c>
    </row>
    <row r="1962" spans="3:25" x14ac:dyDescent="0.3">
      <c r="E1962" t="s">
        <v>206</v>
      </c>
      <c r="P1962" s="7">
        <f>P1964*P1961</f>
        <v>21.784858208358081</v>
      </c>
      <c r="S1962" s="77"/>
    </row>
    <row r="1963" spans="3:25" x14ac:dyDescent="0.3">
      <c r="P1963" s="7"/>
      <c r="S1963" s="77"/>
    </row>
    <row r="1964" spans="3:25" x14ac:dyDescent="0.3">
      <c r="C1964" s="11"/>
      <c r="D1964" s="11"/>
      <c r="E1964" s="11" t="s">
        <v>134</v>
      </c>
      <c r="F1964" s="11"/>
      <c r="G1964" s="11"/>
      <c r="P1964" s="104">
        <f>$I$129</f>
        <v>1</v>
      </c>
      <c r="Q1964" s="7">
        <f>Q1965*Q1966*Q1967*Q1968</f>
        <v>0</v>
      </c>
      <c r="R1964" s="11"/>
      <c r="T1964" s="11"/>
    </row>
    <row r="1965" spans="3:25" x14ac:dyDescent="0.3">
      <c r="E1965" t="s">
        <v>35</v>
      </c>
      <c r="P1965" s="89">
        <f>Q949</f>
        <v>6.6481760000000029E-2</v>
      </c>
    </row>
    <row r="1966" spans="3:25" x14ac:dyDescent="0.3">
      <c r="E1966" t="s">
        <v>36</v>
      </c>
      <c r="P1966" s="89">
        <f>0.95</f>
        <v>0.95</v>
      </c>
    </row>
    <row r="1967" spans="3:25" x14ac:dyDescent="0.3">
      <c r="E1967" t="s">
        <v>142</v>
      </c>
      <c r="P1967" s="89">
        <v>0.99</v>
      </c>
    </row>
    <row r="1968" spans="3:25" x14ac:dyDescent="0.3">
      <c r="E1968" t="s">
        <v>37</v>
      </c>
      <c r="P1968" s="89">
        <v>0.98</v>
      </c>
    </row>
    <row r="1971" spans="5:16" x14ac:dyDescent="0.3">
      <c r="E1971" t="s">
        <v>125</v>
      </c>
      <c r="P1971" s="83">
        <f>$F$34</f>
        <v>32.051282051282051</v>
      </c>
    </row>
    <row r="1972" spans="5:16" x14ac:dyDescent="0.3">
      <c r="E1972" t="s">
        <v>135</v>
      </c>
      <c r="P1972" s="82">
        <f>P1971</f>
        <v>32.051282051282051</v>
      </c>
    </row>
    <row r="1974" spans="5:16" x14ac:dyDescent="0.3">
      <c r="E1974" t="s">
        <v>126</v>
      </c>
      <c r="P1974" s="88">
        <f>$H$52</f>
        <v>0.2</v>
      </c>
    </row>
    <row r="1975" spans="5:16" x14ac:dyDescent="0.3">
      <c r="E1975" t="s">
        <v>117</v>
      </c>
      <c r="P1975" s="7">
        <f>P1974*P1971</f>
        <v>6.4102564102564106</v>
      </c>
    </row>
    <row r="1977" spans="5:16" x14ac:dyDescent="0.3">
      <c r="E1977" t="s">
        <v>118</v>
      </c>
      <c r="P1977" s="7">
        <f>P1972</f>
        <v>32.051282051282051</v>
      </c>
    </row>
    <row r="1978" spans="5:16" x14ac:dyDescent="0.3">
      <c r="E1978" t="s">
        <v>106</v>
      </c>
      <c r="P1978" s="7">
        <f>P1971*(1+P1974)</f>
        <v>38.46153846153846</v>
      </c>
    </row>
    <row r="1979" spans="5:16" x14ac:dyDescent="0.3">
      <c r="P1979" s="7"/>
    </row>
    <row r="1980" spans="5:16" x14ac:dyDescent="0.3">
      <c r="E1980" t="s">
        <v>136</v>
      </c>
      <c r="P1980" s="7">
        <f>P1977*P1962</f>
        <v>698.23263488327177</v>
      </c>
    </row>
    <row r="1981" spans="5:16" x14ac:dyDescent="0.3">
      <c r="E1981" t="s">
        <v>119</v>
      </c>
      <c r="P1981" s="7">
        <f>P1978*P1962</f>
        <v>837.87916185992617</v>
      </c>
    </row>
    <row r="1982" spans="5:16" x14ac:dyDescent="0.3">
      <c r="P1982" s="7"/>
    </row>
    <row r="1983" spans="5:16" x14ac:dyDescent="0.3">
      <c r="E1983" t="s">
        <v>302</v>
      </c>
      <c r="P1983" s="6">
        <f>P1975*P1962</f>
        <v>139.64652697665437</v>
      </c>
    </row>
    <row r="1984" spans="5:16" x14ac:dyDescent="0.3">
      <c r="P1984" s="7"/>
    </row>
    <row r="1985" spans="3:21" x14ac:dyDescent="0.3">
      <c r="E1985" t="s">
        <v>127</v>
      </c>
      <c r="Q1985" s="7">
        <f>P1978/3</f>
        <v>12.820512820512819</v>
      </c>
      <c r="R1985" s="7">
        <f>P1978/3</f>
        <v>12.820512820512819</v>
      </c>
      <c r="S1985" s="7">
        <f>P1978/3</f>
        <v>12.820512820512819</v>
      </c>
    </row>
    <row r="1986" spans="3:21" x14ac:dyDescent="0.3">
      <c r="Q1986" s="7">
        <f>P1978</f>
        <v>38.46153846153846</v>
      </c>
    </row>
    <row r="1987" spans="3:21" s="103" customFormat="1" x14ac:dyDescent="0.3">
      <c r="E1987" s="103" t="s">
        <v>128</v>
      </c>
      <c r="P1987" s="79">
        <f>'Summary500-600'!$C$42</f>
        <v>0.95</v>
      </c>
    </row>
    <row r="1988" spans="3:21" s="103" customFormat="1" x14ac:dyDescent="0.3">
      <c r="E1988" s="103" t="s">
        <v>129</v>
      </c>
      <c r="P1988" s="79">
        <f>1-P1987</f>
        <v>5.0000000000000044E-2</v>
      </c>
    </row>
    <row r="1990" spans="3:21" x14ac:dyDescent="0.3">
      <c r="C1990" s="71"/>
      <c r="D1990" s="71"/>
      <c r="E1990" s="71" t="s">
        <v>16</v>
      </c>
    </row>
    <row r="1991" spans="3:21" x14ac:dyDescent="0.3">
      <c r="E1991" t="s">
        <v>17</v>
      </c>
      <c r="Q1991" s="74">
        <f>'Summary500-600'!$C$86</f>
        <v>0.09</v>
      </c>
      <c r="R1991" s="74">
        <f>'Summary500-600'!$C$87</f>
        <v>0.03</v>
      </c>
      <c r="S1991" s="74">
        <f>'Summary500-600'!$C$88</f>
        <v>0.01</v>
      </c>
      <c r="T1991" s="75"/>
      <c r="U1991" s="75"/>
    </row>
    <row r="1992" spans="3:21" x14ac:dyDescent="0.3">
      <c r="E1992" t="s">
        <v>18</v>
      </c>
      <c r="G1992" s="75"/>
      <c r="R1992" s="74">
        <f>'Summary500-600'!$C$89</f>
        <v>0.8</v>
      </c>
      <c r="S1992" s="76">
        <f>R1992</f>
        <v>0.8</v>
      </c>
      <c r="T1992" s="76">
        <f>S1992</f>
        <v>0.8</v>
      </c>
      <c r="U1992" s="75"/>
    </row>
    <row r="1993" spans="3:21" x14ac:dyDescent="0.3">
      <c r="E1993" t="s">
        <v>19</v>
      </c>
      <c r="G1993" s="75"/>
      <c r="R1993" s="75"/>
      <c r="S1993" s="74">
        <f>'Summary500-600'!$C$90</f>
        <v>1</v>
      </c>
      <c r="T1993" s="74">
        <f>S1993</f>
        <v>1</v>
      </c>
      <c r="U1993" s="74">
        <f>T1993</f>
        <v>1</v>
      </c>
    </row>
    <row r="1994" spans="3:21" x14ac:dyDescent="0.3">
      <c r="E1994" t="s">
        <v>20</v>
      </c>
      <c r="S1994" s="21"/>
    </row>
    <row r="1995" spans="3:21" x14ac:dyDescent="0.3">
      <c r="S1995" s="21"/>
    </row>
    <row r="1996" spans="3:21" x14ac:dyDescent="0.3">
      <c r="C1996" s="11"/>
      <c r="D1996" s="11"/>
      <c r="E1996" s="11" t="s">
        <v>196</v>
      </c>
      <c r="Q1996" s="90">
        <f>SUM(Q1997:Q2000)</f>
        <v>0.13550000000000004</v>
      </c>
      <c r="R1996" s="90">
        <f t="shared" ref="R1996:T1996" si="144">SUM(R1997:R2000)</f>
        <v>0.13550000000000001</v>
      </c>
      <c r="S1996" s="90">
        <f t="shared" si="144"/>
        <v>7.3713349999999997E-2</v>
      </c>
      <c r="T1996" s="90">
        <f t="shared" si="144"/>
        <v>7.3589079999999987E-2</v>
      </c>
    </row>
    <row r="1997" spans="3:21" x14ac:dyDescent="0.3">
      <c r="E1997" t="s">
        <v>17</v>
      </c>
      <c r="Q1997" s="22">
        <f>(1-Q1991)*P1988</f>
        <v>4.550000000000004E-2</v>
      </c>
      <c r="R1997" s="22">
        <f>Q1997*(1-R1991)+Q1998*(1-R1992)</f>
        <v>6.213500000000003E-2</v>
      </c>
    </row>
    <row r="1998" spans="3:21" x14ac:dyDescent="0.3">
      <c r="E1998" t="s">
        <v>18</v>
      </c>
      <c r="Q1998" s="22">
        <f>Q1991</f>
        <v>0.09</v>
      </c>
      <c r="R1998" s="22">
        <f>Q1997*R1991</f>
        <v>1.3650000000000012E-3</v>
      </c>
      <c r="S1998" s="22">
        <f>R1997*S1991</f>
        <v>6.2135000000000033E-4</v>
      </c>
      <c r="U1998" s="22"/>
    </row>
    <row r="1999" spans="3:21" x14ac:dyDescent="0.3">
      <c r="E1999" t="s">
        <v>19</v>
      </c>
      <c r="R1999" s="22">
        <f>Q1998*R1992</f>
        <v>7.1999999999999995E-2</v>
      </c>
      <c r="S1999" s="22">
        <f>R1998*S1992+R1999</f>
        <v>7.309199999999999E-2</v>
      </c>
      <c r="T1999" s="22">
        <f>S1998*T1992+S1999</f>
        <v>7.3589079999999987E-2</v>
      </c>
    </row>
    <row r="2000" spans="3:21" x14ac:dyDescent="0.3">
      <c r="R2000" s="22"/>
      <c r="S2000" s="22"/>
    </row>
    <row r="2001" spans="3:21" x14ac:dyDescent="0.3">
      <c r="E2001" t="s">
        <v>195</v>
      </c>
      <c r="Q2001" s="22">
        <f>(1-Q1991)*P1987</f>
        <v>0.86449999999999994</v>
      </c>
      <c r="S2001" s="29">
        <f>R1997*(1-S1991)+R1998*(1-S1992)+R1999*(1-S1993)</f>
        <v>6.1786650000000033E-2</v>
      </c>
      <c r="T2001" s="29">
        <f>S1998*(1-T1992)+S2001</f>
        <v>6.1910920000000036E-2</v>
      </c>
      <c r="U2001" s="22"/>
    </row>
    <row r="2002" spans="3:21" x14ac:dyDescent="0.3">
      <c r="Q2002" s="22"/>
      <c r="S2002" s="29"/>
      <c r="T2002" s="29"/>
      <c r="U2002" s="22"/>
    </row>
    <row r="2003" spans="3:21" x14ac:dyDescent="0.3">
      <c r="Q2003" s="25" t="s">
        <v>32</v>
      </c>
    </row>
    <row r="2004" spans="3:21" x14ac:dyDescent="0.3">
      <c r="C2004" s="11"/>
      <c r="D2004" s="11"/>
      <c r="E2004" s="11" t="s">
        <v>124</v>
      </c>
      <c r="Q2004" s="8">
        <f>SUM(Q2005:Q2008)</f>
        <v>21.784858208358081</v>
      </c>
      <c r="R2004" s="8">
        <f t="shared" ref="R2004:S2004" si="145">SUM(R2005:R2008)</f>
        <v>2.9518482872325214</v>
      </c>
      <c r="S2004" s="8">
        <f t="shared" si="145"/>
        <v>1.6058348778130724</v>
      </c>
    </row>
    <row r="2005" spans="3:21" x14ac:dyDescent="0.3">
      <c r="C2005" s="23"/>
      <c r="D2005" s="23"/>
      <c r="E2005" s="23" t="s">
        <v>120</v>
      </c>
      <c r="Q2005" s="7">
        <f>P1962*(1-Q1991)</f>
        <v>19.824220969605854</v>
      </c>
      <c r="R2005" s="82">
        <f>Q2043*(1-R1991)+Q2006*(1-R1992)</f>
        <v>1.3536021647763303</v>
      </c>
    </row>
    <row r="2006" spans="3:21" x14ac:dyDescent="0.3">
      <c r="C2006" s="24"/>
      <c r="D2006" s="24"/>
      <c r="E2006" s="24" t="s">
        <v>122</v>
      </c>
      <c r="Q2006" s="7">
        <f>P1962*Q1991</f>
        <v>1.9606372387522273</v>
      </c>
      <c r="R2006" s="7">
        <f>Q2043*R1991</f>
        <v>2.9736331454408807E-2</v>
      </c>
      <c r="S2006" s="7">
        <f>R2005*S1991</f>
        <v>1.3536021647763304E-2</v>
      </c>
      <c r="T2006" s="7">
        <f>S2005*T1991</f>
        <v>0</v>
      </c>
    </row>
    <row r="2007" spans="3:21" x14ac:dyDescent="0.3">
      <c r="C2007" s="23"/>
      <c r="D2007" s="23"/>
      <c r="E2007" s="23" t="s">
        <v>121</v>
      </c>
      <c r="R2007" s="7">
        <f>Q2006*R1992</f>
        <v>1.568509791001782</v>
      </c>
      <c r="S2007" s="7">
        <f>R2006*S1992</f>
        <v>2.3789065163527048E-2</v>
      </c>
      <c r="T2007" s="7">
        <f>S2006*T1992</f>
        <v>1.0828817318210643E-2</v>
      </c>
    </row>
    <row r="2008" spans="3:21" x14ac:dyDescent="0.3">
      <c r="C2008" s="23"/>
      <c r="D2008" s="23"/>
      <c r="E2008" s="23" t="s">
        <v>138</v>
      </c>
      <c r="R2008" s="7"/>
      <c r="S2008" s="7">
        <f>R2007*S1993</f>
        <v>1.568509791001782</v>
      </c>
      <c r="T2008" s="7">
        <f>S2007*T1993+S2008</f>
        <v>1.5922988561653091</v>
      </c>
      <c r="U2008" s="7">
        <f>T2007*U1993+T2008</f>
        <v>1.6031276734835198</v>
      </c>
    </row>
    <row r="2009" spans="3:21" x14ac:dyDescent="0.3">
      <c r="C2009" s="23"/>
      <c r="D2009" s="23"/>
      <c r="E2009" s="23"/>
      <c r="R2009" s="7"/>
    </row>
    <row r="2010" spans="3:21" x14ac:dyDescent="0.3">
      <c r="C2010" s="23"/>
      <c r="D2010" s="23"/>
      <c r="E2010" s="23" t="s">
        <v>137</v>
      </c>
      <c r="R2010" s="7"/>
      <c r="S2010" s="7">
        <f>R2005*(1-S1991)+R2006*(1-S1992)+R2007*(1-S1993)</f>
        <v>1.3460134094194487</v>
      </c>
      <c r="T2010" s="7">
        <f>S2006*(1-T1992)+S2010</f>
        <v>1.3487206137490013</v>
      </c>
      <c r="U2010" s="7">
        <f>T2007*(1-U1993)+T2010</f>
        <v>1.3487206137490013</v>
      </c>
    </row>
    <row r="2011" spans="3:21" x14ac:dyDescent="0.3">
      <c r="C2011" s="23"/>
      <c r="D2011" s="23"/>
      <c r="E2011" s="23"/>
      <c r="R2011" s="7"/>
    </row>
    <row r="2012" spans="3:21" x14ac:dyDescent="0.3">
      <c r="C2012" s="11"/>
      <c r="D2012" s="11"/>
      <c r="E2012" s="11" t="s">
        <v>139</v>
      </c>
      <c r="Q2012" s="8">
        <f>SUM(Q2013:Q2014)</f>
        <v>19.824220969605854</v>
      </c>
      <c r="R2012" s="8">
        <f>SUM(R2013:R2014)</f>
        <v>1.3536021647763303</v>
      </c>
      <c r="S2012" s="8">
        <f>SUM(S2013:S2014)</f>
        <v>1.3460134094194487</v>
      </c>
      <c r="T2012" s="8">
        <f>SUM(T2013:T2014)</f>
        <v>2.7072043295526603E-3</v>
      </c>
    </row>
    <row r="2013" spans="3:21" x14ac:dyDescent="0.3">
      <c r="C2013" s="23"/>
      <c r="D2013" s="23"/>
      <c r="E2013" s="23" t="s">
        <v>120</v>
      </c>
      <c r="Q2013" s="7">
        <f>Q2005</f>
        <v>19.824220969605854</v>
      </c>
      <c r="R2013" s="7">
        <f>Q2043*(1-R1991)</f>
        <v>0.96147471702588483</v>
      </c>
      <c r="S2013" s="7">
        <f>R2005*(1-S1991)</f>
        <v>1.340066143128567</v>
      </c>
    </row>
    <row r="2014" spans="3:21" x14ac:dyDescent="0.3">
      <c r="C2014" s="24"/>
      <c r="D2014" s="24"/>
      <c r="E2014" s="24" t="s">
        <v>122</v>
      </c>
      <c r="R2014" s="7">
        <f>Q2006*(1-R1992)</f>
        <v>0.39212744775044539</v>
      </c>
      <c r="S2014" s="7">
        <f>R2006*(1-S1992)</f>
        <v>5.9472662908817602E-3</v>
      </c>
      <c r="T2014" s="7">
        <f>S2006*(1-T1992)</f>
        <v>2.7072043295526603E-3</v>
      </c>
    </row>
    <row r="2015" spans="3:21" x14ac:dyDescent="0.3">
      <c r="C2015" s="23"/>
      <c r="D2015" s="23"/>
      <c r="E2015" s="23"/>
      <c r="R2015" s="7"/>
      <c r="S2015" s="7">
        <f>R2007*(1-S1993)</f>
        <v>0</v>
      </c>
      <c r="T2015" s="7">
        <f>S2007*(1-T1993)</f>
        <v>0</v>
      </c>
    </row>
    <row r="2016" spans="3:21" x14ac:dyDescent="0.3">
      <c r="C2016" s="81"/>
      <c r="D2016" s="81"/>
      <c r="E2016" s="81" t="s">
        <v>123</v>
      </c>
    </row>
    <row r="2017" spans="3:21" x14ac:dyDescent="0.3">
      <c r="C2017" s="23"/>
      <c r="D2017" s="23"/>
      <c r="E2017" s="23" t="s">
        <v>120</v>
      </c>
      <c r="Q2017" s="7">
        <f>P1978-Q1985</f>
        <v>25.641025641025642</v>
      </c>
      <c r="R2017" s="7">
        <f>Q2017-R1985</f>
        <v>12.820512820512823</v>
      </c>
      <c r="S2017" s="7">
        <f>R2017-S1985</f>
        <v>0</v>
      </c>
    </row>
    <row r="2018" spans="3:21" x14ac:dyDescent="0.3">
      <c r="C2018" s="24"/>
      <c r="D2018" s="24"/>
      <c r="E2018" s="24" t="s">
        <v>122</v>
      </c>
      <c r="Q2018" s="7">
        <f>P1978</f>
        <v>38.46153846153846</v>
      </c>
      <c r="R2018" s="7">
        <f>Q2017</f>
        <v>25.641025641025642</v>
      </c>
      <c r="S2018" s="7">
        <f>R2017</f>
        <v>12.820512820512823</v>
      </c>
    </row>
    <row r="2019" spans="3:21" x14ac:dyDescent="0.3">
      <c r="C2019" s="23"/>
      <c r="D2019" s="23"/>
      <c r="E2019" s="23" t="s">
        <v>121</v>
      </c>
      <c r="R2019" s="7">
        <f>Q2018</f>
        <v>38.46153846153846</v>
      </c>
      <c r="S2019" s="7">
        <f>R2018</f>
        <v>25.641025641025642</v>
      </c>
      <c r="T2019" s="7">
        <f>S2018</f>
        <v>12.820512820512823</v>
      </c>
    </row>
    <row r="2020" spans="3:21" x14ac:dyDescent="0.3">
      <c r="C2020" s="23"/>
      <c r="D2020" s="23"/>
      <c r="E2020" s="23"/>
      <c r="S2020" s="7"/>
      <c r="T2020" s="7"/>
    </row>
    <row r="2021" spans="3:21" x14ac:dyDescent="0.3">
      <c r="C2021" s="23"/>
      <c r="D2021" s="23"/>
      <c r="E2021" s="23"/>
      <c r="S2021" s="7"/>
      <c r="T2021" s="7"/>
    </row>
    <row r="2022" spans="3:21" x14ac:dyDescent="0.3">
      <c r="C2022" s="11"/>
      <c r="D2022" s="11"/>
      <c r="E2022" s="11" t="s">
        <v>130</v>
      </c>
      <c r="Q2022" s="8">
        <f>SUM(Q2023:Q2026)</f>
        <v>583.72248276241521</v>
      </c>
      <c r="R2022" s="8">
        <f t="shared" ref="R2022:T2022" si="146">SUM(R2023:R2026)</f>
        <v>78.443643598596083</v>
      </c>
      <c r="S2022" s="8">
        <f t="shared" si="146"/>
        <v>61.110814422822607</v>
      </c>
      <c r="T2022" s="8">
        <f t="shared" si="146"/>
        <v>61.076106675007836</v>
      </c>
    </row>
    <row r="2023" spans="3:21" x14ac:dyDescent="0.3">
      <c r="C2023" s="23"/>
      <c r="D2023" s="23"/>
      <c r="E2023" s="23" t="s">
        <v>120</v>
      </c>
      <c r="Q2023" s="7">
        <f>Q2017*Q2005</f>
        <v>508.31335819502192</v>
      </c>
      <c r="R2023" s="7">
        <f t="shared" ref="R2023:S2024" si="147">R2017*R2005</f>
        <v>17.353873907388852</v>
      </c>
      <c r="S2023" s="7">
        <f t="shared" si="147"/>
        <v>0</v>
      </c>
    </row>
    <row r="2024" spans="3:21" x14ac:dyDescent="0.3">
      <c r="C2024" s="24"/>
      <c r="D2024" s="24"/>
      <c r="E2024" s="24" t="s">
        <v>122</v>
      </c>
      <c r="Q2024" s="7">
        <f>Q2018*Q2006</f>
        <v>75.409124567393349</v>
      </c>
      <c r="R2024" s="7">
        <f t="shared" si="147"/>
        <v>0.7624700372925336</v>
      </c>
      <c r="S2024" s="7">
        <f t="shared" si="147"/>
        <v>0.17353873907388853</v>
      </c>
      <c r="T2024" s="7">
        <f>T2018*T2006</f>
        <v>0</v>
      </c>
    </row>
    <row r="2025" spans="3:21" x14ac:dyDescent="0.3">
      <c r="C2025" s="23"/>
      <c r="D2025" s="23"/>
      <c r="E2025" s="23" t="s">
        <v>121</v>
      </c>
      <c r="R2025" s="7">
        <f>R2019*R2007</f>
        <v>60.327299653914693</v>
      </c>
      <c r="S2025" s="7">
        <f>S2019*S2007</f>
        <v>0.60997602983402688</v>
      </c>
      <c r="T2025" s="7">
        <f>T2019*T2007</f>
        <v>0.13883099125911083</v>
      </c>
    </row>
    <row r="2026" spans="3:21" x14ac:dyDescent="0.3">
      <c r="C2026" s="23"/>
      <c r="D2026" s="23"/>
      <c r="E2026" s="23" t="s">
        <v>299</v>
      </c>
      <c r="S2026" s="8">
        <f>R2025</f>
        <v>60.327299653914693</v>
      </c>
      <c r="T2026" s="8">
        <f>S2026+S2025</f>
        <v>60.937275683748723</v>
      </c>
      <c r="U2026" s="8">
        <f t="shared" ref="U2026" si="148">T2026+T2025</f>
        <v>61.076106675007836</v>
      </c>
    </row>
    <row r="2027" spans="3:21" x14ac:dyDescent="0.3">
      <c r="C2027" s="23"/>
      <c r="D2027" s="23"/>
      <c r="E2027" s="23"/>
    </row>
    <row r="2028" spans="3:21" x14ac:dyDescent="0.3">
      <c r="C2028" s="105"/>
      <c r="D2028" s="105"/>
      <c r="E2028" s="105" t="s">
        <v>300</v>
      </c>
      <c r="P2028" s="8">
        <f>U2026</f>
        <v>61.076106675007836</v>
      </c>
    </row>
    <row r="2029" spans="3:21" x14ac:dyDescent="0.3">
      <c r="C2029" s="23"/>
      <c r="D2029" s="23"/>
      <c r="E2029" s="23"/>
    </row>
    <row r="2030" spans="3:21" x14ac:dyDescent="0.3">
      <c r="C2030" s="11"/>
      <c r="D2030" s="11"/>
      <c r="E2030" s="11" t="s">
        <v>140</v>
      </c>
      <c r="Q2030" s="8">
        <f>SUM(Q2032:Q2035)</f>
        <v>737.0543693827816</v>
      </c>
      <c r="R2030" s="8">
        <f>SUM(R2032:R2035)</f>
        <v>22.381148878548402</v>
      </c>
      <c r="S2030" s="8">
        <f t="shared" ref="S2030:T2030" si="149">SUM(S2032:S2035)</f>
        <v>17.332829175773469</v>
      </c>
      <c r="T2030" s="8">
        <f t="shared" si="149"/>
        <v>3.4707747814777694E-2</v>
      </c>
    </row>
    <row r="2031" spans="3:21" x14ac:dyDescent="0.3">
      <c r="C2031" s="11"/>
      <c r="D2031" s="11"/>
      <c r="E2031" s="11"/>
      <c r="Q2031" s="8"/>
      <c r="R2031" s="8"/>
      <c r="S2031" s="8"/>
      <c r="T2031" s="8"/>
    </row>
    <row r="2032" spans="3:21" x14ac:dyDescent="0.3">
      <c r="E2032" t="s">
        <v>131</v>
      </c>
      <c r="G2032" s="23" t="s">
        <v>120</v>
      </c>
      <c r="Q2032" s="6">
        <f>Q2041*Q1986</f>
        <v>724.34653542790602</v>
      </c>
    </row>
    <row r="2033" spans="3:34" x14ac:dyDescent="0.3">
      <c r="G2033" s="23"/>
      <c r="Q2033" s="6"/>
    </row>
    <row r="2034" spans="3:34" x14ac:dyDescent="0.3">
      <c r="E2034" t="s">
        <v>200</v>
      </c>
      <c r="G2034" s="23" t="s">
        <v>120</v>
      </c>
      <c r="Q2034" s="6">
        <f>Q2043*Q1985</f>
        <v>12.707833954875559</v>
      </c>
      <c r="R2034" s="27">
        <f>R2013*R1985</f>
        <v>12.326598936229292</v>
      </c>
      <c r="S2034" s="27">
        <f>S2013*S1985</f>
        <v>17.180335168314961</v>
      </c>
      <c r="T2034" s="27">
        <f>T2013*T1985</f>
        <v>0</v>
      </c>
    </row>
    <row r="2035" spans="3:34" x14ac:dyDescent="0.3">
      <c r="E2035" t="s">
        <v>200</v>
      </c>
      <c r="G2035" s="24" t="s">
        <v>122</v>
      </c>
      <c r="Q2035" s="6"/>
      <c r="R2035" s="27">
        <f>R2014*(Q1985+R1985)</f>
        <v>10.054549942319111</v>
      </c>
      <c r="S2035" s="27">
        <f>S2014*(R1985+S1985)</f>
        <v>0.15249400745850666</v>
      </c>
      <c r="T2035" s="27">
        <f>T2014*(S1985+T1985)</f>
        <v>3.4707747814777694E-2</v>
      </c>
    </row>
    <row r="2037" spans="3:34" x14ac:dyDescent="0.3">
      <c r="C2037" s="11"/>
      <c r="D2037" s="11"/>
      <c r="E2037" s="11" t="s">
        <v>283</v>
      </c>
      <c r="Q2037" s="8">
        <f>SUM(Q2034:T2035)</f>
        <v>52.456519757012209</v>
      </c>
    </row>
    <row r="2039" spans="3:34" x14ac:dyDescent="0.3">
      <c r="E2039" t="s">
        <v>202</v>
      </c>
      <c r="Q2039" s="28">
        <f>Q2041*(R1985+S1985)</f>
        <v>482.8976902852707</v>
      </c>
    </row>
    <row r="2041" spans="3:34" x14ac:dyDescent="0.3">
      <c r="C2041" s="72"/>
      <c r="D2041" s="72"/>
      <c r="E2041" s="72" t="s">
        <v>132</v>
      </c>
      <c r="Q2041" s="73">
        <f>Q2005*P1987</f>
        <v>18.833009921125559</v>
      </c>
    </row>
    <row r="2043" spans="3:34" x14ac:dyDescent="0.3">
      <c r="E2043" t="s">
        <v>201</v>
      </c>
      <c r="Q2043" s="7">
        <f>Q2005*P1988</f>
        <v>0.99121104848029362</v>
      </c>
    </row>
    <row r="2048" spans="3:34" x14ac:dyDescent="0.3">
      <c r="E2048" s="160" t="s">
        <v>284</v>
      </c>
      <c r="F2048" s="161"/>
      <c r="G2048" s="161"/>
      <c r="H2048" s="161"/>
      <c r="I2048" s="161"/>
      <c r="J2048" s="161"/>
      <c r="K2048" s="161"/>
      <c r="L2048" s="161"/>
      <c r="M2048" s="161"/>
      <c r="N2048" s="161"/>
      <c r="O2048" s="161"/>
      <c r="P2048" s="161"/>
      <c r="Q2048" s="161"/>
      <c r="R2048" s="161"/>
      <c r="S2048" s="161"/>
      <c r="T2048" s="161"/>
      <c r="U2048" s="161"/>
      <c r="V2048" s="161"/>
      <c r="W2048" s="161"/>
      <c r="X2048" s="161"/>
      <c r="Y2048" s="161"/>
      <c r="Z2048" s="161"/>
      <c r="AA2048" s="161"/>
      <c r="AB2048" s="161"/>
      <c r="AC2048" s="161"/>
      <c r="AD2048" s="161"/>
      <c r="AE2048" s="161"/>
      <c r="AF2048" s="161"/>
      <c r="AG2048" s="161"/>
      <c r="AH2048" s="162"/>
    </row>
    <row r="2050" spans="3:20" x14ac:dyDescent="0.3">
      <c r="E2050" t="s">
        <v>197</v>
      </c>
      <c r="P2050" s="83">
        <f>M910</f>
        <v>414.22559192030377</v>
      </c>
    </row>
    <row r="2051" spans="3:20" x14ac:dyDescent="0.3">
      <c r="E2051" t="s">
        <v>206</v>
      </c>
      <c r="P2051" s="7">
        <f>P2053*P2050</f>
        <v>25.381910651266857</v>
      </c>
      <c r="S2051" s="77"/>
    </row>
    <row r="2052" spans="3:20" x14ac:dyDescent="0.3">
      <c r="P2052" s="7"/>
      <c r="S2052" s="77"/>
    </row>
    <row r="2053" spans="3:20" x14ac:dyDescent="0.3">
      <c r="C2053" s="11"/>
      <c r="D2053" s="11"/>
      <c r="E2053" s="11" t="s">
        <v>134</v>
      </c>
      <c r="F2053" s="11"/>
      <c r="G2053" s="11"/>
      <c r="P2053" s="98">
        <f>P2054*P2055*P2056*P2057</f>
        <v>6.1275573374400025E-2</v>
      </c>
      <c r="Q2053" s="7">
        <f>Q2054*Q2055*Q2056*Q2057</f>
        <v>0</v>
      </c>
      <c r="R2053" s="11"/>
      <c r="T2053" s="11"/>
    </row>
    <row r="2054" spans="3:20" x14ac:dyDescent="0.3">
      <c r="E2054" t="s">
        <v>35</v>
      </c>
      <c r="P2054" s="97">
        <f>Q949</f>
        <v>6.6481760000000029E-2</v>
      </c>
    </row>
    <row r="2055" spans="3:20" x14ac:dyDescent="0.3">
      <c r="E2055" t="s">
        <v>36</v>
      </c>
      <c r="P2055" s="86">
        <f>0.95</f>
        <v>0.95</v>
      </c>
    </row>
    <row r="2056" spans="3:20" x14ac:dyDescent="0.3">
      <c r="E2056" t="s">
        <v>142</v>
      </c>
      <c r="P2056" s="86">
        <v>0.99</v>
      </c>
    </row>
    <row r="2057" spans="3:20" x14ac:dyDescent="0.3">
      <c r="E2057" t="s">
        <v>37</v>
      </c>
      <c r="P2057" s="86">
        <v>0.98</v>
      </c>
    </row>
    <row r="2060" spans="3:20" x14ac:dyDescent="0.3">
      <c r="E2060" t="s">
        <v>125</v>
      </c>
      <c r="P2060" s="83">
        <f>$F$34</f>
        <v>32.051282051282051</v>
      </c>
    </row>
    <row r="2061" spans="3:20" x14ac:dyDescent="0.3">
      <c r="C2061" s="100"/>
      <c r="D2061" s="100"/>
      <c r="E2061" s="100" t="s">
        <v>135</v>
      </c>
      <c r="P2061" s="101">
        <f>P2060</f>
        <v>32.051282051282051</v>
      </c>
    </row>
    <row r="2063" spans="3:20" x14ac:dyDescent="0.3">
      <c r="E2063" t="s">
        <v>126</v>
      </c>
      <c r="P2063" s="88">
        <f>$H$52</f>
        <v>0.2</v>
      </c>
    </row>
    <row r="2064" spans="3:20" x14ac:dyDescent="0.3">
      <c r="E2064" t="s">
        <v>117</v>
      </c>
      <c r="P2064" s="7">
        <f>P2063*P2060</f>
        <v>6.4102564102564106</v>
      </c>
    </row>
    <row r="2066" spans="3:21" x14ac:dyDescent="0.3">
      <c r="E2066" t="s">
        <v>118</v>
      </c>
      <c r="P2066" s="7">
        <f>P2061</f>
        <v>32.051282051282051</v>
      </c>
    </row>
    <row r="2067" spans="3:21" x14ac:dyDescent="0.3">
      <c r="E2067" t="s">
        <v>106</v>
      </c>
      <c r="P2067" s="7">
        <f>P2060*(1+P2063)</f>
        <v>38.46153846153846</v>
      </c>
    </row>
    <row r="2068" spans="3:21" x14ac:dyDescent="0.3">
      <c r="P2068" s="7"/>
    </row>
    <row r="2069" spans="3:21" x14ac:dyDescent="0.3">
      <c r="E2069" t="s">
        <v>136</v>
      </c>
      <c r="P2069" s="7">
        <f>P2066*P2051</f>
        <v>813.52277728419415</v>
      </c>
    </row>
    <row r="2070" spans="3:21" x14ac:dyDescent="0.3">
      <c r="E2070" t="s">
        <v>119</v>
      </c>
      <c r="P2070" s="7">
        <f>P2067*P2051</f>
        <v>976.22733274103291</v>
      </c>
    </row>
    <row r="2071" spans="3:21" x14ac:dyDescent="0.3">
      <c r="P2071" s="7"/>
    </row>
    <row r="2072" spans="3:21" x14ac:dyDescent="0.3">
      <c r="E2072" t="s">
        <v>302</v>
      </c>
      <c r="P2072" s="6">
        <f>P2064*P2051</f>
        <v>162.70455545683885</v>
      </c>
    </row>
    <row r="2073" spans="3:21" x14ac:dyDescent="0.3">
      <c r="P2073" s="7"/>
    </row>
    <row r="2074" spans="3:21" x14ac:dyDescent="0.3">
      <c r="E2074" t="s">
        <v>127</v>
      </c>
      <c r="Q2074" s="7">
        <f>P2067/3</f>
        <v>12.820512820512819</v>
      </c>
      <c r="R2074" s="7">
        <f>P2067/3</f>
        <v>12.820512820512819</v>
      </c>
      <c r="S2074" s="7">
        <f>P2067/3</f>
        <v>12.820512820512819</v>
      </c>
    </row>
    <row r="2075" spans="3:21" x14ac:dyDescent="0.3">
      <c r="Q2075" s="7">
        <f>P2067</f>
        <v>38.46153846153846</v>
      </c>
    </row>
    <row r="2076" spans="3:21" s="103" customFormat="1" x14ac:dyDescent="0.3">
      <c r="E2076" s="103" t="s">
        <v>128</v>
      </c>
      <c r="P2076" s="79">
        <f>'Summary500-600'!$E$42</f>
        <v>0.95</v>
      </c>
    </row>
    <row r="2077" spans="3:21" s="103" customFormat="1" x14ac:dyDescent="0.3">
      <c r="E2077" s="103" t="s">
        <v>129</v>
      </c>
      <c r="P2077" s="79">
        <f>1-P2076</f>
        <v>5.0000000000000044E-2</v>
      </c>
    </row>
    <row r="2079" spans="3:21" x14ac:dyDescent="0.3">
      <c r="C2079" s="71"/>
      <c r="D2079" s="71"/>
      <c r="E2079" s="71" t="s">
        <v>16</v>
      </c>
    </row>
    <row r="2080" spans="3:21" x14ac:dyDescent="0.3">
      <c r="E2080" t="s">
        <v>17</v>
      </c>
      <c r="Q2080" s="74">
        <f>'Summary500-600'!$D$86</f>
        <v>0.09</v>
      </c>
      <c r="R2080" s="74">
        <f>'Summary500-600'!$D$87</f>
        <v>0.03</v>
      </c>
      <c r="S2080" s="74">
        <f>'Summary500-600'!$D$88</f>
        <v>0.01</v>
      </c>
      <c r="T2080" s="75"/>
      <c r="U2080" s="75"/>
    </row>
    <row r="2081" spans="3:21" x14ac:dyDescent="0.3">
      <c r="E2081" t="s">
        <v>18</v>
      </c>
      <c r="G2081" s="75"/>
      <c r="R2081" s="74">
        <f>'Summary500-600'!$D$89</f>
        <v>0.8</v>
      </c>
      <c r="S2081" s="76">
        <f>R2081</f>
        <v>0.8</v>
      </c>
      <c r="T2081" s="76">
        <f>S2081</f>
        <v>0.8</v>
      </c>
      <c r="U2081" s="75"/>
    </row>
    <row r="2082" spans="3:21" x14ac:dyDescent="0.3">
      <c r="E2082" t="s">
        <v>19</v>
      </c>
      <c r="G2082" s="75"/>
      <c r="R2082" s="75"/>
      <c r="S2082" s="74">
        <f>'Summary500-600'!$D$90</f>
        <v>1</v>
      </c>
      <c r="T2082" s="74">
        <f>S2082</f>
        <v>1</v>
      </c>
      <c r="U2082" s="74">
        <f>T2082</f>
        <v>1</v>
      </c>
    </row>
    <row r="2083" spans="3:21" x14ac:dyDescent="0.3">
      <c r="E2083" t="s">
        <v>20</v>
      </c>
      <c r="S2083" s="21"/>
    </row>
    <row r="2084" spans="3:21" x14ac:dyDescent="0.3">
      <c r="S2084" s="21"/>
    </row>
    <row r="2085" spans="3:21" x14ac:dyDescent="0.3">
      <c r="C2085" s="11"/>
      <c r="D2085" s="11"/>
      <c r="E2085" s="11" t="s">
        <v>196</v>
      </c>
      <c r="Q2085" s="90">
        <f>SUM(Q2086:Q2089)</f>
        <v>0.13550000000000004</v>
      </c>
      <c r="R2085" s="90">
        <f t="shared" ref="R2085:T2085" si="150">SUM(R2086:R2089)</f>
        <v>0.13550000000000001</v>
      </c>
      <c r="S2085" s="90">
        <f t="shared" si="150"/>
        <v>7.3713349999999997E-2</v>
      </c>
      <c r="T2085" s="90">
        <f t="shared" si="150"/>
        <v>7.3589079999999987E-2</v>
      </c>
    </row>
    <row r="2086" spans="3:21" x14ac:dyDescent="0.3">
      <c r="E2086" t="s">
        <v>17</v>
      </c>
      <c r="Q2086" s="22">
        <f>(1-Q2080)*P2077</f>
        <v>4.550000000000004E-2</v>
      </c>
      <c r="R2086" s="22">
        <f>Q2086*(1-R2080)+Q2087*(1-R2081)</f>
        <v>6.213500000000003E-2</v>
      </c>
    </row>
    <row r="2087" spans="3:21" x14ac:dyDescent="0.3">
      <c r="E2087" t="s">
        <v>18</v>
      </c>
      <c r="Q2087" s="22">
        <f>Q2080</f>
        <v>0.09</v>
      </c>
      <c r="R2087" s="22">
        <f>Q2086*R2080</f>
        <v>1.3650000000000012E-3</v>
      </c>
      <c r="S2087" s="22">
        <f>R2086*S2080</f>
        <v>6.2135000000000033E-4</v>
      </c>
      <c r="U2087" s="22"/>
    </row>
    <row r="2088" spans="3:21" x14ac:dyDescent="0.3">
      <c r="E2088" t="s">
        <v>19</v>
      </c>
      <c r="R2088" s="22">
        <f>Q2087*R2081</f>
        <v>7.1999999999999995E-2</v>
      </c>
      <c r="S2088" s="22">
        <f>R2087*S2081+R2088</f>
        <v>7.309199999999999E-2</v>
      </c>
      <c r="T2088" s="22">
        <f>S2087*T2081+S2088</f>
        <v>7.3589079999999987E-2</v>
      </c>
    </row>
    <row r="2089" spans="3:21" x14ac:dyDescent="0.3">
      <c r="R2089" s="22"/>
      <c r="S2089" s="22"/>
    </row>
    <row r="2090" spans="3:21" x14ac:dyDescent="0.3">
      <c r="E2090" t="s">
        <v>195</v>
      </c>
      <c r="Q2090" s="22">
        <f>(1-Q2080)*P2076</f>
        <v>0.86449999999999994</v>
      </c>
      <c r="S2090" s="29">
        <f>R2086*(1-S2080)+R2087*(1-S2081)+R2088*(1-S2082)</f>
        <v>6.1786650000000033E-2</v>
      </c>
      <c r="T2090" s="29">
        <f>S2087*(1-T2081)+S2090</f>
        <v>6.1910920000000036E-2</v>
      </c>
      <c r="U2090" s="22"/>
    </row>
    <row r="2091" spans="3:21" x14ac:dyDescent="0.3">
      <c r="Q2091" s="22"/>
      <c r="S2091" s="29"/>
      <c r="T2091" s="29"/>
      <c r="U2091" s="22"/>
    </row>
    <row r="2092" spans="3:21" x14ac:dyDescent="0.3">
      <c r="Q2092" s="25" t="s">
        <v>32</v>
      </c>
    </row>
    <row r="2093" spans="3:21" x14ac:dyDescent="0.3">
      <c r="C2093" s="11"/>
      <c r="D2093" s="11"/>
      <c r="E2093" s="11" t="s">
        <v>124</v>
      </c>
      <c r="Q2093" s="8">
        <f>SUM(Q2094:Q2097)</f>
        <v>25.381910651266857</v>
      </c>
      <c r="R2093" s="8">
        <f t="shared" ref="R2093:S2093" si="151">SUM(R2094:R2097)</f>
        <v>3.4392488932466603</v>
      </c>
      <c r="S2093" s="8">
        <f t="shared" si="151"/>
        <v>1.8709856635055619</v>
      </c>
    </row>
    <row r="2094" spans="3:21" x14ac:dyDescent="0.3">
      <c r="C2094" s="23"/>
      <c r="D2094" s="23"/>
      <c r="E2094" s="23" t="s">
        <v>120</v>
      </c>
      <c r="Q2094" s="7">
        <f>P2051*(1-Q2080)</f>
        <v>23.09753869265284</v>
      </c>
      <c r="R2094" s="82">
        <f>Q2132*(1-R2080)+Q2095*(1-R2081)</f>
        <v>1.577105018316467</v>
      </c>
    </row>
    <row r="2095" spans="3:21" x14ac:dyDescent="0.3">
      <c r="C2095" s="24"/>
      <c r="D2095" s="24"/>
      <c r="E2095" s="24" t="s">
        <v>122</v>
      </c>
      <c r="Q2095" s="7">
        <f>P2051*Q2080</f>
        <v>2.2843719586140172</v>
      </c>
      <c r="R2095" s="7">
        <f>Q2132*R2080</f>
        <v>3.4646308038979293E-2</v>
      </c>
      <c r="S2095" s="7">
        <f>R2094*S2080</f>
        <v>1.5771050183164669E-2</v>
      </c>
      <c r="T2095" s="7">
        <f>S2094*T2080</f>
        <v>0</v>
      </c>
    </row>
    <row r="2096" spans="3:21" x14ac:dyDescent="0.3">
      <c r="C2096" s="23"/>
      <c r="D2096" s="23"/>
      <c r="E2096" s="23" t="s">
        <v>121</v>
      </c>
      <c r="R2096" s="7">
        <f>Q2095*R2081</f>
        <v>1.8274975668912139</v>
      </c>
      <c r="S2096" s="7">
        <f>R2095*S2081</f>
        <v>2.7717046431183435E-2</v>
      </c>
      <c r="T2096" s="7">
        <f>S2095*T2081</f>
        <v>1.2616840146531735E-2</v>
      </c>
    </row>
    <row r="2097" spans="3:21" x14ac:dyDescent="0.3">
      <c r="C2097" s="23"/>
      <c r="D2097" s="23"/>
      <c r="E2097" s="23" t="s">
        <v>138</v>
      </c>
      <c r="R2097" s="7"/>
      <c r="S2097" s="7">
        <f>R2096*S2082</f>
        <v>1.8274975668912139</v>
      </c>
      <c r="T2097" s="7">
        <f>S2096*T2082+S2097</f>
        <v>1.8552146133223972</v>
      </c>
      <c r="U2097" s="7">
        <f>T2096*U2082+T2097</f>
        <v>1.8678314534689289</v>
      </c>
    </row>
    <row r="2098" spans="3:21" x14ac:dyDescent="0.3">
      <c r="C2098" s="23"/>
      <c r="D2098" s="23"/>
      <c r="E2098" s="23"/>
      <c r="R2098" s="7"/>
    </row>
    <row r="2099" spans="3:21" x14ac:dyDescent="0.3">
      <c r="C2099" s="23"/>
      <c r="D2099" s="23"/>
      <c r="E2099" s="23" t="s">
        <v>137</v>
      </c>
      <c r="R2099" s="7"/>
      <c r="S2099" s="7">
        <f>R2094*(1-S2080)+R2095*(1-S2081)+R2096*(1-S2082)</f>
        <v>1.5682632297410981</v>
      </c>
      <c r="T2099" s="7">
        <f>S2095*(1-T2081)+S2099</f>
        <v>1.571417439777731</v>
      </c>
      <c r="U2099" s="7">
        <f>T2096*(1-U2082)+T2099</f>
        <v>1.571417439777731</v>
      </c>
    </row>
    <row r="2100" spans="3:21" x14ac:dyDescent="0.3">
      <c r="C2100" s="23"/>
      <c r="D2100" s="23"/>
      <c r="E2100" s="23"/>
      <c r="R2100" s="7"/>
    </row>
    <row r="2101" spans="3:21" x14ac:dyDescent="0.3">
      <c r="C2101" s="11"/>
      <c r="D2101" s="11"/>
      <c r="E2101" s="11" t="s">
        <v>139</v>
      </c>
      <c r="Q2101" s="8">
        <f>SUM(Q2102:Q2103)</f>
        <v>23.09753869265284</v>
      </c>
      <c r="R2101" s="8">
        <f>SUM(R2102:R2103)</f>
        <v>1.577105018316467</v>
      </c>
      <c r="S2101" s="8">
        <f>SUM(S2102:S2103)</f>
        <v>1.5682632297410981</v>
      </c>
      <c r="T2101" s="8">
        <f>SUM(T2102:T2103)</f>
        <v>3.154210036632933E-3</v>
      </c>
    </row>
    <row r="2102" spans="3:21" x14ac:dyDescent="0.3">
      <c r="C2102" s="23"/>
      <c r="D2102" s="23"/>
      <c r="E2102" s="23" t="s">
        <v>120</v>
      </c>
      <c r="Q2102" s="7">
        <f>Q2094</f>
        <v>23.09753869265284</v>
      </c>
      <c r="R2102" s="7">
        <f>Q2132*(1-R2080)</f>
        <v>1.1202306265936637</v>
      </c>
      <c r="S2102" s="7">
        <f>R2094*(1-S2080)</f>
        <v>1.5613339681333023</v>
      </c>
    </row>
    <row r="2103" spans="3:21" x14ac:dyDescent="0.3">
      <c r="C2103" s="24"/>
      <c r="D2103" s="24"/>
      <c r="E2103" s="24" t="s">
        <v>122</v>
      </c>
      <c r="R2103" s="7">
        <f>Q2095*(1-R2081)</f>
        <v>0.45687439172280336</v>
      </c>
      <c r="S2103" s="7">
        <f>R2095*(1-S2081)</f>
        <v>6.929261607795857E-3</v>
      </c>
      <c r="T2103" s="7">
        <f>S2095*(1-T2081)</f>
        <v>3.154210036632933E-3</v>
      </c>
    </row>
    <row r="2104" spans="3:21" x14ac:dyDescent="0.3">
      <c r="C2104" s="23"/>
      <c r="D2104" s="23"/>
      <c r="E2104" s="23"/>
      <c r="R2104" s="7"/>
      <c r="S2104" s="7">
        <f>R2096*(1-S2082)</f>
        <v>0</v>
      </c>
      <c r="T2104" s="7">
        <f>S2096*(1-T2082)</f>
        <v>0</v>
      </c>
    </row>
    <row r="2105" spans="3:21" x14ac:dyDescent="0.3">
      <c r="C2105" s="81"/>
      <c r="D2105" s="81"/>
      <c r="E2105" s="81" t="s">
        <v>123</v>
      </c>
    </row>
    <row r="2106" spans="3:21" x14ac:dyDescent="0.3">
      <c r="C2106" s="23"/>
      <c r="D2106" s="23"/>
      <c r="E2106" s="23" t="s">
        <v>120</v>
      </c>
      <c r="Q2106" s="7">
        <f>P2067-Q2074</f>
        <v>25.641025641025642</v>
      </c>
      <c r="R2106" s="7">
        <f>Q2106-R2074</f>
        <v>12.820512820512823</v>
      </c>
      <c r="S2106" s="7">
        <f>R2106-S2074</f>
        <v>0</v>
      </c>
    </row>
    <row r="2107" spans="3:21" x14ac:dyDescent="0.3">
      <c r="C2107" s="24"/>
      <c r="D2107" s="24"/>
      <c r="E2107" s="24" t="s">
        <v>122</v>
      </c>
      <c r="Q2107" s="7">
        <f>P2067</f>
        <v>38.46153846153846</v>
      </c>
      <c r="R2107" s="7">
        <f>Q2106</f>
        <v>25.641025641025642</v>
      </c>
      <c r="S2107" s="7">
        <f>R2106</f>
        <v>12.820512820512823</v>
      </c>
    </row>
    <row r="2108" spans="3:21" x14ac:dyDescent="0.3">
      <c r="C2108" s="23"/>
      <c r="D2108" s="23"/>
      <c r="E2108" s="23" t="s">
        <v>121</v>
      </c>
      <c r="R2108" s="7">
        <f>Q2107</f>
        <v>38.46153846153846</v>
      </c>
      <c r="S2108" s="7">
        <f>R2107</f>
        <v>25.641025641025642</v>
      </c>
      <c r="T2108" s="7">
        <f>S2107</f>
        <v>12.820512820512823</v>
      </c>
    </row>
    <row r="2109" spans="3:21" x14ac:dyDescent="0.3">
      <c r="C2109" s="23"/>
      <c r="D2109" s="23"/>
      <c r="E2109" s="23"/>
      <c r="S2109" s="7"/>
      <c r="T2109" s="7"/>
    </row>
    <row r="2110" spans="3:21" x14ac:dyDescent="0.3">
      <c r="C2110" s="23"/>
      <c r="D2110" s="23"/>
      <c r="E2110" s="23"/>
      <c r="S2110" s="7"/>
      <c r="T2110" s="7"/>
    </row>
    <row r="2111" spans="3:21" x14ac:dyDescent="0.3">
      <c r="C2111" s="11"/>
      <c r="D2111" s="11"/>
      <c r="E2111" s="11" t="s">
        <v>130</v>
      </c>
      <c r="Q2111" s="8">
        <f>SUM(Q2112:Q2115)</f>
        <v>680.10504180958628</v>
      </c>
      <c r="R2111" s="8">
        <f t="shared" ref="R2111:T2111" si="152">SUM(R2112:R2115)</f>
        <v>91.396029936770091</v>
      </c>
      <c r="S2111" s="8">
        <f t="shared" si="152"/>
        <v>71.201254406656062</v>
      </c>
      <c r="T2111" s="8">
        <f t="shared" si="152"/>
        <v>71.16081581644282</v>
      </c>
    </row>
    <row r="2112" spans="3:21" x14ac:dyDescent="0.3">
      <c r="C2112" s="23"/>
      <c r="D2112" s="23"/>
      <c r="E2112" s="23" t="s">
        <v>120</v>
      </c>
      <c r="Q2112" s="7">
        <f>Q2106*Q2094</f>
        <v>592.24458186289337</v>
      </c>
      <c r="R2112" s="7">
        <f t="shared" ref="R2112:S2113" si="153">R2106*R2094</f>
        <v>20.219295106621374</v>
      </c>
      <c r="S2112" s="7">
        <f t="shared" si="153"/>
        <v>0</v>
      </c>
    </row>
    <row r="2113" spans="3:21" x14ac:dyDescent="0.3">
      <c r="C2113" s="24"/>
      <c r="D2113" s="24"/>
      <c r="E2113" s="24" t="s">
        <v>122</v>
      </c>
      <c r="Q2113" s="7">
        <f>Q2107*Q2095</f>
        <v>87.86045994669297</v>
      </c>
      <c r="R2113" s="7">
        <f t="shared" si="153"/>
        <v>0.8883668727943409</v>
      </c>
      <c r="S2113" s="7">
        <f t="shared" si="153"/>
        <v>0.20219295106621374</v>
      </c>
      <c r="T2113" s="7">
        <f>T2107*T2095</f>
        <v>0</v>
      </c>
    </row>
    <row r="2114" spans="3:21" x14ac:dyDescent="0.3">
      <c r="C2114" s="23"/>
      <c r="D2114" s="23"/>
      <c r="E2114" s="23" t="s">
        <v>121</v>
      </c>
      <c r="R2114" s="7">
        <f>R2108*R2096</f>
        <v>70.288367957354382</v>
      </c>
      <c r="S2114" s="7">
        <f>S2108*S2096</f>
        <v>0.71069349823547268</v>
      </c>
      <c r="T2114" s="7">
        <f>T2108*T2096</f>
        <v>0.16175436085297099</v>
      </c>
    </row>
    <row r="2115" spans="3:21" x14ac:dyDescent="0.3">
      <c r="C2115" s="23"/>
      <c r="D2115" s="23"/>
      <c r="E2115" s="23" t="s">
        <v>299</v>
      </c>
      <c r="S2115" s="8">
        <f>R2114</f>
        <v>70.288367957354382</v>
      </c>
      <c r="T2115" s="8">
        <f>S2115+S2114</f>
        <v>70.999061455589853</v>
      </c>
      <c r="U2115" s="8">
        <f>T2115+T2114</f>
        <v>71.16081581644282</v>
      </c>
    </row>
    <row r="2116" spans="3:21" x14ac:dyDescent="0.3">
      <c r="C2116" s="23"/>
      <c r="D2116" s="23"/>
      <c r="E2116" s="23"/>
    </row>
    <row r="2117" spans="3:21" x14ac:dyDescent="0.3">
      <c r="C2117" s="105"/>
      <c r="D2117" s="105"/>
      <c r="E2117" s="105" t="s">
        <v>300</v>
      </c>
      <c r="P2117" s="8">
        <f>U2115</f>
        <v>71.16081581644282</v>
      </c>
    </row>
    <row r="2118" spans="3:21" x14ac:dyDescent="0.3">
      <c r="C2118" s="23"/>
      <c r="D2118" s="23"/>
      <c r="E2118" s="23"/>
    </row>
    <row r="2119" spans="3:21" x14ac:dyDescent="0.3">
      <c r="C2119" s="11"/>
      <c r="D2119" s="11"/>
      <c r="E2119" s="11" t="s">
        <v>140</v>
      </c>
      <c r="Q2119" s="8">
        <f>SUM(Q2121:Q2124)</f>
        <v>858.75464370119528</v>
      </c>
      <c r="R2119" s="8">
        <f>SUM(R2121:R2124)</f>
        <v>26.076659103067566</v>
      </c>
      <c r="S2119" s="8">
        <f t="shared" ref="S2119:T2119" si="154">SUM(S2121:S2124)</f>
        <v>20.194775530114022</v>
      </c>
      <c r="T2119" s="8">
        <f t="shared" si="154"/>
        <v>4.0438590213242726E-2</v>
      </c>
    </row>
    <row r="2120" spans="3:21" x14ac:dyDescent="0.3">
      <c r="C2120" s="11"/>
      <c r="D2120" s="11"/>
      <c r="E2120" s="11"/>
      <c r="Q2120" s="8"/>
      <c r="R2120" s="8"/>
      <c r="S2120" s="8"/>
      <c r="T2120" s="8"/>
    </row>
    <row r="2121" spans="3:21" x14ac:dyDescent="0.3">
      <c r="E2121" t="s">
        <v>131</v>
      </c>
      <c r="G2121" s="23" t="s">
        <v>120</v>
      </c>
      <c r="Q2121" s="6">
        <f>Q2130*Q2075</f>
        <v>843.94852915462297</v>
      </c>
    </row>
    <row r="2122" spans="3:21" x14ac:dyDescent="0.3">
      <c r="G2122" s="23"/>
      <c r="Q2122" s="6"/>
    </row>
    <row r="2123" spans="3:21" x14ac:dyDescent="0.3">
      <c r="E2123" t="s">
        <v>200</v>
      </c>
      <c r="G2123" s="23" t="s">
        <v>120</v>
      </c>
      <c r="Q2123" s="6">
        <f>Q2132*Q2074</f>
        <v>14.806114546572346</v>
      </c>
      <c r="R2123" s="27">
        <f>R2102*R2074</f>
        <v>14.361931110175174</v>
      </c>
      <c r="S2123" s="27">
        <f>S2102*S2074</f>
        <v>20.017102155555154</v>
      </c>
      <c r="T2123" s="27">
        <f>T2102*T2074</f>
        <v>0</v>
      </c>
    </row>
    <row r="2124" spans="3:21" x14ac:dyDescent="0.3">
      <c r="E2124" t="s">
        <v>200</v>
      </c>
      <c r="G2124" s="24" t="s">
        <v>122</v>
      </c>
      <c r="Q2124" s="6"/>
      <c r="R2124" s="27">
        <f>R2103*(Q2074+R2074)</f>
        <v>11.714727992892392</v>
      </c>
      <c r="S2124" s="27">
        <f>S2103*(R2074+S2074)</f>
        <v>0.17767337455886811</v>
      </c>
      <c r="T2124" s="27">
        <f>T2103*(S2074+T2074)</f>
        <v>4.0438590213242726E-2</v>
      </c>
    </row>
    <row r="2126" spans="3:21" x14ac:dyDescent="0.3">
      <c r="C2126" s="11"/>
      <c r="D2126" s="11"/>
      <c r="E2126" s="11" t="s">
        <v>283</v>
      </c>
      <c r="Q2126" s="8">
        <f>SUM(Q2123:T2124)</f>
        <v>61.117987769967179</v>
      </c>
    </row>
    <row r="2128" spans="3:21" x14ac:dyDescent="0.3">
      <c r="E2128" t="s">
        <v>202</v>
      </c>
      <c r="Q2128" s="28">
        <f>Q2130*(R2074+S2074)</f>
        <v>562.63235276974854</v>
      </c>
    </row>
    <row r="2130" spans="3:25" x14ac:dyDescent="0.3">
      <c r="C2130" s="72"/>
      <c r="D2130" s="72"/>
      <c r="E2130" s="72" t="s">
        <v>132</v>
      </c>
      <c r="Q2130" s="73">
        <f>Q2094*P2076</f>
        <v>21.942661758020197</v>
      </c>
    </row>
    <row r="2132" spans="3:25" x14ac:dyDescent="0.3">
      <c r="E2132" t="s">
        <v>201</v>
      </c>
      <c r="Q2132" s="7">
        <f>Q2094*P2077</f>
        <v>1.1548769346326431</v>
      </c>
    </row>
    <row r="2137" spans="3:25" x14ac:dyDescent="0.3">
      <c r="E2137" s="152" t="s">
        <v>285</v>
      </c>
      <c r="F2137" s="153"/>
      <c r="G2137" s="153"/>
      <c r="H2137" s="153"/>
      <c r="I2137" s="153"/>
      <c r="J2137" s="153"/>
      <c r="K2137" s="153"/>
      <c r="L2137" s="153"/>
      <c r="M2137" s="153"/>
      <c r="N2137" s="153"/>
      <c r="O2137" s="153"/>
      <c r="P2137" s="153"/>
      <c r="Q2137" s="153"/>
      <c r="R2137" s="153"/>
      <c r="S2137" s="153"/>
      <c r="T2137" s="153"/>
      <c r="U2137" s="153"/>
      <c r="V2137" s="153"/>
      <c r="W2137" s="153"/>
      <c r="X2137" s="153"/>
      <c r="Y2137" s="154"/>
    </row>
    <row r="2139" spans="3:25" x14ac:dyDescent="0.3">
      <c r="E2139" t="s">
        <v>197</v>
      </c>
      <c r="P2139" s="83">
        <f>O1084</f>
        <v>30.710115730510413</v>
      </c>
    </row>
    <row r="2140" spans="3:25" x14ac:dyDescent="0.3">
      <c r="E2140" t="s">
        <v>206</v>
      </c>
      <c r="P2140" s="7">
        <f>P2142*P2139</f>
        <v>30.710115730510413</v>
      </c>
      <c r="S2140" s="77"/>
    </row>
    <row r="2141" spans="3:25" x14ac:dyDescent="0.3">
      <c r="P2141" s="7"/>
      <c r="S2141" s="77"/>
    </row>
    <row r="2142" spans="3:25" x14ac:dyDescent="0.3">
      <c r="C2142" s="11"/>
      <c r="D2142" s="11"/>
      <c r="E2142" s="11" t="s">
        <v>134</v>
      </c>
      <c r="F2142" s="11"/>
      <c r="G2142" s="11"/>
      <c r="P2142" s="104">
        <f>$I$129</f>
        <v>1</v>
      </c>
      <c r="Q2142" s="7">
        <f>Q2143*Q2144*Q2145*Q2146</f>
        <v>0</v>
      </c>
      <c r="R2142" s="11"/>
      <c r="T2142" s="11"/>
    </row>
    <row r="2143" spans="3:25" x14ac:dyDescent="0.3">
      <c r="E2143" t="s">
        <v>35</v>
      </c>
      <c r="P2143" s="89">
        <v>0</v>
      </c>
    </row>
    <row r="2144" spans="3:25" x14ac:dyDescent="0.3">
      <c r="E2144" t="s">
        <v>36</v>
      </c>
      <c r="P2144" s="89">
        <f>0.95</f>
        <v>0.95</v>
      </c>
    </row>
    <row r="2145" spans="5:16" x14ac:dyDescent="0.3">
      <c r="E2145" t="s">
        <v>142</v>
      </c>
      <c r="P2145" s="89">
        <v>0.99</v>
      </c>
    </row>
    <row r="2146" spans="5:16" x14ac:dyDescent="0.3">
      <c r="E2146" t="s">
        <v>37</v>
      </c>
      <c r="P2146" s="89">
        <v>0.98</v>
      </c>
    </row>
    <row r="2149" spans="5:16" x14ac:dyDescent="0.3">
      <c r="E2149" t="s">
        <v>125</v>
      </c>
      <c r="P2149" s="83">
        <f>$F$34</f>
        <v>32.051282051282051</v>
      </c>
    </row>
    <row r="2150" spans="5:16" x14ac:dyDescent="0.3">
      <c r="E2150" t="s">
        <v>135</v>
      </c>
      <c r="P2150" s="82">
        <f>P2149</f>
        <v>32.051282051282051</v>
      </c>
    </row>
    <row r="2152" spans="5:16" x14ac:dyDescent="0.3">
      <c r="E2152" t="s">
        <v>126</v>
      </c>
      <c r="P2152" s="88">
        <f>$H$52</f>
        <v>0.2</v>
      </c>
    </row>
    <row r="2153" spans="5:16" x14ac:dyDescent="0.3">
      <c r="E2153" t="s">
        <v>117</v>
      </c>
      <c r="P2153" s="7">
        <f>P2152*P2149</f>
        <v>6.4102564102564106</v>
      </c>
    </row>
    <row r="2155" spans="5:16" x14ac:dyDescent="0.3">
      <c r="E2155" t="s">
        <v>118</v>
      </c>
      <c r="P2155" s="7">
        <f>P2150</f>
        <v>32.051282051282051</v>
      </c>
    </row>
    <row r="2156" spans="5:16" x14ac:dyDescent="0.3">
      <c r="E2156" t="s">
        <v>106</v>
      </c>
      <c r="P2156" s="7">
        <f>P2149*(1+P2152)</f>
        <v>38.46153846153846</v>
      </c>
    </row>
    <row r="2157" spans="5:16" x14ac:dyDescent="0.3">
      <c r="P2157" s="7"/>
    </row>
    <row r="2158" spans="5:16" x14ac:dyDescent="0.3">
      <c r="E2158" t="s">
        <v>136</v>
      </c>
      <c r="P2158" s="7">
        <f>P2155*P2140</f>
        <v>984.29858110610303</v>
      </c>
    </row>
    <row r="2159" spans="5:16" x14ac:dyDescent="0.3">
      <c r="E2159" t="s">
        <v>119</v>
      </c>
      <c r="P2159" s="7">
        <f>P2156*P2140</f>
        <v>1181.1582973273235</v>
      </c>
    </row>
    <row r="2160" spans="5:16" x14ac:dyDescent="0.3">
      <c r="P2160" s="7"/>
    </row>
    <row r="2161" spans="3:21" x14ac:dyDescent="0.3">
      <c r="E2161" t="s">
        <v>302</v>
      </c>
      <c r="P2161" s="6">
        <f>P2153*P2140</f>
        <v>196.85971622122059</v>
      </c>
    </row>
    <row r="2162" spans="3:21" x14ac:dyDescent="0.3">
      <c r="P2162" s="7"/>
    </row>
    <row r="2163" spans="3:21" x14ac:dyDescent="0.3">
      <c r="E2163" t="s">
        <v>127</v>
      </c>
      <c r="Q2163" s="7">
        <f>P2156/3</f>
        <v>12.820512820512819</v>
      </c>
      <c r="R2163" s="7">
        <f>P2156/3</f>
        <v>12.820512820512819</v>
      </c>
      <c r="S2163" s="7">
        <f>P2156/3</f>
        <v>12.820512820512819</v>
      </c>
    </row>
    <row r="2164" spans="3:21" x14ac:dyDescent="0.3">
      <c r="Q2164" s="7">
        <f>P2156</f>
        <v>38.46153846153846</v>
      </c>
    </row>
    <row r="2165" spans="3:21" s="103" customFormat="1" x14ac:dyDescent="0.3">
      <c r="E2165" s="103" t="s">
        <v>128</v>
      </c>
      <c r="P2165" s="79">
        <f>'Summary500-600'!$C$42</f>
        <v>0.95</v>
      </c>
    </row>
    <row r="2166" spans="3:21" s="103" customFormat="1" x14ac:dyDescent="0.3">
      <c r="E2166" s="103" t="s">
        <v>129</v>
      </c>
      <c r="P2166" s="79">
        <f>1-P2165</f>
        <v>5.0000000000000044E-2</v>
      </c>
    </row>
    <row r="2168" spans="3:21" x14ac:dyDescent="0.3">
      <c r="C2168" s="71"/>
      <c r="D2168" s="71"/>
      <c r="E2168" s="71" t="s">
        <v>16</v>
      </c>
    </row>
    <row r="2169" spans="3:21" x14ac:dyDescent="0.3">
      <c r="E2169" t="s">
        <v>17</v>
      </c>
      <c r="Q2169" s="74">
        <f>'Summary500-600'!$C$86</f>
        <v>0.09</v>
      </c>
      <c r="R2169" s="74">
        <f>'Summary500-600'!$C$87</f>
        <v>0.03</v>
      </c>
      <c r="S2169" s="74">
        <f>'Summary500-600'!$C$88</f>
        <v>0.01</v>
      </c>
      <c r="T2169" s="75"/>
      <c r="U2169" s="75"/>
    </row>
    <row r="2170" spans="3:21" x14ac:dyDescent="0.3">
      <c r="E2170" t="s">
        <v>18</v>
      </c>
      <c r="G2170" s="75"/>
      <c r="R2170" s="74">
        <f>'Summary500-600'!$C$89</f>
        <v>0.8</v>
      </c>
      <c r="S2170" s="76">
        <f>R2170</f>
        <v>0.8</v>
      </c>
      <c r="T2170" s="76">
        <f>S2170</f>
        <v>0.8</v>
      </c>
      <c r="U2170" s="75"/>
    </row>
    <row r="2171" spans="3:21" x14ac:dyDescent="0.3">
      <c r="E2171" t="s">
        <v>19</v>
      </c>
      <c r="G2171" s="75"/>
      <c r="R2171" s="75"/>
      <c r="S2171" s="74">
        <f>'Summary500-600'!$C$90</f>
        <v>1</v>
      </c>
      <c r="T2171" s="74">
        <f>S2171</f>
        <v>1</v>
      </c>
      <c r="U2171" s="74">
        <f>T2171</f>
        <v>1</v>
      </c>
    </row>
    <row r="2172" spans="3:21" x14ac:dyDescent="0.3">
      <c r="E2172" t="s">
        <v>20</v>
      </c>
      <c r="S2172" s="21"/>
    </row>
    <row r="2173" spans="3:21" x14ac:dyDescent="0.3">
      <c r="S2173" s="21"/>
    </row>
    <row r="2174" spans="3:21" x14ac:dyDescent="0.3">
      <c r="C2174" s="11"/>
      <c r="D2174" s="11"/>
      <c r="E2174" s="11" t="s">
        <v>196</v>
      </c>
      <c r="Q2174" s="90">
        <f>SUM(Q2175:Q2178)</f>
        <v>0.13550000000000004</v>
      </c>
      <c r="R2174" s="90">
        <f t="shared" ref="R2174:T2174" si="155">SUM(R2175:R2178)</f>
        <v>0.13550000000000001</v>
      </c>
      <c r="S2174" s="90">
        <f t="shared" si="155"/>
        <v>7.3713349999999997E-2</v>
      </c>
      <c r="T2174" s="90">
        <f t="shared" si="155"/>
        <v>7.3589079999999987E-2</v>
      </c>
    </row>
    <row r="2175" spans="3:21" x14ac:dyDescent="0.3">
      <c r="E2175" t="s">
        <v>17</v>
      </c>
      <c r="Q2175" s="22">
        <f>(1-Q2169)*P2166</f>
        <v>4.550000000000004E-2</v>
      </c>
      <c r="R2175" s="22">
        <f>Q2175*(1-R2169)+Q2176*(1-R2170)</f>
        <v>6.213500000000003E-2</v>
      </c>
    </row>
    <row r="2176" spans="3:21" x14ac:dyDescent="0.3">
      <c r="E2176" t="s">
        <v>18</v>
      </c>
      <c r="Q2176" s="22">
        <f>Q2169</f>
        <v>0.09</v>
      </c>
      <c r="R2176" s="22">
        <f>Q2175*R2169</f>
        <v>1.3650000000000012E-3</v>
      </c>
      <c r="S2176" s="22">
        <f>R2175*S2169</f>
        <v>6.2135000000000033E-4</v>
      </c>
      <c r="U2176" s="22"/>
    </row>
    <row r="2177" spans="3:21" x14ac:dyDescent="0.3">
      <c r="E2177" t="s">
        <v>19</v>
      </c>
      <c r="R2177" s="22">
        <f>Q2176*R2170</f>
        <v>7.1999999999999995E-2</v>
      </c>
      <c r="S2177" s="22">
        <f>R2176*S2170+R2177</f>
        <v>7.309199999999999E-2</v>
      </c>
      <c r="T2177" s="22">
        <f>S2176*T2170+S2177</f>
        <v>7.3589079999999987E-2</v>
      </c>
    </row>
    <row r="2178" spans="3:21" x14ac:dyDescent="0.3">
      <c r="R2178" s="22"/>
      <c r="S2178" s="22"/>
    </row>
    <row r="2179" spans="3:21" x14ac:dyDescent="0.3">
      <c r="E2179" t="s">
        <v>195</v>
      </c>
      <c r="Q2179" s="22">
        <f>(1-Q2169)*P2165</f>
        <v>0.86449999999999994</v>
      </c>
      <c r="S2179" s="29">
        <f>R2175*(1-S2169)+R2176*(1-S2170)+R2177*(1-S2171)</f>
        <v>6.1786650000000033E-2</v>
      </c>
      <c r="T2179" s="29">
        <f>S2176*(1-T2170)+S2179</f>
        <v>6.1910920000000036E-2</v>
      </c>
      <c r="U2179" s="22"/>
    </row>
    <row r="2180" spans="3:21" x14ac:dyDescent="0.3">
      <c r="Q2180" s="22"/>
      <c r="S2180" s="29"/>
      <c r="T2180" s="29"/>
      <c r="U2180" s="22"/>
    </row>
    <row r="2181" spans="3:21" x14ac:dyDescent="0.3">
      <c r="Q2181" s="25" t="s">
        <v>32</v>
      </c>
    </row>
    <row r="2182" spans="3:21" x14ac:dyDescent="0.3">
      <c r="C2182" s="11"/>
      <c r="D2182" s="11"/>
      <c r="E2182" s="11" t="s">
        <v>124</v>
      </c>
      <c r="Q2182" s="8">
        <f>SUM(Q2183:Q2186)</f>
        <v>30.710115730510413</v>
      </c>
      <c r="R2182" s="8">
        <f t="shared" ref="R2182:S2182" si="156">SUM(R2183:R2186)</f>
        <v>4.1612206814841617</v>
      </c>
      <c r="S2182" s="8">
        <f t="shared" si="156"/>
        <v>2.2637455093836198</v>
      </c>
    </row>
    <row r="2183" spans="3:21" x14ac:dyDescent="0.3">
      <c r="C2183" s="23"/>
      <c r="D2183" s="23"/>
      <c r="E2183" s="23" t="s">
        <v>120</v>
      </c>
      <c r="Q2183" s="7">
        <f>P2140*(1-Q2169)</f>
        <v>27.946205314764477</v>
      </c>
      <c r="R2183" s="82">
        <f>Q2221*(1-R2169)+Q2184*(1-R2170)</f>
        <v>1.9081730409152655</v>
      </c>
    </row>
    <row r="2184" spans="3:21" x14ac:dyDescent="0.3">
      <c r="C2184" s="24"/>
      <c r="D2184" s="24"/>
      <c r="E2184" s="24" t="s">
        <v>122</v>
      </c>
      <c r="Q2184" s="7">
        <f>P2140*Q2169</f>
        <v>2.7639104157459369</v>
      </c>
      <c r="R2184" s="7">
        <f>Q2221*R2169</f>
        <v>4.1919307972146748E-2</v>
      </c>
      <c r="S2184" s="7">
        <f>R2183*S2169</f>
        <v>1.9081730409152654E-2</v>
      </c>
      <c r="T2184" s="7">
        <f>S2183*T2169</f>
        <v>0</v>
      </c>
    </row>
    <row r="2185" spans="3:21" x14ac:dyDescent="0.3">
      <c r="C2185" s="23"/>
      <c r="D2185" s="23"/>
      <c r="E2185" s="23" t="s">
        <v>121</v>
      </c>
      <c r="R2185" s="7">
        <f>Q2184*R2170</f>
        <v>2.2111283325967497</v>
      </c>
      <c r="S2185" s="7">
        <f>R2184*S2170</f>
        <v>3.3535446377717402E-2</v>
      </c>
      <c r="T2185" s="7">
        <f>S2184*T2170</f>
        <v>1.5265384327322124E-2</v>
      </c>
    </row>
    <row r="2186" spans="3:21" x14ac:dyDescent="0.3">
      <c r="C2186" s="23"/>
      <c r="D2186" s="23"/>
      <c r="E2186" s="23" t="s">
        <v>138</v>
      </c>
      <c r="R2186" s="7"/>
      <c r="S2186" s="7">
        <f>R2185*S2171</f>
        <v>2.2111283325967497</v>
      </c>
      <c r="T2186" s="7">
        <f>S2185*T2171+S2186</f>
        <v>2.2446637789744672</v>
      </c>
      <c r="U2186" s="7">
        <f>T2185*U2171+T2186</f>
        <v>2.2599291633017895</v>
      </c>
    </row>
    <row r="2187" spans="3:21" x14ac:dyDescent="0.3">
      <c r="C2187" s="23"/>
      <c r="D2187" s="23"/>
      <c r="E2187" s="23"/>
      <c r="R2187" s="7"/>
    </row>
    <row r="2188" spans="3:21" x14ac:dyDescent="0.3">
      <c r="C2188" s="23"/>
      <c r="D2188" s="23"/>
      <c r="E2188" s="23" t="s">
        <v>137</v>
      </c>
      <c r="R2188" s="7"/>
      <c r="S2188" s="7">
        <f>R2183*(1-S2169)+R2184*(1-S2170)+R2185*(1-S2171)</f>
        <v>1.8974751721005423</v>
      </c>
      <c r="T2188" s="7">
        <f>S2184*(1-T2170)+S2188</f>
        <v>1.9012915181823729</v>
      </c>
      <c r="U2188" s="7">
        <f>T2185*(1-U2171)+T2188</f>
        <v>1.9012915181823729</v>
      </c>
    </row>
    <row r="2189" spans="3:21" x14ac:dyDescent="0.3">
      <c r="C2189" s="23"/>
      <c r="D2189" s="23"/>
      <c r="E2189" s="23"/>
      <c r="R2189" s="7"/>
    </row>
    <row r="2190" spans="3:21" x14ac:dyDescent="0.3">
      <c r="C2190" s="11"/>
      <c r="D2190" s="11"/>
      <c r="E2190" s="11" t="s">
        <v>139</v>
      </c>
      <c r="Q2190" s="8">
        <f>SUM(Q2191:Q2192)</f>
        <v>27.946205314764477</v>
      </c>
      <c r="R2190" s="8">
        <f>SUM(R2191:R2192)</f>
        <v>1.9081730409152655</v>
      </c>
      <c r="S2190" s="8">
        <f>SUM(S2191:S2192)</f>
        <v>1.8974751721005423</v>
      </c>
      <c r="T2190" s="8">
        <f>SUM(T2191:T2192)</f>
        <v>3.8163460818305302E-3</v>
      </c>
    </row>
    <row r="2191" spans="3:21" x14ac:dyDescent="0.3">
      <c r="C2191" s="23"/>
      <c r="D2191" s="23"/>
      <c r="E2191" s="23" t="s">
        <v>120</v>
      </c>
      <c r="Q2191" s="7">
        <f>Q2183</f>
        <v>27.946205314764477</v>
      </c>
      <c r="R2191" s="7">
        <f>Q2221*(1-R2169)</f>
        <v>1.3553909577660783</v>
      </c>
      <c r="S2191" s="7">
        <f>R2183*(1-S2169)</f>
        <v>1.8890913105061129</v>
      </c>
    </row>
    <row r="2192" spans="3:21" x14ac:dyDescent="0.3">
      <c r="C2192" s="24"/>
      <c r="D2192" s="24"/>
      <c r="E2192" s="24" t="s">
        <v>122</v>
      </c>
      <c r="R2192" s="7">
        <f>Q2184*(1-R2170)</f>
        <v>0.5527820831491872</v>
      </c>
      <c r="S2192" s="7">
        <f>R2184*(1-S2170)</f>
        <v>8.3838615944293472E-3</v>
      </c>
      <c r="T2192" s="7">
        <f>S2184*(1-T2170)</f>
        <v>3.8163460818305302E-3</v>
      </c>
    </row>
    <row r="2193" spans="3:21" x14ac:dyDescent="0.3">
      <c r="C2193" s="23"/>
      <c r="D2193" s="23"/>
      <c r="E2193" s="23"/>
      <c r="R2193" s="7"/>
      <c r="S2193" s="7">
        <f>R2185*(1-S2171)</f>
        <v>0</v>
      </c>
      <c r="T2193" s="7">
        <f>S2185*(1-T2171)</f>
        <v>0</v>
      </c>
    </row>
    <row r="2194" spans="3:21" x14ac:dyDescent="0.3">
      <c r="C2194" s="81"/>
      <c r="D2194" s="81"/>
      <c r="E2194" s="81" t="s">
        <v>123</v>
      </c>
    </row>
    <row r="2195" spans="3:21" x14ac:dyDescent="0.3">
      <c r="C2195" s="23"/>
      <c r="D2195" s="23"/>
      <c r="E2195" s="23" t="s">
        <v>120</v>
      </c>
      <c r="Q2195" s="7">
        <f>P2156-Q2163</f>
        <v>25.641025641025642</v>
      </c>
      <c r="R2195" s="7">
        <f>Q2195-R2163</f>
        <v>12.820512820512823</v>
      </c>
      <c r="S2195" s="7">
        <f>R2195-S2163</f>
        <v>0</v>
      </c>
    </row>
    <row r="2196" spans="3:21" x14ac:dyDescent="0.3">
      <c r="C2196" s="24"/>
      <c r="D2196" s="24"/>
      <c r="E2196" s="24" t="s">
        <v>122</v>
      </c>
      <c r="Q2196" s="7">
        <f>P2156</f>
        <v>38.46153846153846</v>
      </c>
      <c r="R2196" s="7">
        <f>Q2195</f>
        <v>25.641025641025642</v>
      </c>
      <c r="S2196" s="7">
        <f>R2195</f>
        <v>12.820512820512823</v>
      </c>
    </row>
    <row r="2197" spans="3:21" x14ac:dyDescent="0.3">
      <c r="C2197" s="23"/>
      <c r="D2197" s="23"/>
      <c r="E2197" s="23" t="s">
        <v>121</v>
      </c>
      <c r="R2197" s="7">
        <f>Q2196</f>
        <v>38.46153846153846</v>
      </c>
      <c r="S2197" s="7">
        <f>R2196</f>
        <v>25.641025641025642</v>
      </c>
      <c r="T2197" s="7">
        <f>S2196</f>
        <v>12.820512820512823</v>
      </c>
    </row>
    <row r="2198" spans="3:21" x14ac:dyDescent="0.3">
      <c r="C2198" s="23"/>
      <c r="D2198" s="23"/>
      <c r="E2198" s="23"/>
      <c r="S2198" s="7"/>
      <c r="T2198" s="7"/>
    </row>
    <row r="2199" spans="3:21" x14ac:dyDescent="0.3">
      <c r="C2199" s="23"/>
      <c r="D2199" s="23"/>
      <c r="E2199" s="23"/>
      <c r="S2199" s="7"/>
      <c r="T2199" s="7"/>
    </row>
    <row r="2200" spans="3:21" x14ac:dyDescent="0.3">
      <c r="C2200" s="11"/>
      <c r="D2200" s="11"/>
      <c r="E2200" s="11" t="s">
        <v>130</v>
      </c>
      <c r="Q2200" s="8">
        <f>SUM(Q2201:Q2204)</f>
        <v>822.87361380470213</v>
      </c>
      <c r="R2200" s="8">
        <f t="shared" ref="R2200:T2200" si="157">SUM(R2201:R2204)</f>
        <v>110.58200839294626</v>
      </c>
      <c r="S2200" s="8">
        <f t="shared" si="157"/>
        <v>86.147918217369707</v>
      </c>
      <c r="T2200" s="8">
        <f t="shared" si="157"/>
        <v>86.098990703500078</v>
      </c>
    </row>
    <row r="2201" spans="3:21" x14ac:dyDescent="0.3">
      <c r="C2201" s="23"/>
      <c r="D2201" s="23"/>
      <c r="E2201" s="23" t="s">
        <v>120</v>
      </c>
      <c r="Q2201" s="7">
        <f>Q2195*Q2183</f>
        <v>716.56936704524298</v>
      </c>
      <c r="R2201" s="7">
        <f t="shared" ref="R2201:S2202" si="158">R2195*R2183</f>
        <v>24.463756934811101</v>
      </c>
      <c r="S2201" s="7">
        <f t="shared" si="158"/>
        <v>0</v>
      </c>
    </row>
    <row r="2202" spans="3:21" x14ac:dyDescent="0.3">
      <c r="C2202" s="24"/>
      <c r="D2202" s="24"/>
      <c r="E2202" s="24" t="s">
        <v>122</v>
      </c>
      <c r="Q2202" s="7">
        <f>Q2196*Q2184</f>
        <v>106.3042467594591</v>
      </c>
      <c r="R2202" s="7">
        <f t="shared" si="158"/>
        <v>1.0748540505678654</v>
      </c>
      <c r="S2202" s="7">
        <f t="shared" si="158"/>
        <v>0.24463756934811101</v>
      </c>
      <c r="T2202" s="7">
        <f>T2196*T2184</f>
        <v>0</v>
      </c>
    </row>
    <row r="2203" spans="3:21" x14ac:dyDescent="0.3">
      <c r="C2203" s="23"/>
      <c r="D2203" s="23"/>
      <c r="E2203" s="23" t="s">
        <v>121</v>
      </c>
      <c r="R2203" s="7">
        <f>R2197*R2185</f>
        <v>85.043397407567298</v>
      </c>
      <c r="S2203" s="7">
        <f>S2197*S2185</f>
        <v>0.85988324045429243</v>
      </c>
      <c r="T2203" s="7">
        <f>T2197*T2185</f>
        <v>0.1957100554784888</v>
      </c>
    </row>
    <row r="2204" spans="3:21" x14ac:dyDescent="0.3">
      <c r="C2204" s="23"/>
      <c r="D2204" s="23"/>
      <c r="E2204" s="23" t="s">
        <v>299</v>
      </c>
      <c r="S2204" s="8">
        <f>R2203</f>
        <v>85.043397407567298</v>
      </c>
      <c r="T2204" s="8">
        <f>S2204+S2203</f>
        <v>85.903280648021592</v>
      </c>
      <c r="U2204" s="8">
        <f>T2204+T2203</f>
        <v>86.098990703500078</v>
      </c>
    </row>
    <row r="2205" spans="3:21" x14ac:dyDescent="0.3">
      <c r="C2205" s="23"/>
      <c r="D2205" s="23"/>
      <c r="E2205" s="23"/>
    </row>
    <row r="2206" spans="3:21" x14ac:dyDescent="0.3">
      <c r="C2206" s="105"/>
      <c r="D2206" s="105"/>
      <c r="E2206" s="105" t="s">
        <v>300</v>
      </c>
      <c r="P2206" s="8">
        <f>U2204</f>
        <v>86.098990703500078</v>
      </c>
    </row>
    <row r="2207" spans="3:21" x14ac:dyDescent="0.3">
      <c r="C2207" s="23"/>
      <c r="D2207" s="23"/>
      <c r="E2207" s="23"/>
    </row>
    <row r="2208" spans="3:21" x14ac:dyDescent="0.3">
      <c r="C2208" s="11"/>
      <c r="D2208" s="11"/>
      <c r="E2208" s="11" t="s">
        <v>140</v>
      </c>
      <c r="Q2208" s="8">
        <f>SUM(Q2210:Q2213)</f>
        <v>1039.0255822156023</v>
      </c>
      <c r="R2208" s="8">
        <f>SUM(R2210:R2213)</f>
        <v>31.550706718775032</v>
      </c>
      <c r="S2208" s="8">
        <f t="shared" ref="S2208:T2208" si="159">SUM(S2210:S2213)</f>
        <v>24.434090175576557</v>
      </c>
      <c r="T2208" s="8">
        <f t="shared" si="159"/>
        <v>4.8927513869622179E-2</v>
      </c>
    </row>
    <row r="2209" spans="3:20" x14ac:dyDescent="0.3">
      <c r="C2209" s="11"/>
      <c r="D2209" s="11"/>
      <c r="E2209" s="11"/>
      <c r="Q2209" s="8"/>
      <c r="R2209" s="8"/>
      <c r="S2209" s="8"/>
      <c r="T2209" s="8"/>
    </row>
    <row r="2210" spans="3:20" x14ac:dyDescent="0.3">
      <c r="E2210" t="s">
        <v>131</v>
      </c>
      <c r="G2210" s="23" t="s">
        <v>120</v>
      </c>
      <c r="Q2210" s="6">
        <f>Q2219*Q2164</f>
        <v>1021.1113480394712</v>
      </c>
    </row>
    <row r="2211" spans="3:20" x14ac:dyDescent="0.3">
      <c r="G2211" s="23"/>
      <c r="Q2211" s="6"/>
    </row>
    <row r="2212" spans="3:20" x14ac:dyDescent="0.3">
      <c r="E2212" t="s">
        <v>200</v>
      </c>
      <c r="G2212" s="23" t="s">
        <v>120</v>
      </c>
      <c r="Q2212" s="6">
        <f>Q2221*Q2163</f>
        <v>17.914234176131089</v>
      </c>
      <c r="R2212" s="27">
        <f>R2191*R2163</f>
        <v>17.376807150847156</v>
      </c>
      <c r="S2212" s="27">
        <f>S2191*S2163</f>
        <v>24.219119365462983</v>
      </c>
      <c r="T2212" s="27">
        <f>T2191*T2163</f>
        <v>0</v>
      </c>
    </row>
    <row r="2213" spans="3:20" x14ac:dyDescent="0.3">
      <c r="E2213" t="s">
        <v>200</v>
      </c>
      <c r="G2213" s="24" t="s">
        <v>122</v>
      </c>
      <c r="Q2213" s="6"/>
      <c r="R2213" s="27">
        <f>R2192*(Q2163+R2163)</f>
        <v>14.173899567927876</v>
      </c>
      <c r="S2213" s="27">
        <f>S2192*(R2163+S2163)</f>
        <v>0.214970810113573</v>
      </c>
      <c r="T2213" s="27">
        <f>T2192*(S2163+T2163)</f>
        <v>4.8927513869622179E-2</v>
      </c>
    </row>
    <row r="2215" spans="3:20" x14ac:dyDescent="0.3">
      <c r="C2215" s="11"/>
      <c r="D2215" s="11"/>
      <c r="E2215" s="11" t="s">
        <v>283</v>
      </c>
      <c r="Q2215" s="8">
        <f>SUM(Q2212:T2213)</f>
        <v>73.947958584352307</v>
      </c>
    </row>
    <row r="2217" spans="3:20" x14ac:dyDescent="0.3">
      <c r="E2217" t="s">
        <v>202</v>
      </c>
      <c r="Q2217" s="28">
        <f>Q2219*(R2163+S2163)</f>
        <v>680.74089869298075</v>
      </c>
    </row>
    <row r="2219" spans="3:20" x14ac:dyDescent="0.3">
      <c r="C2219" s="72"/>
      <c r="D2219" s="72"/>
      <c r="E2219" s="72" t="s">
        <v>132</v>
      </c>
      <c r="Q2219" s="73">
        <f>Q2183*P2165</f>
        <v>26.548895049026253</v>
      </c>
    </row>
    <row r="2221" spans="3:20" x14ac:dyDescent="0.3">
      <c r="E2221" t="s">
        <v>201</v>
      </c>
      <c r="Q2221" s="7">
        <f>Q2183*P2166</f>
        <v>1.397310265738225</v>
      </c>
    </row>
    <row r="2226" spans="3:25" x14ac:dyDescent="0.3">
      <c r="E2226" s="152" t="s">
        <v>286</v>
      </c>
      <c r="F2226" s="153"/>
      <c r="G2226" s="153"/>
      <c r="H2226" s="153"/>
      <c r="I2226" s="153"/>
      <c r="J2226" s="153"/>
      <c r="K2226" s="153"/>
      <c r="L2226" s="153"/>
      <c r="M2226" s="153"/>
      <c r="N2226" s="153"/>
      <c r="O2226" s="153"/>
      <c r="P2226" s="153"/>
      <c r="Q2226" s="153"/>
      <c r="R2226" s="153"/>
      <c r="S2226" s="153"/>
      <c r="T2226" s="153"/>
      <c r="U2226" s="153"/>
      <c r="V2226" s="153"/>
      <c r="W2226" s="153"/>
      <c r="X2226" s="153"/>
      <c r="Y2226" s="154"/>
    </row>
    <row r="2228" spans="3:25" x14ac:dyDescent="0.3">
      <c r="E2228" t="s">
        <v>197</v>
      </c>
      <c r="P2228" s="83">
        <f>P1250</f>
        <v>26.314116458775761</v>
      </c>
    </row>
    <row r="2229" spans="3:25" x14ac:dyDescent="0.3">
      <c r="E2229" t="s">
        <v>206</v>
      </c>
      <c r="P2229" s="7">
        <f>P2231*P2228</f>
        <v>26.314116458775761</v>
      </c>
      <c r="S2229" s="77"/>
    </row>
    <row r="2230" spans="3:25" x14ac:dyDescent="0.3">
      <c r="P2230" s="7"/>
      <c r="S2230" s="77"/>
    </row>
    <row r="2231" spans="3:25" x14ac:dyDescent="0.3">
      <c r="C2231" s="11"/>
      <c r="D2231" s="11"/>
      <c r="E2231" s="11" t="s">
        <v>134</v>
      </c>
      <c r="F2231" s="11"/>
      <c r="G2231" s="11"/>
      <c r="P2231" s="104">
        <f>$I$129</f>
        <v>1</v>
      </c>
      <c r="Q2231" s="7">
        <f>Q2232*Q2233*Q2234*Q2235</f>
        <v>0</v>
      </c>
      <c r="R2231" s="11"/>
      <c r="T2231" s="11"/>
    </row>
    <row r="2232" spans="3:25" x14ac:dyDescent="0.3">
      <c r="E2232" t="s">
        <v>35</v>
      </c>
      <c r="P2232" s="89">
        <v>0</v>
      </c>
    </row>
    <row r="2233" spans="3:25" x14ac:dyDescent="0.3">
      <c r="E2233" t="s">
        <v>36</v>
      </c>
      <c r="P2233" s="89">
        <f>0.95</f>
        <v>0.95</v>
      </c>
    </row>
    <row r="2234" spans="3:25" x14ac:dyDescent="0.3">
      <c r="E2234" t="s">
        <v>142</v>
      </c>
      <c r="P2234" s="89">
        <v>0.99</v>
      </c>
    </row>
    <row r="2235" spans="3:25" x14ac:dyDescent="0.3">
      <c r="E2235" t="s">
        <v>37</v>
      </c>
      <c r="P2235" s="89">
        <v>0.98</v>
      </c>
    </row>
    <row r="2238" spans="3:25" x14ac:dyDescent="0.3">
      <c r="E2238" t="s">
        <v>125</v>
      </c>
      <c r="P2238" s="83">
        <f>$F$34</f>
        <v>32.051282051282051</v>
      </c>
    </row>
    <row r="2239" spans="3:25" x14ac:dyDescent="0.3">
      <c r="E2239" t="s">
        <v>135</v>
      </c>
      <c r="P2239" s="82">
        <f>P2238</f>
        <v>32.051282051282051</v>
      </c>
    </row>
    <row r="2241" spans="5:19" x14ac:dyDescent="0.3">
      <c r="E2241" t="s">
        <v>126</v>
      </c>
      <c r="P2241" s="88">
        <f>$H$52</f>
        <v>0.2</v>
      </c>
    </row>
    <row r="2242" spans="5:19" x14ac:dyDescent="0.3">
      <c r="E2242" t="s">
        <v>117</v>
      </c>
      <c r="P2242" s="7">
        <f>P2241*P2238</f>
        <v>6.4102564102564106</v>
      </c>
    </row>
    <row r="2244" spans="5:19" x14ac:dyDescent="0.3">
      <c r="E2244" t="s">
        <v>118</v>
      </c>
      <c r="P2244" s="7">
        <f>P2239</f>
        <v>32.051282051282051</v>
      </c>
    </row>
    <row r="2245" spans="5:19" x14ac:dyDescent="0.3">
      <c r="E2245" t="s">
        <v>106</v>
      </c>
      <c r="P2245" s="7">
        <f>P2238*(1+P2241)</f>
        <v>38.46153846153846</v>
      </c>
    </row>
    <row r="2246" spans="5:19" x14ac:dyDescent="0.3">
      <c r="P2246" s="7"/>
    </row>
    <row r="2247" spans="5:19" x14ac:dyDescent="0.3">
      <c r="E2247" t="s">
        <v>136</v>
      </c>
      <c r="P2247" s="7">
        <f>P2244*P2229</f>
        <v>843.40116855050519</v>
      </c>
    </row>
    <row r="2248" spans="5:19" x14ac:dyDescent="0.3">
      <c r="E2248" t="s">
        <v>119</v>
      </c>
      <c r="P2248" s="7">
        <f>P2245*P2229</f>
        <v>1012.0814022606062</v>
      </c>
    </row>
    <row r="2249" spans="5:19" x14ac:dyDescent="0.3">
      <c r="P2249" s="7"/>
    </row>
    <row r="2250" spans="5:19" x14ac:dyDescent="0.3">
      <c r="E2250" t="s">
        <v>302</v>
      </c>
      <c r="P2250" s="6">
        <f>P2242*P2229</f>
        <v>168.68023371010105</v>
      </c>
    </row>
    <row r="2251" spans="5:19" x14ac:dyDescent="0.3">
      <c r="P2251" s="7"/>
    </row>
    <row r="2252" spans="5:19" x14ac:dyDescent="0.3">
      <c r="E2252" t="s">
        <v>127</v>
      </c>
      <c r="Q2252" s="7">
        <f>P2245/3</f>
        <v>12.820512820512819</v>
      </c>
      <c r="R2252" s="7">
        <f>P2245/3</f>
        <v>12.820512820512819</v>
      </c>
      <c r="S2252" s="7">
        <f>P2245/3</f>
        <v>12.820512820512819</v>
      </c>
    </row>
    <row r="2253" spans="5:19" x14ac:dyDescent="0.3">
      <c r="Q2253" s="7">
        <f>P2245</f>
        <v>38.46153846153846</v>
      </c>
    </row>
    <row r="2254" spans="5:19" s="103" customFormat="1" x14ac:dyDescent="0.3">
      <c r="E2254" s="103" t="s">
        <v>128</v>
      </c>
      <c r="P2254" s="79">
        <f>'Summary500-600'!$C$42</f>
        <v>0.95</v>
      </c>
    </row>
    <row r="2255" spans="5:19" s="103" customFormat="1" x14ac:dyDescent="0.3">
      <c r="E2255" s="103" t="s">
        <v>129</v>
      </c>
      <c r="P2255" s="79">
        <f>1-P2254</f>
        <v>5.0000000000000044E-2</v>
      </c>
    </row>
    <row r="2257" spans="3:21" x14ac:dyDescent="0.3">
      <c r="C2257" s="71"/>
      <c r="D2257" s="71"/>
      <c r="E2257" s="71" t="s">
        <v>16</v>
      </c>
    </row>
    <row r="2258" spans="3:21" x14ac:dyDescent="0.3">
      <c r="E2258" t="s">
        <v>17</v>
      </c>
      <c r="Q2258" s="74">
        <f>'Summary500-600'!$C$86</f>
        <v>0.09</v>
      </c>
      <c r="R2258" s="74">
        <f>'Summary500-600'!$C$87</f>
        <v>0.03</v>
      </c>
      <c r="S2258" s="74">
        <f>'Summary500-600'!$C$88</f>
        <v>0.01</v>
      </c>
      <c r="T2258" s="75"/>
      <c r="U2258" s="75"/>
    </row>
    <row r="2259" spans="3:21" x14ac:dyDescent="0.3">
      <c r="E2259" t="s">
        <v>18</v>
      </c>
      <c r="G2259" s="75"/>
      <c r="R2259" s="74">
        <f>'Summary500-600'!$C$89</f>
        <v>0.8</v>
      </c>
      <c r="S2259" s="76">
        <f>R2259</f>
        <v>0.8</v>
      </c>
      <c r="T2259" s="76">
        <f>S2259</f>
        <v>0.8</v>
      </c>
      <c r="U2259" s="75"/>
    </row>
    <row r="2260" spans="3:21" x14ac:dyDescent="0.3">
      <c r="E2260" t="s">
        <v>19</v>
      </c>
      <c r="G2260" s="75"/>
      <c r="R2260" s="75"/>
      <c r="S2260" s="74">
        <f>'Summary500-600'!$C$90</f>
        <v>1</v>
      </c>
      <c r="T2260" s="74">
        <f>S2260</f>
        <v>1</v>
      </c>
      <c r="U2260" s="74">
        <f>T2260</f>
        <v>1</v>
      </c>
    </row>
    <row r="2261" spans="3:21" x14ac:dyDescent="0.3">
      <c r="E2261" t="s">
        <v>20</v>
      </c>
      <c r="S2261" s="21"/>
    </row>
    <row r="2262" spans="3:21" x14ac:dyDescent="0.3">
      <c r="S2262" s="21"/>
    </row>
    <row r="2263" spans="3:21" x14ac:dyDescent="0.3">
      <c r="C2263" s="11"/>
      <c r="D2263" s="11"/>
      <c r="E2263" s="11" t="s">
        <v>196</v>
      </c>
      <c r="Q2263" s="90">
        <f>SUM(Q2264:Q2267)</f>
        <v>0.13550000000000004</v>
      </c>
      <c r="R2263" s="90">
        <f t="shared" ref="R2263:T2263" si="160">SUM(R2264:R2267)</f>
        <v>0.13550000000000001</v>
      </c>
      <c r="S2263" s="90">
        <f t="shared" si="160"/>
        <v>7.3713349999999997E-2</v>
      </c>
      <c r="T2263" s="90">
        <f t="shared" si="160"/>
        <v>7.3589079999999987E-2</v>
      </c>
    </row>
    <row r="2264" spans="3:21" x14ac:dyDescent="0.3">
      <c r="E2264" t="s">
        <v>17</v>
      </c>
      <c r="Q2264" s="22">
        <f>(1-Q2258)*P2255</f>
        <v>4.550000000000004E-2</v>
      </c>
      <c r="R2264" s="22">
        <f>Q2264*(1-R2258)+Q2265*(1-R2259)</f>
        <v>6.213500000000003E-2</v>
      </c>
    </row>
    <row r="2265" spans="3:21" x14ac:dyDescent="0.3">
      <c r="E2265" t="s">
        <v>18</v>
      </c>
      <c r="Q2265" s="22">
        <f>Q2258</f>
        <v>0.09</v>
      </c>
      <c r="R2265" s="22">
        <f>Q2264*R2258</f>
        <v>1.3650000000000012E-3</v>
      </c>
      <c r="S2265" s="22">
        <f>R2264*S2258</f>
        <v>6.2135000000000033E-4</v>
      </c>
      <c r="U2265" s="22"/>
    </row>
    <row r="2266" spans="3:21" x14ac:dyDescent="0.3">
      <c r="E2266" t="s">
        <v>19</v>
      </c>
      <c r="R2266" s="22">
        <f>Q2265*R2259</f>
        <v>7.1999999999999995E-2</v>
      </c>
      <c r="S2266" s="22">
        <f>R2265*S2259+R2266</f>
        <v>7.309199999999999E-2</v>
      </c>
      <c r="T2266" s="22">
        <f>S2265*T2259+S2266</f>
        <v>7.3589079999999987E-2</v>
      </c>
    </row>
    <row r="2267" spans="3:21" x14ac:dyDescent="0.3">
      <c r="R2267" s="22"/>
      <c r="S2267" s="22"/>
    </row>
    <row r="2268" spans="3:21" x14ac:dyDescent="0.3">
      <c r="E2268" t="s">
        <v>195</v>
      </c>
      <c r="Q2268" s="22">
        <f>(1-Q2258)*P2254</f>
        <v>0.86449999999999994</v>
      </c>
      <c r="S2268" s="29">
        <f>R2264*(1-S2258)+R2265*(1-S2259)+R2266*(1-S2260)</f>
        <v>6.1786650000000033E-2</v>
      </c>
      <c r="T2268" s="29">
        <f>S2265*(1-T2259)+S2268</f>
        <v>6.1910920000000036E-2</v>
      </c>
      <c r="U2268" s="22"/>
    </row>
    <row r="2269" spans="3:21" x14ac:dyDescent="0.3">
      <c r="Q2269" s="22"/>
      <c r="S2269" s="29"/>
      <c r="T2269" s="29"/>
      <c r="U2269" s="22"/>
    </row>
    <row r="2270" spans="3:21" x14ac:dyDescent="0.3">
      <c r="Q2270" s="25" t="s">
        <v>32</v>
      </c>
    </row>
    <row r="2271" spans="3:21" x14ac:dyDescent="0.3">
      <c r="C2271" s="11"/>
      <c r="D2271" s="11"/>
      <c r="E2271" s="11" t="s">
        <v>124</v>
      </c>
      <c r="Q2271" s="8">
        <f>SUM(Q2272:Q2275)</f>
        <v>26.314116458775764</v>
      </c>
      <c r="R2271" s="8">
        <f t="shared" ref="R2271:S2271" si="161">SUM(R2272:R2275)</f>
        <v>3.5655627801641168</v>
      </c>
      <c r="S2271" s="8">
        <f t="shared" si="161"/>
        <v>1.9397016764664985</v>
      </c>
    </row>
    <row r="2272" spans="3:21" x14ac:dyDescent="0.3">
      <c r="C2272" s="23"/>
      <c r="D2272" s="23"/>
      <c r="E2272" s="23" t="s">
        <v>120</v>
      </c>
      <c r="Q2272" s="7">
        <f>P2229*(1-Q2258)</f>
        <v>23.945845977485945</v>
      </c>
      <c r="R2272" s="82">
        <f>Q2310*(1-R2258)+Q2273*(1-R2259)</f>
        <v>1.6350276261660328</v>
      </c>
    </row>
    <row r="2273" spans="3:21" x14ac:dyDescent="0.3">
      <c r="C2273" s="24"/>
      <c r="D2273" s="24"/>
      <c r="E2273" s="24" t="s">
        <v>122</v>
      </c>
      <c r="Q2273" s="7">
        <f>P2229*Q2258</f>
        <v>2.3682704812898185</v>
      </c>
      <c r="R2273" s="7">
        <f>Q2310*R2258</f>
        <v>3.5918768966228948E-2</v>
      </c>
      <c r="S2273" s="7">
        <f>R2272*S2258</f>
        <v>1.6350276261660329E-2</v>
      </c>
      <c r="T2273" s="7">
        <f>S2272*T2258</f>
        <v>0</v>
      </c>
    </row>
    <row r="2274" spans="3:21" x14ac:dyDescent="0.3">
      <c r="C2274" s="23"/>
      <c r="D2274" s="23"/>
      <c r="E2274" s="23" t="s">
        <v>121</v>
      </c>
      <c r="R2274" s="7">
        <f>Q2273*R2259</f>
        <v>1.8946163850318549</v>
      </c>
      <c r="S2274" s="7">
        <f>R2273*S2259</f>
        <v>2.8735015172983158E-2</v>
      </c>
      <c r="T2274" s="7">
        <f>S2273*T2259</f>
        <v>1.3080221009328263E-2</v>
      </c>
    </row>
    <row r="2275" spans="3:21" x14ac:dyDescent="0.3">
      <c r="C2275" s="23"/>
      <c r="D2275" s="23"/>
      <c r="E2275" s="23" t="s">
        <v>138</v>
      </c>
      <c r="R2275" s="7"/>
      <c r="S2275" s="7">
        <f>R2274*S2260</f>
        <v>1.8946163850318549</v>
      </c>
      <c r="T2275" s="7">
        <f>S2274*T2260+S2275</f>
        <v>1.923351400204838</v>
      </c>
      <c r="U2275" s="7">
        <f>T2274*U2260+T2275</f>
        <v>1.9364316212141661</v>
      </c>
    </row>
    <row r="2276" spans="3:21" x14ac:dyDescent="0.3">
      <c r="C2276" s="23"/>
      <c r="D2276" s="23"/>
      <c r="E2276" s="23"/>
      <c r="R2276" s="7"/>
    </row>
    <row r="2277" spans="3:21" x14ac:dyDescent="0.3">
      <c r="C2277" s="23"/>
      <c r="D2277" s="23"/>
      <c r="E2277" s="23" t="s">
        <v>137</v>
      </c>
      <c r="R2277" s="7"/>
      <c r="S2277" s="7">
        <f>R2272*(1-S2258)+R2273*(1-S2259)+R2274*(1-S2260)</f>
        <v>1.6258611036976183</v>
      </c>
      <c r="T2277" s="7">
        <f>S2273*(1-T2259)+S2277</f>
        <v>1.6291311589499504</v>
      </c>
      <c r="U2277" s="7">
        <f>T2274*(1-U2260)+T2277</f>
        <v>1.6291311589499504</v>
      </c>
    </row>
    <row r="2278" spans="3:21" x14ac:dyDescent="0.3">
      <c r="C2278" s="23"/>
      <c r="D2278" s="23"/>
      <c r="E2278" s="23"/>
      <c r="R2278" s="7"/>
    </row>
    <row r="2279" spans="3:21" x14ac:dyDescent="0.3">
      <c r="C2279" s="11"/>
      <c r="D2279" s="11"/>
      <c r="E2279" s="11" t="s">
        <v>139</v>
      </c>
      <c r="Q2279" s="8">
        <f>SUM(Q2280:Q2281)</f>
        <v>23.945845977485945</v>
      </c>
      <c r="R2279" s="8">
        <f>SUM(R2280:R2281)</f>
        <v>1.6350276261660328</v>
      </c>
      <c r="S2279" s="8">
        <f>SUM(S2280:S2281)</f>
        <v>1.6258611036976183</v>
      </c>
      <c r="T2279" s="8">
        <f>SUM(T2280:T2281)</f>
        <v>3.270055252332065E-3</v>
      </c>
    </row>
    <row r="2280" spans="3:21" x14ac:dyDescent="0.3">
      <c r="C2280" s="23"/>
      <c r="D2280" s="23"/>
      <c r="E2280" s="23" t="s">
        <v>120</v>
      </c>
      <c r="Q2280" s="7">
        <f>Q2272</f>
        <v>23.945845977485945</v>
      </c>
      <c r="R2280" s="7">
        <f>Q2310*(1-R2258)</f>
        <v>1.1613735299080692</v>
      </c>
      <c r="S2280" s="7">
        <f>R2272*(1-S2258)</f>
        <v>1.6186773499043725</v>
      </c>
    </row>
    <row r="2281" spans="3:21" x14ac:dyDescent="0.3">
      <c r="C2281" s="24"/>
      <c r="D2281" s="24"/>
      <c r="E2281" s="24" t="s">
        <v>122</v>
      </c>
      <c r="R2281" s="7">
        <f>Q2273*(1-R2259)</f>
        <v>0.47365409625796362</v>
      </c>
      <c r="S2281" s="7">
        <f>R2273*(1-S2259)</f>
        <v>7.1837537932457878E-3</v>
      </c>
      <c r="T2281" s="7">
        <f>S2273*(1-T2259)</f>
        <v>3.270055252332065E-3</v>
      </c>
    </row>
    <row r="2282" spans="3:21" x14ac:dyDescent="0.3">
      <c r="C2282" s="23"/>
      <c r="D2282" s="23"/>
      <c r="E2282" s="23"/>
      <c r="R2282" s="7"/>
      <c r="S2282" s="7">
        <f>R2274*(1-S2260)</f>
        <v>0</v>
      </c>
      <c r="T2282" s="7">
        <f>S2274*(1-T2260)</f>
        <v>0</v>
      </c>
    </row>
    <row r="2283" spans="3:21" x14ac:dyDescent="0.3">
      <c r="C2283" s="81"/>
      <c r="D2283" s="81"/>
      <c r="E2283" s="81" t="s">
        <v>123</v>
      </c>
    </row>
    <row r="2284" spans="3:21" x14ac:dyDescent="0.3">
      <c r="C2284" s="23"/>
      <c r="D2284" s="23"/>
      <c r="E2284" s="23" t="s">
        <v>120</v>
      </c>
      <c r="Q2284" s="7">
        <f>P2245-Q2252</f>
        <v>25.641025641025642</v>
      </c>
      <c r="R2284" s="7">
        <f>Q2284-R2252</f>
        <v>12.820512820512823</v>
      </c>
      <c r="S2284" s="7">
        <f>R2284-S2252</f>
        <v>0</v>
      </c>
    </row>
    <row r="2285" spans="3:21" x14ac:dyDescent="0.3">
      <c r="C2285" s="24"/>
      <c r="D2285" s="24"/>
      <c r="E2285" s="24" t="s">
        <v>122</v>
      </c>
      <c r="Q2285" s="7">
        <f>P2245</f>
        <v>38.46153846153846</v>
      </c>
      <c r="R2285" s="7">
        <f>Q2284</f>
        <v>25.641025641025642</v>
      </c>
      <c r="S2285" s="7">
        <f>R2284</f>
        <v>12.820512820512823</v>
      </c>
    </row>
    <row r="2286" spans="3:21" x14ac:dyDescent="0.3">
      <c r="C2286" s="23"/>
      <c r="D2286" s="23"/>
      <c r="E2286" s="23" t="s">
        <v>121</v>
      </c>
      <c r="R2286" s="7">
        <f>Q2285</f>
        <v>38.46153846153846</v>
      </c>
      <c r="S2286" s="7">
        <f>R2285</f>
        <v>25.641025641025642</v>
      </c>
      <c r="T2286" s="7">
        <f>S2285</f>
        <v>12.820512820512823</v>
      </c>
    </row>
    <row r="2287" spans="3:21" x14ac:dyDescent="0.3">
      <c r="C2287" s="23"/>
      <c r="D2287" s="23"/>
      <c r="E2287" s="23"/>
      <c r="S2287" s="7"/>
      <c r="T2287" s="7"/>
    </row>
    <row r="2288" spans="3:21" x14ac:dyDescent="0.3">
      <c r="C2288" s="23"/>
      <c r="D2288" s="23"/>
      <c r="E2288" s="23"/>
      <c r="S2288" s="7"/>
      <c r="T2288" s="7"/>
    </row>
    <row r="2289" spans="3:21" x14ac:dyDescent="0.3">
      <c r="C2289" s="11"/>
      <c r="D2289" s="11"/>
      <c r="E2289" s="11" t="s">
        <v>130</v>
      </c>
      <c r="Q2289" s="8">
        <f>SUM(Q2290:Q2293)</f>
        <v>705.08337690822236</v>
      </c>
      <c r="R2289" s="8">
        <f t="shared" ref="R2289:T2289" si="162">SUM(R2290:R2293)</f>
        <v>94.75274768197508</v>
      </c>
      <c r="S2289" s="8">
        <f t="shared" si="162"/>
        <v>73.816275150040923</v>
      </c>
      <c r="T2289" s="8">
        <f t="shared" si="162"/>
        <v>73.774351364754608</v>
      </c>
    </row>
    <row r="2290" spans="3:21" x14ac:dyDescent="0.3">
      <c r="C2290" s="23"/>
      <c r="D2290" s="23"/>
      <c r="E2290" s="23" t="s">
        <v>120</v>
      </c>
      <c r="Q2290" s="7">
        <f>Q2284*Q2272</f>
        <v>613.99605070476787</v>
      </c>
      <c r="R2290" s="7">
        <f t="shared" ref="R2290:S2291" si="163">R2284*R2272</f>
        <v>20.961892643154272</v>
      </c>
      <c r="S2290" s="7">
        <f t="shared" si="163"/>
        <v>0</v>
      </c>
    </row>
    <row r="2291" spans="3:21" x14ac:dyDescent="0.3">
      <c r="C2291" s="24"/>
      <c r="D2291" s="24"/>
      <c r="E2291" s="24" t="s">
        <v>122</v>
      </c>
      <c r="Q2291" s="7">
        <f>Q2285*Q2273</f>
        <v>91.087326203454552</v>
      </c>
      <c r="R2291" s="7">
        <f t="shared" si="163"/>
        <v>0.92099407605715256</v>
      </c>
      <c r="S2291" s="7">
        <f t="shared" si="163"/>
        <v>0.20961892643154273</v>
      </c>
      <c r="T2291" s="7">
        <f>T2285*T2273</f>
        <v>0</v>
      </c>
    </row>
    <row r="2292" spans="3:21" x14ac:dyDescent="0.3">
      <c r="C2292" s="23"/>
      <c r="D2292" s="23"/>
      <c r="E2292" s="23" t="s">
        <v>121</v>
      </c>
      <c r="R2292" s="7">
        <f>R2286*R2274</f>
        <v>72.869860962763653</v>
      </c>
      <c r="S2292" s="7">
        <f>S2286*S2274</f>
        <v>0.736795260845722</v>
      </c>
      <c r="T2292" s="7">
        <f>T2286*T2274</f>
        <v>0.16769514114523418</v>
      </c>
    </row>
    <row r="2293" spans="3:21" x14ac:dyDescent="0.3">
      <c r="C2293" s="23"/>
      <c r="D2293" s="23"/>
      <c r="E2293" s="23" t="s">
        <v>299</v>
      </c>
      <c r="S2293" s="8">
        <f>R2292</f>
        <v>72.869860962763653</v>
      </c>
      <c r="T2293" s="8">
        <f>S2293+S2292</f>
        <v>73.606656223609377</v>
      </c>
      <c r="U2293" s="8">
        <f>T2293+T2292</f>
        <v>73.774351364754608</v>
      </c>
    </row>
    <row r="2294" spans="3:21" x14ac:dyDescent="0.3">
      <c r="C2294" s="23"/>
      <c r="D2294" s="23"/>
      <c r="E2294" s="23"/>
    </row>
    <row r="2295" spans="3:21" x14ac:dyDescent="0.3">
      <c r="C2295" s="105"/>
      <c r="D2295" s="105"/>
      <c r="E2295" s="105" t="s">
        <v>300</v>
      </c>
      <c r="P2295" s="8">
        <f>U2293</f>
        <v>73.774351364754608</v>
      </c>
    </row>
    <row r="2296" spans="3:21" x14ac:dyDescent="0.3">
      <c r="C2296" s="23"/>
      <c r="D2296" s="23"/>
      <c r="E2296" s="23"/>
    </row>
    <row r="2297" spans="3:21" x14ac:dyDescent="0.3">
      <c r="C2297" s="11"/>
      <c r="D2297" s="11"/>
      <c r="E2297" s="11" t="s">
        <v>140</v>
      </c>
      <c r="Q2297" s="8">
        <f>SUM(Q2299:Q2302)</f>
        <v>890.29427352191328</v>
      </c>
      <c r="R2297" s="8">
        <f>SUM(R2299:R2302)</f>
        <v>27.034381056717901</v>
      </c>
      <c r="S2297" s="8">
        <f t="shared" ref="S2297:T2297" si="164">SUM(S2299:S2302)</f>
        <v>20.936472531934154</v>
      </c>
      <c r="T2297" s="8">
        <f t="shared" si="164"/>
        <v>4.1923785286308524E-2</v>
      </c>
    </row>
    <row r="2298" spans="3:21" x14ac:dyDescent="0.3">
      <c r="C2298" s="11"/>
      <c r="D2298" s="11"/>
      <c r="E2298" s="11"/>
      <c r="Q2298" s="8"/>
      <c r="R2298" s="8"/>
      <c r="S2298" s="8"/>
      <c r="T2298" s="8"/>
    </row>
    <row r="2299" spans="3:21" x14ac:dyDescent="0.3">
      <c r="E2299" t="s">
        <v>131</v>
      </c>
      <c r="G2299" s="23" t="s">
        <v>120</v>
      </c>
      <c r="Q2299" s="6">
        <f>Q2308*Q2253</f>
        <v>874.94437225429408</v>
      </c>
    </row>
    <row r="2300" spans="3:21" x14ac:dyDescent="0.3">
      <c r="G2300" s="23"/>
      <c r="Q2300" s="6"/>
    </row>
    <row r="2301" spans="3:21" x14ac:dyDescent="0.3">
      <c r="E2301" t="s">
        <v>200</v>
      </c>
      <c r="G2301" s="23" t="s">
        <v>120</v>
      </c>
      <c r="Q2301" s="6">
        <f>Q2310*Q2252</f>
        <v>15.349901267619206</v>
      </c>
      <c r="R2301" s="27">
        <f>R2280*R2252</f>
        <v>14.88940422959063</v>
      </c>
      <c r="S2301" s="27">
        <f>S2280*S2252</f>
        <v>20.752273716722723</v>
      </c>
      <c r="T2301" s="27">
        <f>T2280*T2252</f>
        <v>0</v>
      </c>
    </row>
    <row r="2302" spans="3:21" x14ac:dyDescent="0.3">
      <c r="E2302" t="s">
        <v>200</v>
      </c>
      <c r="G2302" s="24" t="s">
        <v>122</v>
      </c>
      <c r="Q2302" s="6"/>
      <c r="R2302" s="27">
        <f>R2281*(Q2252+R2252)</f>
        <v>12.144976827127271</v>
      </c>
      <c r="S2302" s="27">
        <f>S2281*(R2252+S2252)</f>
        <v>0.18419881521143044</v>
      </c>
      <c r="T2302" s="27">
        <f>T2281*(S2252+T2252)</f>
        <v>4.1923785286308524E-2</v>
      </c>
    </row>
    <row r="2304" spans="3:21" x14ac:dyDescent="0.3">
      <c r="C2304" s="11"/>
      <c r="D2304" s="11"/>
      <c r="E2304" s="11" t="s">
        <v>283</v>
      </c>
      <c r="Q2304" s="8">
        <f>SUM(Q2301:T2302)</f>
        <v>63.362678641557565</v>
      </c>
    </row>
    <row r="2306" spans="3:34" x14ac:dyDescent="0.3">
      <c r="E2306" t="s">
        <v>202</v>
      </c>
      <c r="Q2306" s="28">
        <f>Q2308*(R2252+S2252)</f>
        <v>583.29624816952935</v>
      </c>
    </row>
    <row r="2308" spans="3:34" x14ac:dyDescent="0.3">
      <c r="C2308" s="72"/>
      <c r="D2308" s="72"/>
      <c r="E2308" s="72" t="s">
        <v>132</v>
      </c>
      <c r="Q2308" s="73">
        <f>Q2272*P2254</f>
        <v>22.748553678611646</v>
      </c>
    </row>
    <row r="2310" spans="3:34" x14ac:dyDescent="0.3">
      <c r="E2310" t="s">
        <v>201</v>
      </c>
      <c r="Q2310" s="7">
        <f>Q2272*P2255</f>
        <v>1.1972922988742982</v>
      </c>
    </row>
    <row r="2313" spans="3:34" x14ac:dyDescent="0.3">
      <c r="E2313" s="160" t="s">
        <v>288</v>
      </c>
      <c r="F2313" s="161"/>
      <c r="G2313" s="161"/>
      <c r="H2313" s="161"/>
      <c r="I2313" s="161"/>
      <c r="J2313" s="161"/>
      <c r="K2313" s="161"/>
      <c r="L2313" s="161"/>
      <c r="M2313" s="161"/>
      <c r="N2313" s="161"/>
      <c r="O2313" s="161"/>
      <c r="P2313" s="161"/>
      <c r="Q2313" s="161"/>
      <c r="R2313" s="161"/>
      <c r="S2313" s="161"/>
      <c r="T2313" s="161"/>
      <c r="U2313" s="161"/>
      <c r="V2313" s="161"/>
      <c r="W2313" s="161"/>
      <c r="X2313" s="161"/>
      <c r="Y2313" s="161"/>
      <c r="Z2313" s="161"/>
      <c r="AA2313" s="161"/>
      <c r="AB2313" s="161"/>
      <c r="AC2313" s="161"/>
      <c r="AD2313" s="161"/>
      <c r="AE2313" s="161"/>
      <c r="AF2313" s="161"/>
      <c r="AG2313" s="161"/>
      <c r="AH2313" s="162"/>
    </row>
    <row r="2315" spans="3:34" x14ac:dyDescent="0.3">
      <c r="E2315" t="s">
        <v>197</v>
      </c>
      <c r="R2315" s="83">
        <f>O997</f>
        <v>26.357965164377596</v>
      </c>
    </row>
    <row r="2316" spans="3:34" x14ac:dyDescent="0.3">
      <c r="E2316" t="s">
        <v>206</v>
      </c>
      <c r="R2316" s="7">
        <f>R2318*R2315</f>
        <v>1.6150994284296991</v>
      </c>
      <c r="U2316" s="77"/>
    </row>
    <row r="2317" spans="3:34" x14ac:dyDescent="0.3">
      <c r="R2317" s="7"/>
      <c r="U2317" s="77"/>
    </row>
    <row r="2318" spans="3:34" x14ac:dyDescent="0.3">
      <c r="C2318" s="11"/>
      <c r="D2318" s="11"/>
      <c r="E2318" s="11" t="s">
        <v>134</v>
      </c>
      <c r="F2318" s="11"/>
      <c r="G2318" s="11"/>
      <c r="R2318" s="98">
        <f>R2319*R2320*R2321*R2322</f>
        <v>6.1275573374400025E-2</v>
      </c>
      <c r="S2318" s="7">
        <f>S2319*S2320*S2321*S2322</f>
        <v>0</v>
      </c>
      <c r="T2318" s="11"/>
      <c r="V2318" s="11"/>
    </row>
    <row r="2319" spans="3:34" x14ac:dyDescent="0.3">
      <c r="E2319" t="s">
        <v>35</v>
      </c>
      <c r="R2319" s="97">
        <f>S1036</f>
        <v>6.6481760000000029E-2</v>
      </c>
    </row>
    <row r="2320" spans="3:34" x14ac:dyDescent="0.3">
      <c r="E2320" t="s">
        <v>36</v>
      </c>
      <c r="R2320" s="86">
        <f>0.95</f>
        <v>0.95</v>
      </c>
    </row>
    <row r="2321" spans="3:18" x14ac:dyDescent="0.3">
      <c r="E2321" t="s">
        <v>142</v>
      </c>
      <c r="R2321" s="86">
        <v>0.99</v>
      </c>
    </row>
    <row r="2322" spans="3:18" x14ac:dyDescent="0.3">
      <c r="E2322" t="s">
        <v>37</v>
      </c>
      <c r="R2322" s="86">
        <v>0.98</v>
      </c>
    </row>
    <row r="2325" spans="3:18" x14ac:dyDescent="0.3">
      <c r="E2325" t="s">
        <v>125</v>
      </c>
      <c r="R2325" s="83">
        <f>$F$34</f>
        <v>32.051282051282051</v>
      </c>
    </row>
    <row r="2326" spans="3:18" x14ac:dyDescent="0.3">
      <c r="C2326" s="100"/>
      <c r="D2326" s="100"/>
      <c r="E2326" s="100" t="s">
        <v>135</v>
      </c>
      <c r="R2326" s="101">
        <f>R2325</f>
        <v>32.051282051282051</v>
      </c>
    </row>
    <row r="2328" spans="3:18" x14ac:dyDescent="0.3">
      <c r="E2328" t="s">
        <v>126</v>
      </c>
      <c r="R2328" s="88">
        <f>$H$52</f>
        <v>0.2</v>
      </c>
    </row>
    <row r="2329" spans="3:18" x14ac:dyDescent="0.3">
      <c r="E2329" t="s">
        <v>117</v>
      </c>
      <c r="R2329" s="7">
        <f>R2328*R2325</f>
        <v>6.4102564102564106</v>
      </c>
    </row>
    <row r="2331" spans="3:18" x14ac:dyDescent="0.3">
      <c r="E2331" t="s">
        <v>118</v>
      </c>
      <c r="R2331" s="7">
        <f>R2326</f>
        <v>32.051282051282051</v>
      </c>
    </row>
    <row r="2332" spans="3:18" x14ac:dyDescent="0.3">
      <c r="E2332" t="s">
        <v>106</v>
      </c>
      <c r="R2332" s="7">
        <f>R2325*(1+R2328)</f>
        <v>38.46153846153846</v>
      </c>
    </row>
    <row r="2333" spans="3:18" x14ac:dyDescent="0.3">
      <c r="R2333" s="7"/>
    </row>
    <row r="2334" spans="3:18" x14ac:dyDescent="0.3">
      <c r="E2334" t="s">
        <v>136</v>
      </c>
      <c r="R2334" s="7">
        <f>R2331*R2316</f>
        <v>51.766007321464713</v>
      </c>
    </row>
    <row r="2335" spans="3:18" x14ac:dyDescent="0.3">
      <c r="E2335" t="s">
        <v>119</v>
      </c>
      <c r="R2335" s="7">
        <f>R2332*R2316</f>
        <v>62.119208785757657</v>
      </c>
    </row>
    <row r="2336" spans="3:18" x14ac:dyDescent="0.3">
      <c r="R2336" s="7"/>
    </row>
    <row r="2337" spans="3:23" x14ac:dyDescent="0.3">
      <c r="E2337" t="s">
        <v>302</v>
      </c>
      <c r="R2337" s="6">
        <f>R2329*R2316</f>
        <v>10.353201464292944</v>
      </c>
    </row>
    <row r="2338" spans="3:23" x14ac:dyDescent="0.3">
      <c r="R2338" s="7"/>
    </row>
    <row r="2339" spans="3:23" x14ac:dyDescent="0.3">
      <c r="E2339" t="s">
        <v>127</v>
      </c>
      <c r="S2339" s="7">
        <f>R2332/3</f>
        <v>12.820512820512819</v>
      </c>
      <c r="T2339" s="7">
        <f>R2332/3</f>
        <v>12.820512820512819</v>
      </c>
      <c r="U2339" s="7">
        <f>R2332/3</f>
        <v>12.820512820512819</v>
      </c>
    </row>
    <row r="2340" spans="3:23" x14ac:dyDescent="0.3">
      <c r="S2340" s="7">
        <f>R2332</f>
        <v>38.46153846153846</v>
      </c>
    </row>
    <row r="2341" spans="3:23" s="103" customFormat="1" x14ac:dyDescent="0.3">
      <c r="E2341" s="103" t="s">
        <v>128</v>
      </c>
      <c r="R2341" s="79">
        <f>'Summary500-600'!$E$42</f>
        <v>0.95</v>
      </c>
    </row>
    <row r="2342" spans="3:23" s="103" customFormat="1" x14ac:dyDescent="0.3">
      <c r="E2342" s="103" t="s">
        <v>129</v>
      </c>
      <c r="R2342" s="79">
        <f>1-R2341</f>
        <v>5.0000000000000044E-2</v>
      </c>
    </row>
    <row r="2344" spans="3:23" x14ac:dyDescent="0.3">
      <c r="C2344" s="71"/>
      <c r="D2344" s="71"/>
      <c r="E2344" s="71" t="s">
        <v>16</v>
      </c>
    </row>
    <row r="2345" spans="3:23" x14ac:dyDescent="0.3">
      <c r="E2345" t="s">
        <v>17</v>
      </c>
      <c r="S2345" s="74">
        <f>'Summary500-600'!$D$86</f>
        <v>0.09</v>
      </c>
      <c r="T2345" s="74">
        <f>'Summary500-600'!$D$87</f>
        <v>0.03</v>
      </c>
      <c r="U2345" s="74">
        <f>'Summary500-600'!$D$88</f>
        <v>0.01</v>
      </c>
      <c r="V2345" s="75"/>
      <c r="W2345" s="75"/>
    </row>
    <row r="2346" spans="3:23" x14ac:dyDescent="0.3">
      <c r="E2346" t="s">
        <v>18</v>
      </c>
      <c r="G2346" s="75"/>
      <c r="T2346" s="74">
        <f>'Summary500-600'!$D$89</f>
        <v>0.8</v>
      </c>
      <c r="U2346" s="76">
        <f>T2346</f>
        <v>0.8</v>
      </c>
      <c r="V2346" s="76">
        <f>U2346</f>
        <v>0.8</v>
      </c>
      <c r="W2346" s="75"/>
    </row>
    <row r="2347" spans="3:23" x14ac:dyDescent="0.3">
      <c r="E2347" t="s">
        <v>19</v>
      </c>
      <c r="G2347" s="75"/>
      <c r="T2347" s="75"/>
      <c r="U2347" s="74">
        <f>'Summary500-600'!$D$90</f>
        <v>1</v>
      </c>
      <c r="V2347" s="74">
        <f>U2347</f>
        <v>1</v>
      </c>
      <c r="W2347" s="74">
        <f>V2347</f>
        <v>1</v>
      </c>
    </row>
    <row r="2348" spans="3:23" x14ac:dyDescent="0.3">
      <c r="E2348" t="s">
        <v>20</v>
      </c>
      <c r="U2348" s="21"/>
    </row>
    <row r="2349" spans="3:23" x14ac:dyDescent="0.3">
      <c r="U2349" s="21"/>
    </row>
    <row r="2350" spans="3:23" x14ac:dyDescent="0.3">
      <c r="C2350" s="11"/>
      <c r="D2350" s="11"/>
      <c r="E2350" s="11" t="s">
        <v>196</v>
      </c>
      <c r="S2350" s="90">
        <f>SUM(S2351:S2354)</f>
        <v>0.13550000000000004</v>
      </c>
      <c r="T2350" s="90">
        <f t="shared" ref="T2350:V2350" si="165">SUM(T2351:T2354)</f>
        <v>0.13550000000000001</v>
      </c>
      <c r="U2350" s="90">
        <f t="shared" si="165"/>
        <v>7.3713349999999997E-2</v>
      </c>
      <c r="V2350" s="90">
        <f t="shared" si="165"/>
        <v>7.3589079999999987E-2</v>
      </c>
    </row>
    <row r="2351" spans="3:23" x14ac:dyDescent="0.3">
      <c r="E2351" t="s">
        <v>17</v>
      </c>
      <c r="S2351" s="22">
        <f>(1-S2345)*R2342</f>
        <v>4.550000000000004E-2</v>
      </c>
      <c r="T2351" s="22">
        <f>S2351*(1-T2345)+S2352*(1-T2346)</f>
        <v>6.213500000000003E-2</v>
      </c>
    </row>
    <row r="2352" spans="3:23" x14ac:dyDescent="0.3">
      <c r="E2352" t="s">
        <v>18</v>
      </c>
      <c r="S2352" s="22">
        <f>S2345</f>
        <v>0.09</v>
      </c>
      <c r="T2352" s="22">
        <f>S2351*T2345</f>
        <v>1.3650000000000012E-3</v>
      </c>
      <c r="U2352" s="22">
        <f>T2351*U2345</f>
        <v>6.2135000000000033E-4</v>
      </c>
      <c r="W2352" s="22"/>
    </row>
    <row r="2353" spans="3:23" x14ac:dyDescent="0.3">
      <c r="E2353" t="s">
        <v>19</v>
      </c>
      <c r="T2353" s="22">
        <f>S2352*T2346</f>
        <v>7.1999999999999995E-2</v>
      </c>
      <c r="U2353" s="22">
        <f>T2352*U2346+T2353</f>
        <v>7.309199999999999E-2</v>
      </c>
      <c r="V2353" s="22">
        <f>U2352*V2346+U2353</f>
        <v>7.3589079999999987E-2</v>
      </c>
    </row>
    <row r="2354" spans="3:23" x14ac:dyDescent="0.3">
      <c r="T2354" s="22"/>
      <c r="U2354" s="22"/>
    </row>
    <row r="2355" spans="3:23" x14ac:dyDescent="0.3">
      <c r="E2355" t="s">
        <v>195</v>
      </c>
      <c r="S2355" s="22">
        <f>(1-S2345)*R2341</f>
        <v>0.86449999999999994</v>
      </c>
      <c r="U2355" s="29">
        <f>T2351*(1-U2345)+T2352*(1-U2346)+T2353*(1-U2347)</f>
        <v>6.1786650000000033E-2</v>
      </c>
      <c r="V2355" s="29">
        <f>U2352*(1-V2346)+U2355</f>
        <v>6.1910920000000036E-2</v>
      </c>
      <c r="W2355" s="22"/>
    </row>
    <row r="2356" spans="3:23" x14ac:dyDescent="0.3">
      <c r="S2356" s="22"/>
      <c r="U2356" s="29"/>
      <c r="V2356" s="29"/>
      <c r="W2356" s="22"/>
    </row>
    <row r="2357" spans="3:23" x14ac:dyDescent="0.3">
      <c r="S2357" s="25" t="s">
        <v>32</v>
      </c>
    </row>
    <row r="2358" spans="3:23" x14ac:dyDescent="0.3">
      <c r="C2358" s="11"/>
      <c r="D2358" s="11"/>
      <c r="E2358" s="11" t="s">
        <v>124</v>
      </c>
      <c r="S2358" s="8">
        <f>SUM(S2359:S2362)</f>
        <v>1.6150994284296991</v>
      </c>
      <c r="T2358" s="8">
        <f t="shared" ref="T2358:U2358" si="166">SUM(T2359:T2362)</f>
        <v>0.21884597255222427</v>
      </c>
      <c r="U2358" s="8">
        <f t="shared" si="166"/>
        <v>0.11905438945263835</v>
      </c>
    </row>
    <row r="2359" spans="3:23" x14ac:dyDescent="0.3">
      <c r="C2359" s="23"/>
      <c r="D2359" s="23"/>
      <c r="E2359" s="23" t="s">
        <v>120</v>
      </c>
      <c r="S2359" s="7">
        <f>R2316*(1-S2345)</f>
        <v>1.4697404798710263</v>
      </c>
      <c r="T2359" s="82">
        <f>S2397*(1-T2345)+S2360*(1-T2346)</f>
        <v>0.10035420298547941</v>
      </c>
    </row>
    <row r="2360" spans="3:23" x14ac:dyDescent="0.3">
      <c r="C2360" s="24"/>
      <c r="D2360" s="24"/>
      <c r="E2360" s="24" t="s">
        <v>122</v>
      </c>
      <c r="S2360" s="7">
        <f>R2316*S2345</f>
        <v>0.1453589485586729</v>
      </c>
      <c r="T2360" s="7">
        <f>S2397*T2345</f>
        <v>2.2046107198065413E-3</v>
      </c>
      <c r="U2360" s="7">
        <f>T2359*U2345</f>
        <v>1.003542029854794E-3</v>
      </c>
      <c r="V2360" s="7">
        <f>U2359*V2345</f>
        <v>0</v>
      </c>
    </row>
    <row r="2361" spans="3:23" x14ac:dyDescent="0.3">
      <c r="C2361" s="23"/>
      <c r="D2361" s="23"/>
      <c r="E2361" s="23" t="s">
        <v>121</v>
      </c>
      <c r="T2361" s="7">
        <f>S2360*T2346</f>
        <v>0.11628715884693833</v>
      </c>
      <c r="U2361" s="7">
        <f>T2360*U2346</f>
        <v>1.7636885758452331E-3</v>
      </c>
      <c r="V2361" s="7">
        <f>U2360*V2346</f>
        <v>8.028336238838353E-4</v>
      </c>
    </row>
    <row r="2362" spans="3:23" x14ac:dyDescent="0.3">
      <c r="C2362" s="23"/>
      <c r="D2362" s="23"/>
      <c r="E2362" s="23" t="s">
        <v>138</v>
      </c>
      <c r="T2362" s="7"/>
      <c r="U2362" s="7">
        <f>T2361*U2347</f>
        <v>0.11628715884693833</v>
      </c>
      <c r="V2362" s="7">
        <f>U2361*V2347+U2362</f>
        <v>0.11805084742278356</v>
      </c>
      <c r="W2362" s="7">
        <f>V2361*W2347+V2362</f>
        <v>0.11885368104666739</v>
      </c>
    </row>
    <row r="2363" spans="3:23" x14ac:dyDescent="0.3">
      <c r="C2363" s="23"/>
      <c r="D2363" s="23"/>
      <c r="E2363" s="23"/>
      <c r="T2363" s="7"/>
    </row>
    <row r="2364" spans="3:23" x14ac:dyDescent="0.3">
      <c r="C2364" s="23"/>
      <c r="D2364" s="23"/>
      <c r="E2364" s="23" t="s">
        <v>137</v>
      </c>
      <c r="T2364" s="7"/>
      <c r="U2364" s="7">
        <f>T2359*(1-U2345)+T2360*(1-U2346)+T2361*(1-U2347)</f>
        <v>9.9791583099585926E-2</v>
      </c>
      <c r="V2364" s="7">
        <f>U2360*(1-V2346)+U2364</f>
        <v>9.9992291505556885E-2</v>
      </c>
      <c r="W2364" s="7">
        <f>V2361*(1-W2347)+V2364</f>
        <v>9.9992291505556885E-2</v>
      </c>
    </row>
    <row r="2365" spans="3:23" x14ac:dyDescent="0.3">
      <c r="C2365" s="23"/>
      <c r="D2365" s="23"/>
      <c r="E2365" s="23"/>
      <c r="T2365" s="7"/>
    </row>
    <row r="2366" spans="3:23" x14ac:dyDescent="0.3">
      <c r="C2366" s="11"/>
      <c r="D2366" s="11"/>
      <c r="E2366" s="11" t="s">
        <v>139</v>
      </c>
      <c r="S2366" s="8">
        <f>SUM(S2367:S2368)</f>
        <v>1.4697404798710263</v>
      </c>
      <c r="T2366" s="8">
        <f>SUM(T2367:T2368)</f>
        <v>0.10035420298547941</v>
      </c>
      <c r="U2366" s="8">
        <f>SUM(U2367:U2368)</f>
        <v>9.9791583099585926E-2</v>
      </c>
      <c r="V2366" s="8">
        <f>SUM(V2367:V2368)</f>
        <v>2.0070840597095877E-4</v>
      </c>
    </row>
    <row r="2367" spans="3:23" x14ac:dyDescent="0.3">
      <c r="C2367" s="23"/>
      <c r="D2367" s="23"/>
      <c r="E2367" s="23" t="s">
        <v>120</v>
      </c>
      <c r="S2367" s="7">
        <f>S2359</f>
        <v>1.4697404798710263</v>
      </c>
      <c r="T2367" s="7">
        <f>S2397*(1-T2345)</f>
        <v>7.1282413273744835E-2</v>
      </c>
      <c r="U2367" s="7">
        <f>T2359*(1-U2345)</f>
        <v>9.9350660955624615E-2</v>
      </c>
    </row>
    <row r="2368" spans="3:23" x14ac:dyDescent="0.3">
      <c r="C2368" s="24"/>
      <c r="D2368" s="24"/>
      <c r="E2368" s="24" t="s">
        <v>122</v>
      </c>
      <c r="T2368" s="7">
        <f>S2360*(1-T2346)</f>
        <v>2.9071789711734575E-2</v>
      </c>
      <c r="U2368" s="7">
        <f>T2360*(1-U2346)</f>
        <v>4.4092214396130816E-4</v>
      </c>
      <c r="V2368" s="7">
        <f>U2360*(1-V2346)</f>
        <v>2.0070840597095877E-4</v>
      </c>
    </row>
    <row r="2369" spans="3:23" x14ac:dyDescent="0.3">
      <c r="C2369" s="23"/>
      <c r="D2369" s="23"/>
      <c r="E2369" s="23"/>
      <c r="T2369" s="7"/>
      <c r="U2369" s="7">
        <f>T2361*(1-U2347)</f>
        <v>0</v>
      </c>
      <c r="V2369" s="7">
        <f>U2361*(1-V2347)</f>
        <v>0</v>
      </c>
    </row>
    <row r="2370" spans="3:23" x14ac:dyDescent="0.3">
      <c r="C2370" s="81"/>
      <c r="D2370" s="81"/>
      <c r="E2370" s="81" t="s">
        <v>123</v>
      </c>
    </row>
    <row r="2371" spans="3:23" x14ac:dyDescent="0.3">
      <c r="C2371" s="23"/>
      <c r="D2371" s="23"/>
      <c r="E2371" s="23" t="s">
        <v>120</v>
      </c>
      <c r="S2371" s="7">
        <f>R2332-S2339</f>
        <v>25.641025641025642</v>
      </c>
      <c r="T2371" s="7">
        <f>S2371-T2339</f>
        <v>12.820512820512823</v>
      </c>
      <c r="U2371" s="7">
        <f>T2371-U2339</f>
        <v>0</v>
      </c>
    </row>
    <row r="2372" spans="3:23" x14ac:dyDescent="0.3">
      <c r="C2372" s="24"/>
      <c r="D2372" s="24"/>
      <c r="E2372" s="24" t="s">
        <v>122</v>
      </c>
      <c r="S2372" s="7">
        <f>R2332</f>
        <v>38.46153846153846</v>
      </c>
      <c r="T2372" s="7">
        <f>S2371</f>
        <v>25.641025641025642</v>
      </c>
      <c r="U2372" s="7">
        <f>T2371</f>
        <v>12.820512820512823</v>
      </c>
    </row>
    <row r="2373" spans="3:23" x14ac:dyDescent="0.3">
      <c r="C2373" s="23"/>
      <c r="D2373" s="23"/>
      <c r="E2373" s="23" t="s">
        <v>121</v>
      </c>
      <c r="T2373" s="7">
        <f>S2372</f>
        <v>38.46153846153846</v>
      </c>
      <c r="U2373" s="7">
        <f>T2372</f>
        <v>25.641025641025642</v>
      </c>
      <c r="V2373" s="7">
        <f>U2372</f>
        <v>12.820512820512823</v>
      </c>
    </row>
    <row r="2374" spans="3:23" x14ac:dyDescent="0.3">
      <c r="C2374" s="23"/>
      <c r="D2374" s="23"/>
      <c r="E2374" s="23"/>
      <c r="U2374" s="7"/>
      <c r="V2374" s="7"/>
    </row>
    <row r="2375" spans="3:23" x14ac:dyDescent="0.3">
      <c r="C2375" s="23"/>
      <c r="D2375" s="23"/>
      <c r="E2375" s="23"/>
      <c r="U2375" s="7"/>
      <c r="V2375" s="7"/>
    </row>
    <row r="2376" spans="3:23" x14ac:dyDescent="0.3">
      <c r="C2376" s="11"/>
      <c r="D2376" s="11"/>
      <c r="E2376" s="11" t="s">
        <v>130</v>
      </c>
      <c r="S2376" s="8">
        <f>SUM(S2377:S2380)</f>
        <v>43.276382120744508</v>
      </c>
      <c r="T2376" s="8">
        <f t="shared" ref="T2376:V2376" si="167">SUM(T2377:T2380)</f>
        <v>5.815703858537276</v>
      </c>
      <c r="U2376" s="8">
        <f t="shared" si="167"/>
        <v>4.5306717400302601</v>
      </c>
      <c r="V2376" s="8">
        <f t="shared" si="167"/>
        <v>4.5280985553383246</v>
      </c>
    </row>
    <row r="2377" spans="3:23" x14ac:dyDescent="0.3">
      <c r="C2377" s="23"/>
      <c r="D2377" s="23"/>
      <c r="E2377" s="23" t="s">
        <v>120</v>
      </c>
      <c r="S2377" s="7">
        <f>S2371*S2359</f>
        <v>37.685653330026319</v>
      </c>
      <c r="T2377" s="7">
        <f t="shared" ref="T2377:U2378" si="168">T2371*T2359</f>
        <v>1.2865923459676849</v>
      </c>
      <c r="U2377" s="7">
        <f t="shared" si="168"/>
        <v>0</v>
      </c>
    </row>
    <row r="2378" spans="3:23" x14ac:dyDescent="0.3">
      <c r="C2378" s="24"/>
      <c r="D2378" s="24"/>
      <c r="E2378" s="24" t="s">
        <v>122</v>
      </c>
      <c r="S2378" s="7">
        <f>S2372*S2360</f>
        <v>5.5907287907181882</v>
      </c>
      <c r="T2378" s="7">
        <f t="shared" si="168"/>
        <v>5.6528479995039523E-2</v>
      </c>
      <c r="U2378" s="7">
        <f t="shared" si="168"/>
        <v>1.286592345967685E-2</v>
      </c>
      <c r="V2378" s="7">
        <f>V2372*V2360</f>
        <v>0</v>
      </c>
    </row>
    <row r="2379" spans="3:23" x14ac:dyDescent="0.3">
      <c r="C2379" s="23"/>
      <c r="D2379" s="23"/>
      <c r="E2379" s="23" t="s">
        <v>121</v>
      </c>
      <c r="T2379" s="7">
        <f>T2373*T2361</f>
        <v>4.4725830325745513</v>
      </c>
      <c r="U2379" s="7">
        <f>U2373*U2361</f>
        <v>4.5222783996031621E-2</v>
      </c>
      <c r="V2379" s="7">
        <f>V2373*V2361</f>
        <v>1.0292738767741481E-2</v>
      </c>
    </row>
    <row r="2380" spans="3:23" x14ac:dyDescent="0.3">
      <c r="C2380" s="23"/>
      <c r="D2380" s="23"/>
      <c r="E2380" s="23" t="s">
        <v>138</v>
      </c>
      <c r="U2380" s="8">
        <f>T2379</f>
        <v>4.4725830325745513</v>
      </c>
      <c r="V2380" s="8">
        <f>U2380+U2379</f>
        <v>4.5178058165705828</v>
      </c>
      <c r="W2380" s="8">
        <f>V2380+V2379</f>
        <v>4.5280985553383246</v>
      </c>
    </row>
    <row r="2381" spans="3:23" x14ac:dyDescent="0.3">
      <c r="C2381" s="23"/>
      <c r="D2381" s="23"/>
      <c r="E2381" s="23"/>
    </row>
    <row r="2382" spans="3:23" x14ac:dyDescent="0.3">
      <c r="C2382" s="105"/>
      <c r="D2382" s="105"/>
      <c r="E2382" s="105" t="s">
        <v>300</v>
      </c>
      <c r="R2382" s="8">
        <f>W2380</f>
        <v>4.5280985553383246</v>
      </c>
    </row>
    <row r="2383" spans="3:23" x14ac:dyDescent="0.3">
      <c r="C2383" s="23"/>
      <c r="D2383" s="23"/>
      <c r="E2383" s="23"/>
    </row>
    <row r="2384" spans="3:23" x14ac:dyDescent="0.3">
      <c r="C2384" s="11"/>
      <c r="D2384" s="11"/>
      <c r="E2384" s="11" t="s">
        <v>140</v>
      </c>
      <c r="S2384" s="8">
        <f>SUM(S2386:S2389)</f>
        <v>54.644197328538155</v>
      </c>
      <c r="T2384" s="8">
        <f>SUM(T2386:T2389)</f>
        <v>1.6593075986822305</v>
      </c>
      <c r="U2384" s="8">
        <f t="shared" ref="U2384:V2384" si="169">SUM(U2386:U2389)</f>
        <v>1.2850321185070157</v>
      </c>
      <c r="V2384" s="8">
        <f t="shared" si="169"/>
        <v>2.5731846919353684E-3</v>
      </c>
    </row>
    <row r="2385" spans="3:34" x14ac:dyDescent="0.3">
      <c r="C2385" s="11"/>
      <c r="D2385" s="11"/>
      <c r="E2385" s="11"/>
      <c r="S2385" s="8"/>
      <c r="T2385" s="8"/>
      <c r="U2385" s="8"/>
      <c r="V2385" s="8"/>
    </row>
    <row r="2386" spans="3:34" x14ac:dyDescent="0.3">
      <c r="E2386" t="s">
        <v>131</v>
      </c>
      <c r="G2386" s="23" t="s">
        <v>120</v>
      </c>
      <c r="S2386" s="6">
        <f>S2395*S2340</f>
        <v>53.702055995287495</v>
      </c>
    </row>
    <row r="2387" spans="3:34" x14ac:dyDescent="0.3">
      <c r="G2387" s="23"/>
      <c r="S2387" s="6"/>
    </row>
    <row r="2388" spans="3:34" x14ac:dyDescent="0.3">
      <c r="E2388" t="s">
        <v>200</v>
      </c>
      <c r="G2388" s="23" t="s">
        <v>120</v>
      </c>
      <c r="S2388" s="6">
        <f>S2397*S2339</f>
        <v>0.94214133325065863</v>
      </c>
      <c r="T2388" s="27">
        <f>T2367*T2339</f>
        <v>0.91387709325313882</v>
      </c>
      <c r="U2388" s="27">
        <f>U2367*U2339</f>
        <v>1.2737264225080078</v>
      </c>
      <c r="V2388" s="27">
        <f>V2367*V2339</f>
        <v>0</v>
      </c>
    </row>
    <row r="2389" spans="3:34" x14ac:dyDescent="0.3">
      <c r="E2389" t="s">
        <v>200</v>
      </c>
      <c r="G2389" s="24" t="s">
        <v>122</v>
      </c>
      <c r="S2389" s="6"/>
      <c r="T2389" s="27">
        <f>T2368*(S2339+T2339)</f>
        <v>0.74543050542909162</v>
      </c>
      <c r="U2389" s="27">
        <f>U2368*(T2339+U2339)</f>
        <v>1.13056959990079E-2</v>
      </c>
      <c r="V2389" s="27">
        <f>V2368*(U2339+V2339)</f>
        <v>2.5731846919353684E-3</v>
      </c>
    </row>
    <row r="2391" spans="3:34" x14ac:dyDescent="0.3">
      <c r="C2391" s="11"/>
      <c r="D2391" s="11"/>
      <c r="E2391" s="11" t="s">
        <v>283</v>
      </c>
      <c r="S2391" s="8">
        <f>SUM(S2388:V2389)</f>
        <v>3.8890542351318405</v>
      </c>
    </row>
    <row r="2393" spans="3:34" x14ac:dyDescent="0.3">
      <c r="E2393" t="s">
        <v>202</v>
      </c>
      <c r="S2393" s="28">
        <f>S2395*(T2339+U2339)</f>
        <v>35.801370663524992</v>
      </c>
    </row>
    <row r="2395" spans="3:34" x14ac:dyDescent="0.3">
      <c r="C2395" s="72"/>
      <c r="D2395" s="72"/>
      <c r="E2395" s="72" t="s">
        <v>132</v>
      </c>
      <c r="S2395" s="73">
        <f>S2359*R2341</f>
        <v>1.3962534558774748</v>
      </c>
    </row>
    <row r="2397" spans="3:34" x14ac:dyDescent="0.3">
      <c r="E2397" t="s">
        <v>201</v>
      </c>
      <c r="S2397" s="7">
        <f>S2359*R2342</f>
        <v>7.3487023993551379E-2</v>
      </c>
    </row>
    <row r="2400" spans="3:34" x14ac:dyDescent="0.3">
      <c r="E2400" s="160" t="s">
        <v>290</v>
      </c>
      <c r="F2400" s="161"/>
      <c r="G2400" s="161"/>
      <c r="H2400" s="161"/>
      <c r="I2400" s="161"/>
      <c r="J2400" s="161"/>
      <c r="K2400" s="161"/>
      <c r="L2400" s="161"/>
      <c r="M2400" s="161"/>
      <c r="N2400" s="161"/>
      <c r="O2400" s="161"/>
      <c r="P2400" s="161"/>
      <c r="Q2400" s="161"/>
      <c r="R2400" s="161"/>
      <c r="S2400" s="161"/>
      <c r="T2400" s="161"/>
      <c r="U2400" s="161"/>
      <c r="V2400" s="161"/>
      <c r="W2400" s="161"/>
      <c r="X2400" s="161"/>
      <c r="Y2400" s="161"/>
      <c r="Z2400" s="161"/>
      <c r="AA2400" s="161"/>
      <c r="AB2400" s="161"/>
      <c r="AC2400" s="161"/>
      <c r="AD2400" s="161"/>
      <c r="AE2400" s="161"/>
      <c r="AF2400" s="161"/>
      <c r="AG2400" s="161"/>
      <c r="AH2400" s="162"/>
    </row>
    <row r="2402" spans="3:22" x14ac:dyDescent="0.3">
      <c r="E2402" t="s">
        <v>197</v>
      </c>
      <c r="R2402" s="83">
        <f>O1084</f>
        <v>30.710115730510413</v>
      </c>
    </row>
    <row r="2403" spans="3:22" x14ac:dyDescent="0.3">
      <c r="E2403" t="s">
        <v>206</v>
      </c>
      <c r="R2403" s="7">
        <f>R2405*R2402</f>
        <v>1.8817799497812073</v>
      </c>
      <c r="U2403" s="77"/>
    </row>
    <row r="2404" spans="3:22" x14ac:dyDescent="0.3">
      <c r="R2404" s="7"/>
      <c r="U2404" s="77"/>
    </row>
    <row r="2405" spans="3:22" x14ac:dyDescent="0.3">
      <c r="C2405" s="11"/>
      <c r="D2405" s="11"/>
      <c r="E2405" s="11" t="s">
        <v>134</v>
      </c>
      <c r="F2405" s="11"/>
      <c r="G2405" s="11"/>
      <c r="R2405" s="98">
        <f>R2406*R2407*R2408*R2409</f>
        <v>6.1275573374400025E-2</v>
      </c>
      <c r="S2405" s="7">
        <f>S2406*S2407*S2408*S2409</f>
        <v>0</v>
      </c>
      <c r="T2405" s="11"/>
      <c r="V2405" s="11"/>
    </row>
    <row r="2406" spans="3:22" x14ac:dyDescent="0.3">
      <c r="E2406" t="s">
        <v>35</v>
      </c>
      <c r="R2406" s="97">
        <f>S1123</f>
        <v>6.6481760000000029E-2</v>
      </c>
    </row>
    <row r="2407" spans="3:22" x14ac:dyDescent="0.3">
      <c r="E2407" t="s">
        <v>36</v>
      </c>
      <c r="R2407" s="86">
        <f>0.95</f>
        <v>0.95</v>
      </c>
    </row>
    <row r="2408" spans="3:22" x14ac:dyDescent="0.3">
      <c r="E2408" t="s">
        <v>142</v>
      </c>
      <c r="R2408" s="86">
        <v>0.99</v>
      </c>
    </row>
    <row r="2409" spans="3:22" x14ac:dyDescent="0.3">
      <c r="E2409" t="s">
        <v>37</v>
      </c>
      <c r="R2409" s="86">
        <v>0.98</v>
      </c>
    </row>
    <row r="2412" spans="3:22" x14ac:dyDescent="0.3">
      <c r="E2412" t="s">
        <v>125</v>
      </c>
      <c r="R2412" s="83">
        <f>$F$34</f>
        <v>32.051282051282051</v>
      </c>
    </row>
    <row r="2413" spans="3:22" x14ac:dyDescent="0.3">
      <c r="C2413" s="100"/>
      <c r="D2413" s="100"/>
      <c r="E2413" s="100" t="s">
        <v>135</v>
      </c>
      <c r="R2413" s="101">
        <f>R2412</f>
        <v>32.051282051282051</v>
      </c>
    </row>
    <row r="2415" spans="3:22" x14ac:dyDescent="0.3">
      <c r="E2415" t="s">
        <v>126</v>
      </c>
      <c r="R2415" s="88">
        <f>$H$52</f>
        <v>0.2</v>
      </c>
    </row>
    <row r="2416" spans="3:22" x14ac:dyDescent="0.3">
      <c r="E2416" t="s">
        <v>117</v>
      </c>
      <c r="R2416" s="7">
        <f>R2415*R2412</f>
        <v>6.4102564102564106</v>
      </c>
    </row>
    <row r="2418" spans="3:23" x14ac:dyDescent="0.3">
      <c r="E2418" t="s">
        <v>118</v>
      </c>
      <c r="R2418" s="7">
        <f>R2413</f>
        <v>32.051282051282051</v>
      </c>
    </row>
    <row r="2419" spans="3:23" x14ac:dyDescent="0.3">
      <c r="E2419" t="s">
        <v>106</v>
      </c>
      <c r="R2419" s="7">
        <f>R2412*(1+R2415)</f>
        <v>38.46153846153846</v>
      </c>
    </row>
    <row r="2420" spans="3:23" x14ac:dyDescent="0.3">
      <c r="R2420" s="7"/>
    </row>
    <row r="2421" spans="3:23" x14ac:dyDescent="0.3">
      <c r="E2421" t="s">
        <v>136</v>
      </c>
      <c r="R2421" s="7">
        <f>R2418*R2403</f>
        <v>60.313459928884853</v>
      </c>
    </row>
    <row r="2422" spans="3:23" x14ac:dyDescent="0.3">
      <c r="E2422" t="s">
        <v>119</v>
      </c>
      <c r="R2422" s="7">
        <f>R2419*R2403</f>
        <v>72.376151914661818</v>
      </c>
    </row>
    <row r="2423" spans="3:23" x14ac:dyDescent="0.3">
      <c r="R2423" s="7"/>
    </row>
    <row r="2424" spans="3:23" x14ac:dyDescent="0.3">
      <c r="E2424" t="s">
        <v>302</v>
      </c>
      <c r="R2424" s="6">
        <f>R2416*R2403</f>
        <v>12.06269198577697</v>
      </c>
    </row>
    <row r="2425" spans="3:23" x14ac:dyDescent="0.3">
      <c r="R2425" s="7"/>
    </row>
    <row r="2426" spans="3:23" x14ac:dyDescent="0.3">
      <c r="E2426" t="s">
        <v>127</v>
      </c>
      <c r="S2426" s="7">
        <f>R2419/3</f>
        <v>12.820512820512819</v>
      </c>
      <c r="T2426" s="7">
        <f>R2419/3</f>
        <v>12.820512820512819</v>
      </c>
      <c r="U2426" s="7">
        <f>R2419/3</f>
        <v>12.820512820512819</v>
      </c>
    </row>
    <row r="2427" spans="3:23" x14ac:dyDescent="0.3">
      <c r="S2427" s="7">
        <f>R2419</f>
        <v>38.46153846153846</v>
      </c>
    </row>
    <row r="2428" spans="3:23" s="103" customFormat="1" x14ac:dyDescent="0.3">
      <c r="E2428" s="103" t="s">
        <v>128</v>
      </c>
      <c r="R2428" s="79">
        <f>'Summary500-600'!$E$42</f>
        <v>0.95</v>
      </c>
    </row>
    <row r="2429" spans="3:23" s="103" customFormat="1" x14ac:dyDescent="0.3">
      <c r="E2429" s="103" t="s">
        <v>129</v>
      </c>
      <c r="R2429" s="79">
        <f>1-R2428</f>
        <v>5.0000000000000044E-2</v>
      </c>
    </row>
    <row r="2431" spans="3:23" x14ac:dyDescent="0.3">
      <c r="C2431" s="71"/>
      <c r="D2431" s="71"/>
      <c r="E2431" s="71" t="s">
        <v>16</v>
      </c>
    </row>
    <row r="2432" spans="3:23" x14ac:dyDescent="0.3">
      <c r="E2432" t="s">
        <v>17</v>
      </c>
      <c r="S2432" s="74">
        <f>'Summary500-600'!$D$86</f>
        <v>0.09</v>
      </c>
      <c r="T2432" s="74">
        <f>'Summary500-600'!$D$87</f>
        <v>0.03</v>
      </c>
      <c r="U2432" s="74">
        <f>'Summary500-600'!$D$88</f>
        <v>0.01</v>
      </c>
      <c r="V2432" s="75"/>
      <c r="W2432" s="75"/>
    </row>
    <row r="2433" spans="3:23" x14ac:dyDescent="0.3">
      <c r="E2433" t="s">
        <v>18</v>
      </c>
      <c r="G2433" s="75"/>
      <c r="T2433" s="74">
        <f>'Summary500-600'!$D$89</f>
        <v>0.8</v>
      </c>
      <c r="U2433" s="76">
        <f>T2433</f>
        <v>0.8</v>
      </c>
      <c r="V2433" s="76">
        <f>U2433</f>
        <v>0.8</v>
      </c>
      <c r="W2433" s="75"/>
    </row>
    <row r="2434" spans="3:23" x14ac:dyDescent="0.3">
      <c r="E2434" t="s">
        <v>19</v>
      </c>
      <c r="G2434" s="75"/>
      <c r="T2434" s="75"/>
      <c r="U2434" s="74">
        <f>'Summary500-600'!$D$90</f>
        <v>1</v>
      </c>
      <c r="V2434" s="74">
        <f>U2434</f>
        <v>1</v>
      </c>
      <c r="W2434" s="74">
        <f>V2434</f>
        <v>1</v>
      </c>
    </row>
    <row r="2435" spans="3:23" x14ac:dyDescent="0.3">
      <c r="E2435" t="s">
        <v>20</v>
      </c>
      <c r="U2435" s="21"/>
    </row>
    <row r="2436" spans="3:23" x14ac:dyDescent="0.3">
      <c r="U2436" s="21"/>
    </row>
    <row r="2437" spans="3:23" x14ac:dyDescent="0.3">
      <c r="C2437" s="11"/>
      <c r="D2437" s="11"/>
      <c r="E2437" s="11" t="s">
        <v>196</v>
      </c>
      <c r="S2437" s="90">
        <f>SUM(S2438:S2441)</f>
        <v>0.13550000000000004</v>
      </c>
      <c r="T2437" s="90">
        <f t="shared" ref="T2437:V2437" si="170">SUM(T2438:T2441)</f>
        <v>0.13550000000000001</v>
      </c>
      <c r="U2437" s="90">
        <f t="shared" si="170"/>
        <v>7.3713349999999997E-2</v>
      </c>
      <c r="V2437" s="90">
        <f t="shared" si="170"/>
        <v>7.3589079999999987E-2</v>
      </c>
    </row>
    <row r="2438" spans="3:23" x14ac:dyDescent="0.3">
      <c r="E2438" t="s">
        <v>17</v>
      </c>
      <c r="S2438" s="22">
        <f>(1-S2432)*R2429</f>
        <v>4.550000000000004E-2</v>
      </c>
      <c r="T2438" s="22">
        <f>S2438*(1-T2432)+S2439*(1-T2433)</f>
        <v>6.213500000000003E-2</v>
      </c>
    </row>
    <row r="2439" spans="3:23" x14ac:dyDescent="0.3">
      <c r="E2439" t="s">
        <v>18</v>
      </c>
      <c r="S2439" s="22">
        <f>S2432</f>
        <v>0.09</v>
      </c>
      <c r="T2439" s="22">
        <f>S2438*T2432</f>
        <v>1.3650000000000012E-3</v>
      </c>
      <c r="U2439" s="22">
        <f>T2438*U2432</f>
        <v>6.2135000000000033E-4</v>
      </c>
      <c r="W2439" s="22"/>
    </row>
    <row r="2440" spans="3:23" x14ac:dyDescent="0.3">
      <c r="E2440" t="s">
        <v>19</v>
      </c>
      <c r="T2440" s="22">
        <f>S2439*T2433</f>
        <v>7.1999999999999995E-2</v>
      </c>
      <c r="U2440" s="22">
        <f>T2439*U2433+T2440</f>
        <v>7.309199999999999E-2</v>
      </c>
      <c r="V2440" s="22">
        <f>U2439*V2433+U2440</f>
        <v>7.3589079999999987E-2</v>
      </c>
    </row>
    <row r="2441" spans="3:23" x14ac:dyDescent="0.3">
      <c r="T2441" s="22"/>
      <c r="U2441" s="22"/>
    </row>
    <row r="2442" spans="3:23" x14ac:dyDescent="0.3">
      <c r="E2442" t="s">
        <v>195</v>
      </c>
      <c r="S2442" s="22">
        <f>(1-S2432)*R2428</f>
        <v>0.86449999999999994</v>
      </c>
      <c r="U2442" s="29">
        <f>T2438*(1-U2432)+T2439*(1-U2433)+T2440*(1-U2434)</f>
        <v>6.1786650000000033E-2</v>
      </c>
      <c r="V2442" s="29">
        <f>U2439*(1-V2433)+U2442</f>
        <v>6.1910920000000036E-2</v>
      </c>
      <c r="W2442" s="22"/>
    </row>
    <row r="2443" spans="3:23" x14ac:dyDescent="0.3">
      <c r="S2443" s="22"/>
      <c r="U2443" s="29"/>
      <c r="V2443" s="29"/>
      <c r="W2443" s="22"/>
    </row>
    <row r="2444" spans="3:23" x14ac:dyDescent="0.3">
      <c r="S2444" s="25"/>
    </row>
    <row r="2445" spans="3:23" x14ac:dyDescent="0.3">
      <c r="C2445" s="11"/>
      <c r="D2445" s="11"/>
      <c r="E2445" s="11" t="s">
        <v>124</v>
      </c>
      <c r="S2445" s="8">
        <f>SUM(S2446:S2449)</f>
        <v>1.8817799497812073</v>
      </c>
      <c r="T2445" s="8">
        <f t="shared" ref="T2445:U2445" si="171">SUM(T2446:T2449)</f>
        <v>0.25498118319535368</v>
      </c>
      <c r="U2445" s="8">
        <f t="shared" si="171"/>
        <v>0.13871230406120455</v>
      </c>
    </row>
    <row r="2446" spans="3:23" x14ac:dyDescent="0.3">
      <c r="C2446" s="23"/>
      <c r="D2446" s="23"/>
      <c r="E2446" s="23" t="s">
        <v>120</v>
      </c>
      <c r="S2446" s="7">
        <f>R2403*(1-S2432)</f>
        <v>1.7124197543008988</v>
      </c>
      <c r="T2446" s="82">
        <f>S2484*(1-T2432)+S2447*(1-T2433)</f>
        <v>0.11692439717965539</v>
      </c>
    </row>
    <row r="2447" spans="3:23" x14ac:dyDescent="0.3">
      <c r="C2447" s="24"/>
      <c r="D2447" s="24"/>
      <c r="E2447" s="24" t="s">
        <v>122</v>
      </c>
      <c r="S2447" s="7">
        <f>R2403*S2432</f>
        <v>0.16936019548030865</v>
      </c>
      <c r="T2447" s="7">
        <f>S2484*T2432</f>
        <v>2.5686296314513506E-3</v>
      </c>
      <c r="U2447" s="7">
        <f>T2446*U2432</f>
        <v>1.169243971796554E-3</v>
      </c>
      <c r="V2447" s="7">
        <f>U2446*V2432</f>
        <v>0</v>
      </c>
    </row>
    <row r="2448" spans="3:23" x14ac:dyDescent="0.3">
      <c r="C2448" s="23"/>
      <c r="D2448" s="23"/>
      <c r="E2448" s="23" t="s">
        <v>121</v>
      </c>
      <c r="T2448" s="7">
        <f>S2447*T2433</f>
        <v>0.13548815638424691</v>
      </c>
      <c r="U2448" s="7">
        <f>T2447*U2433</f>
        <v>2.0549037051610804E-3</v>
      </c>
      <c r="V2448" s="7">
        <f>U2447*V2433</f>
        <v>9.3539517743724317E-4</v>
      </c>
    </row>
    <row r="2449" spans="3:23" x14ac:dyDescent="0.3">
      <c r="C2449" s="23"/>
      <c r="D2449" s="23"/>
      <c r="E2449" s="23" t="s">
        <v>138</v>
      </c>
      <c r="T2449" s="7"/>
      <c r="U2449" s="7">
        <f>T2448*U2434</f>
        <v>0.13548815638424691</v>
      </c>
      <c r="V2449" s="7">
        <f>U2448*V2434+U2449</f>
        <v>0.137543060089408</v>
      </c>
      <c r="W2449" s="7">
        <f>V2448*W2434+V2449</f>
        <v>0.13847845526684524</v>
      </c>
    </row>
    <row r="2450" spans="3:23" x14ac:dyDescent="0.3">
      <c r="C2450" s="23"/>
      <c r="D2450" s="23"/>
      <c r="E2450" s="23"/>
      <c r="T2450" s="7"/>
    </row>
    <row r="2451" spans="3:23" x14ac:dyDescent="0.3">
      <c r="C2451" s="23"/>
      <c r="D2451" s="23"/>
      <c r="E2451" s="23" t="s">
        <v>137</v>
      </c>
      <c r="T2451" s="7"/>
      <c r="U2451" s="7">
        <f>T2446*(1-U2432)+T2447*(1-U2433)+T2448*(1-U2434)</f>
        <v>0.1162688791341491</v>
      </c>
      <c r="V2451" s="7">
        <f>U2447*(1-V2433)+U2451</f>
        <v>0.11650272792850841</v>
      </c>
      <c r="W2451" s="7">
        <f>V2448*(1-W2434)+V2451</f>
        <v>0.11650272792850841</v>
      </c>
    </row>
    <row r="2452" spans="3:23" x14ac:dyDescent="0.3">
      <c r="C2452" s="23"/>
      <c r="D2452" s="23"/>
      <c r="E2452" s="23"/>
      <c r="T2452" s="7"/>
    </row>
    <row r="2453" spans="3:23" x14ac:dyDescent="0.3">
      <c r="C2453" s="11"/>
      <c r="D2453" s="11"/>
      <c r="E2453" s="11" t="s">
        <v>139</v>
      </c>
      <c r="S2453" s="8">
        <f>SUM(S2454:S2455)</f>
        <v>1.7124197543008988</v>
      </c>
      <c r="T2453" s="8">
        <f>SUM(T2454:T2455)</f>
        <v>0.11692439717965539</v>
      </c>
      <c r="U2453" s="8">
        <f>SUM(U2454:U2455)</f>
        <v>0.1162688791341491</v>
      </c>
      <c r="V2453" s="8">
        <f>SUM(V2454:V2455)</f>
        <v>2.3384879435931074E-4</v>
      </c>
    </row>
    <row r="2454" spans="3:23" x14ac:dyDescent="0.3">
      <c r="C2454" s="23"/>
      <c r="D2454" s="23"/>
      <c r="E2454" s="23" t="s">
        <v>120</v>
      </c>
      <c r="S2454" s="7">
        <f>S2446</f>
        <v>1.7124197543008988</v>
      </c>
      <c r="T2454" s="7">
        <f>S2484*(1-T2432)</f>
        <v>8.3052358083593666E-2</v>
      </c>
      <c r="U2454" s="7">
        <f>T2446*(1-U2432)</f>
        <v>0.11575515320785883</v>
      </c>
    </row>
    <row r="2455" spans="3:23" x14ac:dyDescent="0.3">
      <c r="C2455" s="24"/>
      <c r="D2455" s="24"/>
      <c r="E2455" s="24" t="s">
        <v>122</v>
      </c>
      <c r="T2455" s="7">
        <f>S2447*(1-T2433)</f>
        <v>3.3872039096061721E-2</v>
      </c>
      <c r="U2455" s="7">
        <f>T2447*(1-U2433)</f>
        <v>5.1372592629027E-4</v>
      </c>
      <c r="V2455" s="7">
        <f>U2447*(1-V2433)</f>
        <v>2.3384879435931074E-4</v>
      </c>
    </row>
    <row r="2456" spans="3:23" x14ac:dyDescent="0.3">
      <c r="C2456" s="23"/>
      <c r="D2456" s="23"/>
      <c r="E2456" s="23"/>
      <c r="T2456" s="7"/>
      <c r="U2456" s="7">
        <f>T2448*(1-U2434)</f>
        <v>0</v>
      </c>
      <c r="V2456" s="7">
        <f>U2448*(1-V2434)</f>
        <v>0</v>
      </c>
    </row>
    <row r="2457" spans="3:23" x14ac:dyDescent="0.3">
      <c r="C2457" s="81"/>
      <c r="D2457" s="81"/>
      <c r="E2457" s="81" t="s">
        <v>123</v>
      </c>
    </row>
    <row r="2458" spans="3:23" x14ac:dyDescent="0.3">
      <c r="C2458" s="23"/>
      <c r="D2458" s="23"/>
      <c r="E2458" s="23" t="s">
        <v>120</v>
      </c>
      <c r="S2458" s="7">
        <f>R2419-S2426</f>
        <v>25.641025641025642</v>
      </c>
      <c r="T2458" s="7">
        <f>S2458-T2426</f>
        <v>12.820512820512823</v>
      </c>
      <c r="U2458" s="7">
        <f>T2458-U2426</f>
        <v>0</v>
      </c>
    </row>
    <row r="2459" spans="3:23" x14ac:dyDescent="0.3">
      <c r="C2459" s="24"/>
      <c r="D2459" s="24"/>
      <c r="E2459" s="24" t="s">
        <v>122</v>
      </c>
      <c r="S2459" s="7">
        <f>R2419</f>
        <v>38.46153846153846</v>
      </c>
      <c r="T2459" s="7">
        <f>S2458</f>
        <v>25.641025641025642</v>
      </c>
      <c r="U2459" s="7">
        <f>T2458</f>
        <v>12.820512820512823</v>
      </c>
    </row>
    <row r="2460" spans="3:23" x14ac:dyDescent="0.3">
      <c r="C2460" s="23"/>
      <c r="D2460" s="23"/>
      <c r="E2460" s="23" t="s">
        <v>121</v>
      </c>
      <c r="T2460" s="7">
        <f>S2459</f>
        <v>38.46153846153846</v>
      </c>
      <c r="U2460" s="7">
        <f>T2459</f>
        <v>25.641025641025642</v>
      </c>
      <c r="V2460" s="7">
        <f>U2459</f>
        <v>12.820512820512823</v>
      </c>
    </row>
    <row r="2461" spans="3:23" x14ac:dyDescent="0.3">
      <c r="C2461" s="23"/>
      <c r="D2461" s="23"/>
      <c r="E2461" s="23"/>
      <c r="U2461" s="7"/>
      <c r="V2461" s="7"/>
    </row>
    <row r="2462" spans="3:23" x14ac:dyDescent="0.3">
      <c r="C2462" s="23"/>
      <c r="D2462" s="23"/>
      <c r="E2462" s="23"/>
      <c r="U2462" s="7"/>
      <c r="V2462" s="7"/>
    </row>
    <row r="2463" spans="3:23" x14ac:dyDescent="0.3">
      <c r="C2463" s="11"/>
      <c r="D2463" s="11"/>
      <c r="E2463" s="11" t="s">
        <v>130</v>
      </c>
      <c r="S2463" s="8">
        <f>SUM(S2464:S2467)</f>
        <v>50.422052500547736</v>
      </c>
      <c r="T2463" s="8">
        <f t="shared" ref="T2463:V2463" si="172">SUM(T2464:T2467)</f>
        <v>6.7759759691704975</v>
      </c>
      <c r="U2463" s="8">
        <f t="shared" si="172"/>
        <v>5.2787630837802491</v>
      </c>
      <c r="V2463" s="8">
        <f t="shared" si="172"/>
        <v>5.2757650223141042</v>
      </c>
    </row>
    <row r="2464" spans="3:23" x14ac:dyDescent="0.3">
      <c r="C2464" s="23"/>
      <c r="D2464" s="23"/>
      <c r="E2464" s="23" t="s">
        <v>120</v>
      </c>
      <c r="S2464" s="7">
        <f>S2458*S2446</f>
        <v>43.908198828228173</v>
      </c>
      <c r="T2464" s="7">
        <f t="shared" ref="T2464:U2465" si="173">T2458*T2446</f>
        <v>1.4990307330725052</v>
      </c>
      <c r="U2464" s="7">
        <f t="shared" si="173"/>
        <v>0</v>
      </c>
    </row>
    <row r="2465" spans="3:23" x14ac:dyDescent="0.3">
      <c r="C2465" s="24"/>
      <c r="D2465" s="24"/>
      <c r="E2465" s="24" t="s">
        <v>122</v>
      </c>
      <c r="S2465" s="7">
        <f>S2459*S2447</f>
        <v>6.5138536723195628</v>
      </c>
      <c r="T2465" s="7">
        <f t="shared" si="173"/>
        <v>6.5862298242342326E-2</v>
      </c>
      <c r="U2465" s="7">
        <f t="shared" si="173"/>
        <v>1.4990307330725053E-2</v>
      </c>
      <c r="V2465" s="7">
        <f>V2459*V2447</f>
        <v>0</v>
      </c>
    </row>
    <row r="2466" spans="3:23" x14ac:dyDescent="0.3">
      <c r="C2466" s="23"/>
      <c r="D2466" s="23"/>
      <c r="E2466" s="23" t="s">
        <v>121</v>
      </c>
      <c r="T2466" s="7">
        <f>T2460*T2448</f>
        <v>5.2110829378556502</v>
      </c>
      <c r="U2466" s="7">
        <f>U2460*U2448</f>
        <v>5.2689838593873863E-2</v>
      </c>
      <c r="V2466" s="7">
        <f>V2460*V2448</f>
        <v>1.1992245864580043E-2</v>
      </c>
    </row>
    <row r="2467" spans="3:23" x14ac:dyDescent="0.3">
      <c r="C2467" s="23"/>
      <c r="D2467" s="23"/>
      <c r="E2467" s="23" t="s">
        <v>299</v>
      </c>
      <c r="U2467" s="8">
        <f>T2466</f>
        <v>5.2110829378556502</v>
      </c>
      <c r="V2467" s="8">
        <f>U2467+U2466</f>
        <v>5.2637727764495237</v>
      </c>
      <c r="W2467" s="8">
        <f>V2467+V2466</f>
        <v>5.2757650223141042</v>
      </c>
    </row>
    <row r="2468" spans="3:23" x14ac:dyDescent="0.3">
      <c r="C2468" s="23"/>
      <c r="D2468" s="23"/>
      <c r="E2468" s="23"/>
    </row>
    <row r="2469" spans="3:23" x14ac:dyDescent="0.3">
      <c r="C2469" s="105"/>
      <c r="D2469" s="105"/>
      <c r="E2469" s="105" t="s">
        <v>300</v>
      </c>
      <c r="R2469" s="8">
        <f>W2467</f>
        <v>5.2757650223141042</v>
      </c>
    </row>
    <row r="2470" spans="3:23" x14ac:dyDescent="0.3">
      <c r="C2470" s="23"/>
      <c r="D2470" s="23"/>
      <c r="E2470" s="23"/>
    </row>
    <row r="2471" spans="3:23" x14ac:dyDescent="0.3">
      <c r="C2471" s="11"/>
      <c r="D2471" s="11"/>
      <c r="E2471" s="11" t="s">
        <v>140</v>
      </c>
      <c r="S2471" s="8">
        <f>SUM(S2473:S2476)</f>
        <v>63.666888300930843</v>
      </c>
      <c r="T2471" s="8">
        <f>SUM(T2473:T2476)</f>
        <v>1.9332876445604756</v>
      </c>
      <c r="U2471" s="8">
        <f t="shared" ref="U2471:V2471" si="174">SUM(U2473:U2476)</f>
        <v>1.497212885390248</v>
      </c>
      <c r="V2471" s="8">
        <f t="shared" si="174"/>
        <v>2.9980614661450091E-3</v>
      </c>
    </row>
    <row r="2472" spans="3:23" x14ac:dyDescent="0.3">
      <c r="C2472" s="11"/>
      <c r="D2472" s="11"/>
      <c r="E2472" s="11"/>
      <c r="S2472" s="8"/>
      <c r="T2472" s="8"/>
      <c r="U2472" s="8"/>
      <c r="V2472" s="8"/>
    </row>
    <row r="2473" spans="3:23" x14ac:dyDescent="0.3">
      <c r="E2473" t="s">
        <v>131</v>
      </c>
      <c r="G2473" s="23" t="s">
        <v>120</v>
      </c>
      <c r="S2473" s="6">
        <f>S2482*S2427</f>
        <v>62.569183330225137</v>
      </c>
    </row>
    <row r="2474" spans="3:23" x14ac:dyDescent="0.3">
      <c r="G2474" s="23"/>
      <c r="S2474" s="6"/>
    </row>
    <row r="2475" spans="3:23" x14ac:dyDescent="0.3">
      <c r="E2475" t="s">
        <v>200</v>
      </c>
      <c r="G2475" s="23" t="s">
        <v>120</v>
      </c>
      <c r="S2475" s="6">
        <f>S2484*S2426</f>
        <v>1.0977049707057052</v>
      </c>
      <c r="T2475" s="27">
        <f>T2454*T2426</f>
        <v>1.0647738215845342</v>
      </c>
      <c r="U2475" s="27">
        <f>U2454*U2426</f>
        <v>1.4840404257417796</v>
      </c>
      <c r="V2475" s="27">
        <f>V2454*V2426</f>
        <v>0</v>
      </c>
    </row>
    <row r="2476" spans="3:23" x14ac:dyDescent="0.3">
      <c r="E2476" t="s">
        <v>200</v>
      </c>
      <c r="G2476" s="24" t="s">
        <v>122</v>
      </c>
      <c r="S2476" s="6"/>
      <c r="T2476" s="27">
        <f>T2455*(S2426+T2426)</f>
        <v>0.86851382297594149</v>
      </c>
      <c r="U2476" s="27">
        <f>U2455*(T2426+U2426)</f>
        <v>1.317245964846846E-2</v>
      </c>
      <c r="V2476" s="27">
        <f>V2455*(U2426+V2426)</f>
        <v>2.9980614661450091E-3</v>
      </c>
    </row>
    <row r="2478" spans="3:23" x14ac:dyDescent="0.3">
      <c r="C2478" s="11"/>
      <c r="D2478" s="11"/>
      <c r="E2478" s="11" t="s">
        <v>283</v>
      </c>
      <c r="S2478" s="8">
        <f>SUM(S2475:V2476)</f>
        <v>4.5312035621225739</v>
      </c>
    </row>
    <row r="2480" spans="3:23" x14ac:dyDescent="0.3">
      <c r="E2480" t="s">
        <v>202</v>
      </c>
      <c r="S2480" s="28">
        <f>S2482*(T2426+U2426)</f>
        <v>41.712788886816753</v>
      </c>
    </row>
    <row r="2482" spans="3:34" x14ac:dyDescent="0.3">
      <c r="C2482" s="72"/>
      <c r="D2482" s="72"/>
      <c r="E2482" s="72" t="s">
        <v>132</v>
      </c>
      <c r="S2482" s="73">
        <f>S2446*R2428</f>
        <v>1.6267987665858537</v>
      </c>
    </row>
    <row r="2484" spans="3:34" x14ac:dyDescent="0.3">
      <c r="E2484" t="s">
        <v>201</v>
      </c>
      <c r="S2484" s="7">
        <f>S2446*R2429</f>
        <v>8.5620987715045019E-2</v>
      </c>
    </row>
    <row r="2487" spans="3:34" x14ac:dyDescent="0.3">
      <c r="E2487" s="160" t="s">
        <v>292</v>
      </c>
      <c r="F2487" s="161"/>
      <c r="G2487" s="161"/>
      <c r="H2487" s="161"/>
      <c r="I2487" s="161"/>
      <c r="J2487" s="161"/>
      <c r="K2487" s="161"/>
      <c r="L2487" s="161"/>
      <c r="M2487" s="161"/>
      <c r="N2487" s="161"/>
      <c r="O2487" s="161"/>
      <c r="P2487" s="161"/>
      <c r="Q2487" s="161"/>
      <c r="R2487" s="161"/>
      <c r="S2487" s="161"/>
      <c r="T2487" s="161"/>
      <c r="U2487" s="161"/>
      <c r="V2487" s="161"/>
      <c r="W2487" s="161"/>
      <c r="X2487" s="161"/>
      <c r="Y2487" s="161"/>
      <c r="Z2487" s="161"/>
      <c r="AA2487" s="161"/>
      <c r="AB2487" s="161"/>
      <c r="AC2487" s="161"/>
      <c r="AD2487" s="161"/>
      <c r="AE2487" s="161"/>
      <c r="AF2487" s="161"/>
      <c r="AG2487" s="161"/>
      <c r="AH2487" s="162"/>
    </row>
    <row r="2489" spans="3:34" x14ac:dyDescent="0.3">
      <c r="E2489" t="s">
        <v>197</v>
      </c>
      <c r="R2489" s="83">
        <f>O1171</f>
        <v>31.838011444374786</v>
      </c>
    </row>
    <row r="2490" spans="3:34" x14ac:dyDescent="0.3">
      <c r="E2490" t="s">
        <v>206</v>
      </c>
      <c r="R2490" s="7">
        <f>R2492*R2489</f>
        <v>1.9508924063547748</v>
      </c>
      <c r="U2490" s="77"/>
    </row>
    <row r="2491" spans="3:34" x14ac:dyDescent="0.3">
      <c r="R2491" s="7"/>
      <c r="U2491" s="77"/>
    </row>
    <row r="2492" spans="3:34" x14ac:dyDescent="0.3">
      <c r="C2492" s="11"/>
      <c r="D2492" s="11"/>
      <c r="E2492" s="11" t="s">
        <v>134</v>
      </c>
      <c r="F2492" s="11"/>
      <c r="G2492" s="11"/>
      <c r="R2492" s="98">
        <f>R2493*R2494*R2495*R2496</f>
        <v>6.1275573374400025E-2</v>
      </c>
      <c r="S2492" s="7">
        <f>S2493*S2494*S2495*S2496</f>
        <v>0</v>
      </c>
      <c r="T2492" s="11"/>
      <c r="V2492" s="11"/>
    </row>
    <row r="2493" spans="3:34" x14ac:dyDescent="0.3">
      <c r="E2493" t="s">
        <v>35</v>
      </c>
      <c r="R2493" s="97">
        <f>S1210</f>
        <v>6.6481760000000029E-2</v>
      </c>
    </row>
    <row r="2494" spans="3:34" x14ac:dyDescent="0.3">
      <c r="E2494" t="s">
        <v>36</v>
      </c>
      <c r="R2494" s="86">
        <f>0.95</f>
        <v>0.95</v>
      </c>
    </row>
    <row r="2495" spans="3:34" x14ac:dyDescent="0.3">
      <c r="E2495" t="s">
        <v>142</v>
      </c>
      <c r="R2495" s="86">
        <v>0.99</v>
      </c>
    </row>
    <row r="2496" spans="3:34" x14ac:dyDescent="0.3">
      <c r="E2496" t="s">
        <v>37</v>
      </c>
      <c r="R2496" s="86">
        <v>0.98</v>
      </c>
    </row>
    <row r="2499" spans="3:18" x14ac:dyDescent="0.3">
      <c r="E2499" t="s">
        <v>125</v>
      </c>
      <c r="R2499" s="83">
        <f>$F$34</f>
        <v>32.051282051282051</v>
      </c>
    </row>
    <row r="2500" spans="3:18" x14ac:dyDescent="0.3">
      <c r="C2500" s="100"/>
      <c r="D2500" s="100"/>
      <c r="E2500" s="100" t="s">
        <v>135</v>
      </c>
      <c r="R2500" s="101">
        <f>R2499</f>
        <v>32.051282051282051</v>
      </c>
    </row>
    <row r="2502" spans="3:18" x14ac:dyDescent="0.3">
      <c r="E2502" t="s">
        <v>126</v>
      </c>
      <c r="R2502" s="88">
        <f>$H$52</f>
        <v>0.2</v>
      </c>
    </row>
    <row r="2503" spans="3:18" x14ac:dyDescent="0.3">
      <c r="E2503" t="s">
        <v>117</v>
      </c>
      <c r="R2503" s="7">
        <f>R2502*R2499</f>
        <v>6.4102564102564106</v>
      </c>
    </row>
    <row r="2505" spans="3:18" x14ac:dyDescent="0.3">
      <c r="E2505" t="s">
        <v>118</v>
      </c>
      <c r="R2505" s="7">
        <f>R2500</f>
        <v>32.051282051282051</v>
      </c>
    </row>
    <row r="2506" spans="3:18" x14ac:dyDescent="0.3">
      <c r="E2506" t="s">
        <v>106</v>
      </c>
      <c r="R2506" s="7">
        <f>R2499*(1+R2502)</f>
        <v>38.46153846153846</v>
      </c>
    </row>
    <row r="2507" spans="3:18" x14ac:dyDescent="0.3">
      <c r="R2507" s="7"/>
    </row>
    <row r="2508" spans="3:18" x14ac:dyDescent="0.3">
      <c r="E2508" t="s">
        <v>136</v>
      </c>
      <c r="R2508" s="7">
        <f>R2505*R2490</f>
        <v>62.528602767781244</v>
      </c>
    </row>
    <row r="2509" spans="3:18" x14ac:dyDescent="0.3">
      <c r="E2509" t="s">
        <v>119</v>
      </c>
      <c r="R2509" s="7">
        <f>R2506*R2490</f>
        <v>75.034323321337482</v>
      </c>
    </row>
    <row r="2510" spans="3:18" x14ac:dyDescent="0.3">
      <c r="R2510" s="7"/>
    </row>
    <row r="2511" spans="3:18" x14ac:dyDescent="0.3">
      <c r="E2511" t="s">
        <v>302</v>
      </c>
      <c r="R2511" s="6">
        <f>R2503*R2490</f>
        <v>12.50572055355625</v>
      </c>
    </row>
    <row r="2512" spans="3:18" x14ac:dyDescent="0.3">
      <c r="R2512" s="7"/>
    </row>
    <row r="2513" spans="3:23" x14ac:dyDescent="0.3">
      <c r="E2513" t="s">
        <v>127</v>
      </c>
      <c r="S2513" s="7">
        <f>R2506/3</f>
        <v>12.820512820512819</v>
      </c>
      <c r="T2513" s="7">
        <f>R2506/3</f>
        <v>12.820512820512819</v>
      </c>
      <c r="U2513" s="7">
        <f>R2506/3</f>
        <v>12.820512820512819</v>
      </c>
    </row>
    <row r="2514" spans="3:23" x14ac:dyDescent="0.3">
      <c r="S2514" s="7">
        <f>R2506</f>
        <v>38.46153846153846</v>
      </c>
    </row>
    <row r="2515" spans="3:23" s="103" customFormat="1" x14ac:dyDescent="0.3">
      <c r="E2515" s="103" t="s">
        <v>128</v>
      </c>
      <c r="R2515" s="79">
        <f>'Summary500-600'!$E$42</f>
        <v>0.95</v>
      </c>
    </row>
    <row r="2516" spans="3:23" s="103" customFormat="1" x14ac:dyDescent="0.3">
      <c r="E2516" s="103" t="s">
        <v>129</v>
      </c>
      <c r="R2516" s="79">
        <f>1-R2515</f>
        <v>5.0000000000000044E-2</v>
      </c>
    </row>
    <row r="2518" spans="3:23" x14ac:dyDescent="0.3">
      <c r="C2518" s="71"/>
      <c r="D2518" s="71"/>
      <c r="E2518" s="71" t="s">
        <v>16</v>
      </c>
    </row>
    <row r="2519" spans="3:23" x14ac:dyDescent="0.3">
      <c r="E2519" t="s">
        <v>17</v>
      </c>
      <c r="S2519" s="74">
        <f>'Summary500-600'!$D$86</f>
        <v>0.09</v>
      </c>
      <c r="T2519" s="74">
        <f>'Summary500-600'!$D$87</f>
        <v>0.03</v>
      </c>
      <c r="U2519" s="74">
        <f>'Summary500-600'!$D$88</f>
        <v>0.01</v>
      </c>
      <c r="V2519" s="75"/>
      <c r="W2519" s="75"/>
    </row>
    <row r="2520" spans="3:23" x14ac:dyDescent="0.3">
      <c r="E2520" t="s">
        <v>18</v>
      </c>
      <c r="G2520" s="75"/>
      <c r="T2520" s="74">
        <f>'Summary500-600'!$D$89</f>
        <v>0.8</v>
      </c>
      <c r="U2520" s="76">
        <f>T2520</f>
        <v>0.8</v>
      </c>
      <c r="V2520" s="76">
        <f>U2520</f>
        <v>0.8</v>
      </c>
      <c r="W2520" s="75"/>
    </row>
    <row r="2521" spans="3:23" x14ac:dyDescent="0.3">
      <c r="E2521" t="s">
        <v>19</v>
      </c>
      <c r="G2521" s="75"/>
      <c r="T2521" s="75"/>
      <c r="U2521" s="74">
        <f>'Summary500-600'!$D$90</f>
        <v>1</v>
      </c>
      <c r="V2521" s="74">
        <f>U2521</f>
        <v>1</v>
      </c>
      <c r="W2521" s="74">
        <f>V2521</f>
        <v>1</v>
      </c>
    </row>
    <row r="2522" spans="3:23" x14ac:dyDescent="0.3">
      <c r="E2522" t="s">
        <v>20</v>
      </c>
      <c r="U2522" s="21"/>
    </row>
    <row r="2523" spans="3:23" x14ac:dyDescent="0.3">
      <c r="U2523" s="21"/>
    </row>
    <row r="2524" spans="3:23" x14ac:dyDescent="0.3">
      <c r="C2524" s="11"/>
      <c r="D2524" s="11"/>
      <c r="E2524" s="11" t="s">
        <v>196</v>
      </c>
      <c r="S2524" s="90">
        <f>SUM(S2525:S2528)</f>
        <v>0.13550000000000004</v>
      </c>
      <c r="T2524" s="90">
        <f t="shared" ref="T2524:V2524" si="175">SUM(T2525:T2528)</f>
        <v>0.13550000000000001</v>
      </c>
      <c r="U2524" s="90">
        <f t="shared" si="175"/>
        <v>7.3713349999999997E-2</v>
      </c>
      <c r="V2524" s="90">
        <f t="shared" si="175"/>
        <v>7.3589079999999987E-2</v>
      </c>
    </row>
    <row r="2525" spans="3:23" x14ac:dyDescent="0.3">
      <c r="E2525" t="s">
        <v>17</v>
      </c>
      <c r="S2525" s="22">
        <f>(1-S2519)*R2516</f>
        <v>4.550000000000004E-2</v>
      </c>
      <c r="T2525" s="22">
        <f>S2525*(1-T2519)+S2526*(1-T2520)</f>
        <v>6.213500000000003E-2</v>
      </c>
    </row>
    <row r="2526" spans="3:23" x14ac:dyDescent="0.3">
      <c r="E2526" t="s">
        <v>18</v>
      </c>
      <c r="S2526" s="22">
        <f>S2519</f>
        <v>0.09</v>
      </c>
      <c r="T2526" s="22">
        <f>S2525*T2519</f>
        <v>1.3650000000000012E-3</v>
      </c>
      <c r="U2526" s="22">
        <f>T2525*U2519</f>
        <v>6.2135000000000033E-4</v>
      </c>
      <c r="W2526" s="22"/>
    </row>
    <row r="2527" spans="3:23" x14ac:dyDescent="0.3">
      <c r="E2527" t="s">
        <v>19</v>
      </c>
      <c r="T2527" s="22">
        <f>S2526*T2520</f>
        <v>7.1999999999999995E-2</v>
      </c>
      <c r="U2527" s="22">
        <f>T2526*U2520+T2527</f>
        <v>7.309199999999999E-2</v>
      </c>
      <c r="V2527" s="22">
        <f>U2526*V2520+U2527</f>
        <v>7.3589079999999987E-2</v>
      </c>
    </row>
    <row r="2528" spans="3:23" x14ac:dyDescent="0.3">
      <c r="T2528" s="22"/>
      <c r="U2528" s="22"/>
    </row>
    <row r="2529" spans="3:23" x14ac:dyDescent="0.3">
      <c r="E2529" t="s">
        <v>195</v>
      </c>
      <c r="S2529" s="22">
        <f>(1-S2519)*R2515</f>
        <v>0.86449999999999994</v>
      </c>
      <c r="U2529" s="29">
        <f>T2525*(1-U2519)+T2526*(1-U2520)+T2527*(1-U2521)</f>
        <v>6.1786650000000033E-2</v>
      </c>
      <c r="V2529" s="29">
        <f>U2526*(1-V2520)+U2529</f>
        <v>6.1910920000000036E-2</v>
      </c>
      <c r="W2529" s="22"/>
    </row>
    <row r="2530" spans="3:23" x14ac:dyDescent="0.3">
      <c r="S2530" s="22"/>
      <c r="U2530" s="29"/>
      <c r="V2530" s="29"/>
      <c r="W2530" s="22"/>
    </row>
    <row r="2531" spans="3:23" x14ac:dyDescent="0.3">
      <c r="S2531" s="25"/>
    </row>
    <row r="2532" spans="3:23" x14ac:dyDescent="0.3">
      <c r="C2532" s="11"/>
      <c r="D2532" s="11"/>
      <c r="E2532" s="11" t="s">
        <v>124</v>
      </c>
      <c r="S2532" s="8">
        <f>SUM(S2533:S2536)</f>
        <v>1.9508924063547748</v>
      </c>
      <c r="T2532" s="8">
        <f t="shared" ref="T2532:U2532" si="176">SUM(T2533:T2536)</f>
        <v>0.26434592106107202</v>
      </c>
      <c r="U2532" s="8">
        <f t="shared" si="176"/>
        <v>0.14380681476197174</v>
      </c>
    </row>
    <row r="2533" spans="3:23" x14ac:dyDescent="0.3">
      <c r="C2533" s="23"/>
      <c r="D2533" s="23"/>
      <c r="E2533" s="23" t="s">
        <v>120</v>
      </c>
      <c r="S2533" s="7">
        <f>R2490*(1-S2519)</f>
        <v>1.7753120897828452</v>
      </c>
      <c r="T2533" s="82">
        <f>S2571*(1-T2519)+S2534*(1-T2520)</f>
        <v>0.121218699668854</v>
      </c>
    </row>
    <row r="2534" spans="3:23" x14ac:dyDescent="0.3">
      <c r="C2534" s="24"/>
      <c r="D2534" s="24"/>
      <c r="E2534" s="24" t="s">
        <v>122</v>
      </c>
      <c r="S2534" s="7">
        <f>R2490*S2519</f>
        <v>0.17558031657192971</v>
      </c>
      <c r="T2534" s="7">
        <f>S2571*T2519</f>
        <v>2.6629681346742699E-3</v>
      </c>
      <c r="U2534" s="7">
        <f>T2533*U2519</f>
        <v>1.2121869966885399E-3</v>
      </c>
      <c r="V2534" s="7">
        <f>U2533*V2519</f>
        <v>0</v>
      </c>
    </row>
    <row r="2535" spans="3:23" x14ac:dyDescent="0.3">
      <c r="C2535" s="23"/>
      <c r="D2535" s="23"/>
      <c r="E2535" s="23" t="s">
        <v>121</v>
      </c>
      <c r="T2535" s="7">
        <f>S2534*T2520</f>
        <v>0.14046425325754378</v>
      </c>
      <c r="U2535" s="7">
        <f>T2534*U2520</f>
        <v>2.130374507739416E-3</v>
      </c>
      <c r="V2535" s="7">
        <f>U2534*V2520</f>
        <v>9.69749597350832E-4</v>
      </c>
    </row>
    <row r="2536" spans="3:23" x14ac:dyDescent="0.3">
      <c r="C2536" s="23"/>
      <c r="D2536" s="23"/>
      <c r="E2536" s="23" t="s">
        <v>138</v>
      </c>
      <c r="T2536" s="7"/>
      <c r="U2536" s="7">
        <f>T2535*U2521</f>
        <v>0.14046425325754378</v>
      </c>
      <c r="V2536" s="7">
        <f>U2535*V2521+U2536</f>
        <v>0.1425946277652832</v>
      </c>
      <c r="W2536" s="7">
        <f>V2535*W2521+V2536</f>
        <v>0.14356437736263403</v>
      </c>
    </row>
    <row r="2537" spans="3:23" x14ac:dyDescent="0.3">
      <c r="C2537" s="23"/>
      <c r="D2537" s="23"/>
      <c r="E2537" s="23"/>
      <c r="T2537" s="7"/>
    </row>
    <row r="2538" spans="3:23" x14ac:dyDescent="0.3">
      <c r="C2538" s="23"/>
      <c r="D2538" s="23"/>
      <c r="E2538" s="23" t="s">
        <v>137</v>
      </c>
      <c r="T2538" s="7"/>
      <c r="U2538" s="7">
        <f>T2533*(1-U2519)+T2534*(1-U2520)+T2535*(1-U2521)</f>
        <v>0.12053910629910031</v>
      </c>
      <c r="V2538" s="7">
        <f>U2534*(1-V2520)+U2538</f>
        <v>0.12078154369843802</v>
      </c>
      <c r="W2538" s="7">
        <f>V2535*(1-W2521)+V2538</f>
        <v>0.12078154369843802</v>
      </c>
    </row>
    <row r="2539" spans="3:23" x14ac:dyDescent="0.3">
      <c r="C2539" s="23"/>
      <c r="D2539" s="23"/>
      <c r="E2539" s="23"/>
      <c r="T2539" s="7"/>
    </row>
    <row r="2540" spans="3:23" x14ac:dyDescent="0.3">
      <c r="C2540" s="11"/>
      <c r="D2540" s="11"/>
      <c r="E2540" s="11" t="s">
        <v>139</v>
      </c>
      <c r="S2540" s="8">
        <f>SUM(S2541:S2542)</f>
        <v>1.7753120897828452</v>
      </c>
      <c r="T2540" s="8">
        <f>SUM(T2541:T2542)</f>
        <v>0.121218699668854</v>
      </c>
      <c r="U2540" s="8">
        <f>SUM(U2541:U2542)</f>
        <v>0.12053910629910031</v>
      </c>
      <c r="V2540" s="8">
        <f>SUM(V2541:V2542)</f>
        <v>2.4243739933770794E-4</v>
      </c>
    </row>
    <row r="2541" spans="3:23" x14ac:dyDescent="0.3">
      <c r="C2541" s="23"/>
      <c r="D2541" s="23"/>
      <c r="E2541" s="23" t="s">
        <v>120</v>
      </c>
      <c r="S2541" s="7">
        <f>S2533</f>
        <v>1.7753120897828452</v>
      </c>
      <c r="T2541" s="7">
        <f>S2571*(1-T2519)</f>
        <v>8.6102636354468062E-2</v>
      </c>
      <c r="U2541" s="7">
        <f>T2533*(1-U2519)</f>
        <v>0.12000651267216546</v>
      </c>
    </row>
    <row r="2542" spans="3:23" x14ac:dyDescent="0.3">
      <c r="C2542" s="24"/>
      <c r="D2542" s="24"/>
      <c r="E2542" s="24" t="s">
        <v>122</v>
      </c>
      <c r="T2542" s="7">
        <f>S2534*(1-T2520)</f>
        <v>3.5116063314385937E-2</v>
      </c>
      <c r="U2542" s="7">
        <f>T2534*(1-U2520)</f>
        <v>5.325936269348539E-4</v>
      </c>
      <c r="V2542" s="7">
        <f>U2534*(1-V2520)</f>
        <v>2.4243739933770794E-4</v>
      </c>
    </row>
    <row r="2543" spans="3:23" x14ac:dyDescent="0.3">
      <c r="C2543" s="23"/>
      <c r="D2543" s="23"/>
      <c r="E2543" s="23"/>
      <c r="T2543" s="7"/>
      <c r="U2543" s="7">
        <f>T2535*(1-U2521)</f>
        <v>0</v>
      </c>
      <c r="V2543" s="7">
        <f>U2535*(1-V2521)</f>
        <v>0</v>
      </c>
    </row>
    <row r="2544" spans="3:23" x14ac:dyDescent="0.3">
      <c r="C2544" s="81"/>
      <c r="D2544" s="81"/>
      <c r="E2544" s="81" t="s">
        <v>123</v>
      </c>
    </row>
    <row r="2545" spans="3:23" x14ac:dyDescent="0.3">
      <c r="C2545" s="23"/>
      <c r="D2545" s="23"/>
      <c r="E2545" s="23" t="s">
        <v>120</v>
      </c>
      <c r="S2545" s="7">
        <f>R2506-S2513</f>
        <v>25.641025641025642</v>
      </c>
      <c r="T2545" s="7">
        <f>S2545-T2513</f>
        <v>12.820512820512823</v>
      </c>
      <c r="U2545" s="7">
        <f>T2545-U2513</f>
        <v>0</v>
      </c>
    </row>
    <row r="2546" spans="3:23" x14ac:dyDescent="0.3">
      <c r="C2546" s="24"/>
      <c r="D2546" s="24"/>
      <c r="E2546" s="24" t="s">
        <v>122</v>
      </c>
      <c r="S2546" s="7">
        <f>R2506</f>
        <v>38.46153846153846</v>
      </c>
      <c r="T2546" s="7">
        <f>S2545</f>
        <v>25.641025641025642</v>
      </c>
      <c r="U2546" s="7">
        <f>T2545</f>
        <v>12.820512820512823</v>
      </c>
    </row>
    <row r="2547" spans="3:23" x14ac:dyDescent="0.3">
      <c r="C2547" s="23"/>
      <c r="D2547" s="23"/>
      <c r="E2547" s="23" t="s">
        <v>121</v>
      </c>
      <c r="T2547" s="7">
        <f>S2546</f>
        <v>38.46153846153846</v>
      </c>
      <c r="U2547" s="7">
        <f>T2546</f>
        <v>25.641025641025642</v>
      </c>
      <c r="V2547" s="7">
        <f>U2546</f>
        <v>12.820512820512823</v>
      </c>
    </row>
    <row r="2548" spans="3:23" x14ac:dyDescent="0.3">
      <c r="C2548" s="23"/>
      <c r="D2548" s="23"/>
      <c r="E2548" s="23"/>
      <c r="U2548" s="7"/>
      <c r="V2548" s="7"/>
    </row>
    <row r="2549" spans="3:23" x14ac:dyDescent="0.3">
      <c r="C2549" s="23"/>
      <c r="D2549" s="23"/>
      <c r="E2549" s="23"/>
      <c r="U2549" s="7"/>
      <c r="V2549" s="7"/>
    </row>
    <row r="2550" spans="3:23" x14ac:dyDescent="0.3">
      <c r="C2550" s="11"/>
      <c r="D2550" s="11"/>
      <c r="E2550" s="11" t="s">
        <v>130</v>
      </c>
      <c r="S2550" s="8">
        <f>SUM(S2551:S2554)</f>
        <v>52.27391191386512</v>
      </c>
      <c r="T2550" s="8">
        <f t="shared" ref="T2550:V2550" si="177">SUM(T2551:T2554)</f>
        <v>7.0248384065491525</v>
      </c>
      <c r="U2550" s="8">
        <f t="shared" si="177"/>
        <v>5.4726371254461377</v>
      </c>
      <c r="V2550" s="8">
        <f t="shared" si="177"/>
        <v>5.469528953659756</v>
      </c>
    </row>
    <row r="2551" spans="3:23" x14ac:dyDescent="0.3">
      <c r="C2551" s="23"/>
      <c r="D2551" s="23"/>
      <c r="E2551" s="23" t="s">
        <v>120</v>
      </c>
      <c r="S2551" s="7">
        <f>S2545*S2533</f>
        <v>45.520822814944751</v>
      </c>
      <c r="T2551" s="7">
        <f t="shared" ref="T2551:U2552" si="178">T2545*T2533</f>
        <v>1.5540858931904362</v>
      </c>
      <c r="U2551" s="7">
        <f t="shared" si="178"/>
        <v>0</v>
      </c>
    </row>
    <row r="2552" spans="3:23" x14ac:dyDescent="0.3">
      <c r="C2552" s="24"/>
      <c r="D2552" s="24"/>
      <c r="E2552" s="24" t="s">
        <v>122</v>
      </c>
      <c r="S2552" s="7">
        <f>S2546*S2534</f>
        <v>6.7530890989203733</v>
      </c>
      <c r="T2552" s="7">
        <f t="shared" si="178"/>
        <v>6.8281234222417178E-2</v>
      </c>
      <c r="U2552" s="7">
        <f t="shared" si="178"/>
        <v>1.554085893190436E-2</v>
      </c>
      <c r="V2552" s="7">
        <f>V2546*V2534</f>
        <v>0</v>
      </c>
    </row>
    <row r="2553" spans="3:23" x14ac:dyDescent="0.3">
      <c r="C2553" s="23"/>
      <c r="D2553" s="23"/>
      <c r="E2553" s="23" t="s">
        <v>121</v>
      </c>
      <c r="T2553" s="7">
        <f>T2547*T2535</f>
        <v>5.4024712791362992</v>
      </c>
      <c r="U2553" s="7">
        <f>U2547*U2535</f>
        <v>5.4624987377933747E-2</v>
      </c>
      <c r="V2553" s="7">
        <f>V2547*V2535</f>
        <v>1.2432687145523489E-2</v>
      </c>
    </row>
    <row r="2554" spans="3:23" x14ac:dyDescent="0.3">
      <c r="C2554" s="23"/>
      <c r="D2554" s="23"/>
      <c r="E2554" s="23" t="s">
        <v>299</v>
      </c>
      <c r="U2554" s="8">
        <f>T2553</f>
        <v>5.4024712791362992</v>
      </c>
      <c r="V2554" s="8">
        <f>U2554+U2553</f>
        <v>5.4570962665142329</v>
      </c>
      <c r="W2554" s="8">
        <f>V2554+V2553</f>
        <v>5.469528953659756</v>
      </c>
    </row>
    <row r="2555" spans="3:23" x14ac:dyDescent="0.3">
      <c r="C2555" s="23"/>
      <c r="D2555" s="23"/>
      <c r="E2555" s="23"/>
    </row>
    <row r="2556" spans="3:23" x14ac:dyDescent="0.3">
      <c r="C2556" s="105"/>
      <c r="D2556" s="105"/>
      <c r="E2556" s="105" t="s">
        <v>300</v>
      </c>
      <c r="R2556" s="8">
        <f>W2554</f>
        <v>5.469528953659756</v>
      </c>
    </row>
    <row r="2557" spans="3:23" x14ac:dyDescent="0.3">
      <c r="C2557" s="23"/>
      <c r="D2557" s="23"/>
      <c r="E2557" s="23"/>
    </row>
    <row r="2558" spans="3:23" x14ac:dyDescent="0.3">
      <c r="C2558" s="11"/>
      <c r="D2558" s="11"/>
      <c r="E2558" s="11" t="s">
        <v>140</v>
      </c>
      <c r="S2558" s="8">
        <f>SUM(S2560:S2563)</f>
        <v>66.005193081669887</v>
      </c>
      <c r="T2558" s="8">
        <f>SUM(T2560:T2563)</f>
        <v>2.0042918331184607</v>
      </c>
      <c r="U2558" s="8">
        <f t="shared" ref="U2558:V2558" si="179">SUM(U2560:U2563)</f>
        <v>1.5522012811030148</v>
      </c>
      <c r="V2558" s="8">
        <f t="shared" si="179"/>
        <v>3.1081717863808709E-3</v>
      </c>
    </row>
    <row r="2559" spans="3:23" x14ac:dyDescent="0.3">
      <c r="C2559" s="11"/>
      <c r="D2559" s="11"/>
      <c r="E2559" s="11"/>
      <c r="S2559" s="8"/>
      <c r="T2559" s="8"/>
      <c r="U2559" s="8"/>
      <c r="V2559" s="8"/>
    </row>
    <row r="2560" spans="3:23" x14ac:dyDescent="0.3">
      <c r="E2560" t="s">
        <v>131</v>
      </c>
      <c r="G2560" s="23" t="s">
        <v>120</v>
      </c>
      <c r="S2560" s="6">
        <f>S2569*S2514</f>
        <v>64.86717251129626</v>
      </c>
    </row>
    <row r="2561" spans="3:46" x14ac:dyDescent="0.3">
      <c r="G2561" s="23"/>
      <c r="S2561" s="6"/>
    </row>
    <row r="2562" spans="3:46" x14ac:dyDescent="0.3">
      <c r="E2562" t="s">
        <v>200</v>
      </c>
      <c r="G2562" s="23" t="s">
        <v>120</v>
      </c>
      <c r="S2562" s="6">
        <f>S2571*S2513</f>
        <v>1.1380205703736195</v>
      </c>
      <c r="T2562" s="27">
        <f>T2541*T2513</f>
        <v>1.1038799532624111</v>
      </c>
      <c r="U2562" s="27">
        <f>U2541*U2513</f>
        <v>1.5385450342585314</v>
      </c>
      <c r="V2562" s="27">
        <f>V2541*V2513</f>
        <v>0</v>
      </c>
    </row>
    <row r="2563" spans="3:46" x14ac:dyDescent="0.3">
      <c r="E2563" t="s">
        <v>200</v>
      </c>
      <c r="G2563" s="24" t="s">
        <v>122</v>
      </c>
      <c r="S2563" s="6"/>
      <c r="T2563" s="27">
        <f>T2542*(S2513+T2513)</f>
        <v>0.90041187985604954</v>
      </c>
      <c r="U2563" s="27">
        <f>U2542*(T2513+U2513)</f>
        <v>1.3656246844483431E-2</v>
      </c>
      <c r="V2563" s="27">
        <f>V2542*(U2513+V2513)</f>
        <v>3.1081717863808709E-3</v>
      </c>
    </row>
    <row r="2565" spans="3:46" x14ac:dyDescent="0.3">
      <c r="C2565" s="11"/>
      <c r="D2565" s="11"/>
      <c r="E2565" s="11" t="s">
        <v>283</v>
      </c>
      <c r="S2565" s="8">
        <f>SUM(S2562:V2563)</f>
        <v>4.6976218563814758</v>
      </c>
    </row>
    <row r="2567" spans="3:46" x14ac:dyDescent="0.3">
      <c r="E2567" t="s">
        <v>202</v>
      </c>
      <c r="S2567" s="28">
        <f>S2569*(T2513+U2513)</f>
        <v>43.244781674197505</v>
      </c>
    </row>
    <row r="2569" spans="3:46" x14ac:dyDescent="0.3">
      <c r="C2569" s="72"/>
      <c r="D2569" s="72"/>
      <c r="E2569" s="72" t="s">
        <v>132</v>
      </c>
      <c r="S2569" s="73">
        <f>S2533*R2515</f>
        <v>1.6865464852937029</v>
      </c>
    </row>
    <row r="2571" spans="3:46" x14ac:dyDescent="0.3">
      <c r="E2571" t="s">
        <v>201</v>
      </c>
      <c r="S2571" s="7">
        <f>S2533*R2516</f>
        <v>8.8765604489142336E-2</v>
      </c>
    </row>
    <row r="2574" spans="3:46" x14ac:dyDescent="0.3">
      <c r="E2574" s="152" t="s">
        <v>294</v>
      </c>
      <c r="F2574" s="153"/>
      <c r="G2574" s="153"/>
      <c r="H2574" s="153"/>
      <c r="I2574" s="153"/>
      <c r="J2574" s="153"/>
      <c r="K2574" s="153"/>
      <c r="L2574" s="153"/>
      <c r="M2574" s="153"/>
      <c r="N2574" s="153"/>
      <c r="O2574" s="153"/>
      <c r="P2574" s="153"/>
      <c r="Q2574" s="153"/>
      <c r="R2574" s="153"/>
      <c r="S2574" s="153"/>
      <c r="T2574" s="153"/>
      <c r="U2574" s="153"/>
      <c r="V2574" s="153"/>
      <c r="W2574" s="153"/>
      <c r="X2574" s="153"/>
      <c r="Y2574" s="154"/>
      <c r="Z2574" s="152"/>
      <c r="AA2574" s="153"/>
      <c r="AB2574" s="153"/>
      <c r="AC2574" s="153"/>
      <c r="AD2574" s="153"/>
      <c r="AE2574" s="153"/>
      <c r="AF2574" s="153"/>
      <c r="AG2574" s="153"/>
      <c r="AH2574" s="153"/>
      <c r="AI2574" s="153"/>
      <c r="AJ2574" s="153"/>
      <c r="AK2574" s="153"/>
      <c r="AL2574" s="153"/>
      <c r="AM2574" s="153"/>
      <c r="AN2574" s="153"/>
      <c r="AO2574" s="153"/>
      <c r="AP2574" s="153"/>
      <c r="AQ2574" s="153"/>
      <c r="AR2574" s="153"/>
      <c r="AS2574" s="153"/>
      <c r="AT2574" s="154"/>
    </row>
    <row r="2576" spans="3:46" x14ac:dyDescent="0.3">
      <c r="E2576" t="s">
        <v>197</v>
      </c>
      <c r="R2576" s="83">
        <f>R1337</f>
        <v>1.9508924063547748</v>
      </c>
    </row>
    <row r="2577" spans="3:22" x14ac:dyDescent="0.3">
      <c r="E2577" t="s">
        <v>206</v>
      </c>
      <c r="R2577" s="7">
        <f>R2579*R2576</f>
        <v>1.9508924063547748</v>
      </c>
      <c r="U2577" s="77"/>
    </row>
    <row r="2578" spans="3:22" x14ac:dyDescent="0.3">
      <c r="R2578" s="7"/>
      <c r="U2578" s="77"/>
    </row>
    <row r="2579" spans="3:22" x14ac:dyDescent="0.3">
      <c r="C2579" s="11"/>
      <c r="D2579" s="11"/>
      <c r="E2579" s="11" t="s">
        <v>134</v>
      </c>
      <c r="F2579" s="11"/>
      <c r="G2579" s="11"/>
      <c r="R2579" s="104">
        <f>$I$129</f>
        <v>1</v>
      </c>
      <c r="S2579" s="7">
        <f>S2580*S2581*S2582*S2583</f>
        <v>0</v>
      </c>
      <c r="T2579" s="11"/>
      <c r="V2579" s="11"/>
    </row>
    <row r="2580" spans="3:22" x14ac:dyDescent="0.3">
      <c r="E2580" t="s">
        <v>35</v>
      </c>
      <c r="R2580" s="89">
        <v>0</v>
      </c>
    </row>
    <row r="2581" spans="3:22" x14ac:dyDescent="0.3">
      <c r="E2581" t="s">
        <v>36</v>
      </c>
      <c r="R2581" s="89">
        <f>0.95</f>
        <v>0.95</v>
      </c>
    </row>
    <row r="2582" spans="3:22" x14ac:dyDescent="0.3">
      <c r="E2582" t="s">
        <v>142</v>
      </c>
      <c r="R2582" s="89">
        <v>0.99</v>
      </c>
    </row>
    <row r="2583" spans="3:22" x14ac:dyDescent="0.3">
      <c r="E2583" t="s">
        <v>37</v>
      </c>
      <c r="R2583" s="89">
        <v>0.98</v>
      </c>
    </row>
    <row r="2586" spans="3:22" x14ac:dyDescent="0.3">
      <c r="E2586" t="s">
        <v>125</v>
      </c>
      <c r="R2586" s="83">
        <f>$F$34</f>
        <v>32.051282051282051</v>
      </c>
    </row>
    <row r="2587" spans="3:22" x14ac:dyDescent="0.3">
      <c r="E2587" t="s">
        <v>135</v>
      </c>
      <c r="R2587" s="82">
        <f>R2586</f>
        <v>32.051282051282051</v>
      </c>
    </row>
    <row r="2589" spans="3:22" x14ac:dyDescent="0.3">
      <c r="E2589" t="s">
        <v>126</v>
      </c>
      <c r="R2589" s="88">
        <f>$H$52</f>
        <v>0.2</v>
      </c>
    </row>
    <row r="2590" spans="3:22" x14ac:dyDescent="0.3">
      <c r="E2590" t="s">
        <v>117</v>
      </c>
      <c r="R2590" s="7">
        <f>R2589*R2586</f>
        <v>6.4102564102564106</v>
      </c>
    </row>
    <row r="2592" spans="3:22" x14ac:dyDescent="0.3">
      <c r="E2592" t="s">
        <v>118</v>
      </c>
      <c r="R2592" s="7">
        <f>R2587</f>
        <v>32.051282051282051</v>
      </c>
    </row>
    <row r="2593" spans="3:23" x14ac:dyDescent="0.3">
      <c r="E2593" t="s">
        <v>106</v>
      </c>
      <c r="R2593" s="7">
        <f>R2586*(1+R2589)</f>
        <v>38.46153846153846</v>
      </c>
    </row>
    <row r="2594" spans="3:23" x14ac:dyDescent="0.3">
      <c r="R2594" s="7"/>
    </row>
    <row r="2595" spans="3:23" x14ac:dyDescent="0.3">
      <c r="E2595" t="s">
        <v>136</v>
      </c>
      <c r="R2595" s="7">
        <f>R2592*R2577</f>
        <v>62.528602767781244</v>
      </c>
    </row>
    <row r="2596" spans="3:23" x14ac:dyDescent="0.3">
      <c r="E2596" t="s">
        <v>119</v>
      </c>
      <c r="R2596" s="7">
        <f>R2593*R2577</f>
        <v>75.034323321337482</v>
      </c>
    </row>
    <row r="2597" spans="3:23" x14ac:dyDescent="0.3">
      <c r="R2597" s="7"/>
    </row>
    <row r="2598" spans="3:23" x14ac:dyDescent="0.3">
      <c r="E2598" t="s">
        <v>302</v>
      </c>
      <c r="R2598" s="6">
        <f>R2590*R2577</f>
        <v>12.50572055355625</v>
      </c>
    </row>
    <row r="2599" spans="3:23" x14ac:dyDescent="0.3">
      <c r="R2599" s="7"/>
    </row>
    <row r="2600" spans="3:23" x14ac:dyDescent="0.3">
      <c r="E2600" t="s">
        <v>127</v>
      </c>
      <c r="S2600" s="7">
        <f>R2593/3</f>
        <v>12.820512820512819</v>
      </c>
      <c r="T2600" s="7">
        <f>R2593/3</f>
        <v>12.820512820512819</v>
      </c>
      <c r="U2600" s="7">
        <f>R2593/3</f>
        <v>12.820512820512819</v>
      </c>
    </row>
    <row r="2601" spans="3:23" x14ac:dyDescent="0.3">
      <c r="S2601" s="7">
        <f>R2593</f>
        <v>38.46153846153846</v>
      </c>
    </row>
    <row r="2602" spans="3:23" s="103" customFormat="1" x14ac:dyDescent="0.3">
      <c r="E2602" s="103" t="s">
        <v>128</v>
      </c>
      <c r="R2602" s="79">
        <f>'Summary500-600'!$C$42</f>
        <v>0.95</v>
      </c>
    </row>
    <row r="2603" spans="3:23" s="103" customFormat="1" x14ac:dyDescent="0.3">
      <c r="E2603" s="103" t="s">
        <v>129</v>
      </c>
      <c r="R2603" s="79">
        <f>1-R2602</f>
        <v>5.0000000000000044E-2</v>
      </c>
    </row>
    <row r="2605" spans="3:23" x14ac:dyDescent="0.3">
      <c r="C2605" s="71"/>
      <c r="D2605" s="71"/>
      <c r="E2605" s="71" t="s">
        <v>16</v>
      </c>
    </row>
    <row r="2606" spans="3:23" x14ac:dyDescent="0.3">
      <c r="E2606" t="s">
        <v>17</v>
      </c>
      <c r="S2606" s="74">
        <f>'Summary500-600'!$C$86</f>
        <v>0.09</v>
      </c>
      <c r="T2606" s="74">
        <f>'Summary500-600'!$C$87</f>
        <v>0.03</v>
      </c>
      <c r="U2606" s="74">
        <f>'Summary500-600'!$C$88</f>
        <v>0.01</v>
      </c>
      <c r="V2606" s="75"/>
      <c r="W2606" s="75"/>
    </row>
    <row r="2607" spans="3:23" x14ac:dyDescent="0.3">
      <c r="E2607" t="s">
        <v>18</v>
      </c>
      <c r="G2607" s="75"/>
      <c r="T2607" s="74">
        <f>'Summary500-600'!$C$89</f>
        <v>0.8</v>
      </c>
      <c r="U2607" s="76">
        <f>T2607</f>
        <v>0.8</v>
      </c>
      <c r="V2607" s="76">
        <f>U2607</f>
        <v>0.8</v>
      </c>
      <c r="W2607" s="75"/>
    </row>
    <row r="2608" spans="3:23" x14ac:dyDescent="0.3">
      <c r="E2608" t="s">
        <v>19</v>
      </c>
      <c r="G2608" s="75"/>
      <c r="T2608" s="75"/>
      <c r="U2608" s="74">
        <f>'Summary500-600'!$C$90</f>
        <v>1</v>
      </c>
      <c r="V2608" s="74">
        <f>U2608</f>
        <v>1</v>
      </c>
      <c r="W2608" s="74">
        <f>V2608</f>
        <v>1</v>
      </c>
    </row>
    <row r="2609" spans="3:23" x14ac:dyDescent="0.3">
      <c r="E2609" t="s">
        <v>20</v>
      </c>
      <c r="U2609" s="21"/>
    </row>
    <row r="2610" spans="3:23" x14ac:dyDescent="0.3">
      <c r="U2610" s="21"/>
    </row>
    <row r="2611" spans="3:23" x14ac:dyDescent="0.3">
      <c r="C2611" s="11"/>
      <c r="D2611" s="11"/>
      <c r="E2611" s="11" t="s">
        <v>196</v>
      </c>
      <c r="S2611" s="90">
        <f>SUM(S2612:S2615)</f>
        <v>0.13550000000000004</v>
      </c>
      <c r="T2611" s="90">
        <f t="shared" ref="T2611:V2611" si="180">SUM(T2612:T2615)</f>
        <v>0.13550000000000001</v>
      </c>
      <c r="U2611" s="90">
        <f t="shared" si="180"/>
        <v>7.3713349999999997E-2</v>
      </c>
      <c r="V2611" s="90">
        <f t="shared" si="180"/>
        <v>7.3589079999999987E-2</v>
      </c>
    </row>
    <row r="2612" spans="3:23" x14ac:dyDescent="0.3">
      <c r="E2612" t="s">
        <v>17</v>
      </c>
      <c r="S2612" s="22">
        <f>(1-S2606)*R2603</f>
        <v>4.550000000000004E-2</v>
      </c>
      <c r="T2612" s="22">
        <f>S2612*(1-T2606)+S2613*(1-T2607)</f>
        <v>6.213500000000003E-2</v>
      </c>
    </row>
    <row r="2613" spans="3:23" x14ac:dyDescent="0.3">
      <c r="E2613" t="s">
        <v>18</v>
      </c>
      <c r="S2613" s="22">
        <f>S2606</f>
        <v>0.09</v>
      </c>
      <c r="T2613" s="22">
        <f>S2612*T2606</f>
        <v>1.3650000000000012E-3</v>
      </c>
      <c r="U2613" s="22">
        <f>T2612*U2606</f>
        <v>6.2135000000000033E-4</v>
      </c>
      <c r="W2613" s="22"/>
    </row>
    <row r="2614" spans="3:23" x14ac:dyDescent="0.3">
      <c r="E2614" t="s">
        <v>19</v>
      </c>
      <c r="T2614" s="22">
        <f>S2613*T2607</f>
        <v>7.1999999999999995E-2</v>
      </c>
      <c r="U2614" s="22">
        <f>T2613*U2607+T2614</f>
        <v>7.309199999999999E-2</v>
      </c>
      <c r="V2614" s="22">
        <f>U2613*V2607+U2614</f>
        <v>7.3589079999999987E-2</v>
      </c>
    </row>
    <row r="2615" spans="3:23" x14ac:dyDescent="0.3">
      <c r="T2615" s="22"/>
      <c r="U2615" s="22"/>
    </row>
    <row r="2616" spans="3:23" x14ac:dyDescent="0.3">
      <c r="E2616" t="s">
        <v>195</v>
      </c>
      <c r="S2616" s="22">
        <f>(1-S2606)*R2602</f>
        <v>0.86449999999999994</v>
      </c>
      <c r="U2616" s="29">
        <f>T2612*(1-U2606)+T2613*(1-U2607)+T2614*(1-U2608)</f>
        <v>6.1786650000000033E-2</v>
      </c>
      <c r="V2616" s="29">
        <f>U2613*(1-V2607)+U2616</f>
        <v>6.1910920000000036E-2</v>
      </c>
      <c r="W2616" s="22"/>
    </row>
    <row r="2617" spans="3:23" x14ac:dyDescent="0.3">
      <c r="S2617" s="22"/>
      <c r="U2617" s="29"/>
      <c r="V2617" s="29"/>
      <c r="W2617" s="22"/>
    </row>
    <row r="2618" spans="3:23" x14ac:dyDescent="0.3">
      <c r="S2618" s="25" t="s">
        <v>32</v>
      </c>
    </row>
    <row r="2619" spans="3:23" x14ac:dyDescent="0.3">
      <c r="C2619" s="11"/>
      <c r="D2619" s="11"/>
      <c r="E2619" s="11" t="s">
        <v>124</v>
      </c>
      <c r="S2619" s="8">
        <f>SUM(S2620:S2623)</f>
        <v>1.9508924063547748</v>
      </c>
      <c r="T2619" s="8">
        <f t="shared" ref="T2619:U2619" si="181">SUM(T2620:T2623)</f>
        <v>0.26434592106107202</v>
      </c>
      <c r="U2619" s="8">
        <f t="shared" si="181"/>
        <v>0.14380681476197174</v>
      </c>
    </row>
    <row r="2620" spans="3:23" x14ac:dyDescent="0.3">
      <c r="C2620" s="23"/>
      <c r="D2620" s="23"/>
      <c r="E2620" s="23" t="s">
        <v>120</v>
      </c>
      <c r="S2620" s="7">
        <f>R2577*(1-S2606)</f>
        <v>1.7753120897828452</v>
      </c>
      <c r="T2620" s="82">
        <f>S2658*(1-T2606)+S2621*(1-T2607)</f>
        <v>0.121218699668854</v>
      </c>
    </row>
    <row r="2621" spans="3:23" x14ac:dyDescent="0.3">
      <c r="C2621" s="24"/>
      <c r="D2621" s="24"/>
      <c r="E2621" s="24" t="s">
        <v>122</v>
      </c>
      <c r="S2621" s="7">
        <f>R2577*S2606</f>
        <v>0.17558031657192971</v>
      </c>
      <c r="T2621" s="7">
        <f>S2658*T2606</f>
        <v>2.6629681346742699E-3</v>
      </c>
      <c r="U2621" s="7">
        <f>T2620*U2606</f>
        <v>1.2121869966885399E-3</v>
      </c>
      <c r="V2621" s="7">
        <f>U2620*V2606</f>
        <v>0</v>
      </c>
    </row>
    <row r="2622" spans="3:23" x14ac:dyDescent="0.3">
      <c r="C2622" s="23"/>
      <c r="D2622" s="23"/>
      <c r="E2622" s="23" t="s">
        <v>121</v>
      </c>
      <c r="T2622" s="7">
        <f>S2621*T2607</f>
        <v>0.14046425325754378</v>
      </c>
      <c r="U2622" s="7">
        <f>T2621*U2607</f>
        <v>2.130374507739416E-3</v>
      </c>
      <c r="V2622" s="7">
        <f>U2621*V2607</f>
        <v>9.69749597350832E-4</v>
      </c>
    </row>
    <row r="2623" spans="3:23" x14ac:dyDescent="0.3">
      <c r="C2623" s="23"/>
      <c r="D2623" s="23"/>
      <c r="E2623" s="23" t="s">
        <v>138</v>
      </c>
      <c r="T2623" s="7"/>
      <c r="U2623" s="7">
        <f>T2622*U2608</f>
        <v>0.14046425325754378</v>
      </c>
      <c r="V2623" s="7">
        <f>U2622*V2608+U2623</f>
        <v>0.1425946277652832</v>
      </c>
      <c r="W2623" s="7">
        <f>V2622*W2608+V2623</f>
        <v>0.14356437736263403</v>
      </c>
    </row>
    <row r="2624" spans="3:23" x14ac:dyDescent="0.3">
      <c r="C2624" s="23"/>
      <c r="D2624" s="23"/>
      <c r="E2624" s="23"/>
      <c r="T2624" s="7"/>
    </row>
    <row r="2625" spans="3:23" x14ac:dyDescent="0.3">
      <c r="C2625" s="23"/>
      <c r="D2625" s="23"/>
      <c r="E2625" s="23" t="s">
        <v>137</v>
      </c>
      <c r="T2625" s="7"/>
      <c r="U2625" s="7">
        <f>T2620*(1-U2606)+T2621*(1-U2607)+T2622*(1-U2608)</f>
        <v>0.12053910629910031</v>
      </c>
      <c r="V2625" s="7">
        <f>U2621*(1-V2607)+U2625</f>
        <v>0.12078154369843802</v>
      </c>
      <c r="W2625" s="7">
        <f>V2622*(1-W2608)+V2625</f>
        <v>0.12078154369843802</v>
      </c>
    </row>
    <row r="2626" spans="3:23" x14ac:dyDescent="0.3">
      <c r="C2626" s="23"/>
      <c r="D2626" s="23"/>
      <c r="E2626" s="23"/>
      <c r="T2626" s="7"/>
    </row>
    <row r="2627" spans="3:23" x14ac:dyDescent="0.3">
      <c r="C2627" s="11"/>
      <c r="D2627" s="11"/>
      <c r="E2627" s="11" t="s">
        <v>139</v>
      </c>
      <c r="S2627" s="8">
        <f>SUM(S2628:S2629)</f>
        <v>1.7753120897828452</v>
      </c>
      <c r="T2627" s="8">
        <f>SUM(T2628:T2629)</f>
        <v>0.121218699668854</v>
      </c>
      <c r="U2627" s="8">
        <f>SUM(U2628:U2629)</f>
        <v>0.12053910629910031</v>
      </c>
      <c r="V2627" s="8">
        <f>SUM(V2628:V2629)</f>
        <v>2.4243739933770794E-4</v>
      </c>
    </row>
    <row r="2628" spans="3:23" x14ac:dyDescent="0.3">
      <c r="C2628" s="23"/>
      <c r="D2628" s="23"/>
      <c r="E2628" s="23" t="s">
        <v>120</v>
      </c>
      <c r="S2628" s="7">
        <f>S2620</f>
        <v>1.7753120897828452</v>
      </c>
      <c r="T2628" s="7">
        <f>S2658*(1-T2606)</f>
        <v>8.6102636354468062E-2</v>
      </c>
      <c r="U2628" s="7">
        <f>T2620*(1-U2606)</f>
        <v>0.12000651267216546</v>
      </c>
    </row>
    <row r="2629" spans="3:23" x14ac:dyDescent="0.3">
      <c r="C2629" s="24"/>
      <c r="D2629" s="24"/>
      <c r="E2629" s="24" t="s">
        <v>122</v>
      </c>
      <c r="T2629" s="7">
        <f>S2621*(1-T2607)</f>
        <v>3.5116063314385937E-2</v>
      </c>
      <c r="U2629" s="7">
        <f>T2621*(1-U2607)</f>
        <v>5.325936269348539E-4</v>
      </c>
      <c r="V2629" s="7">
        <f>U2621*(1-V2607)</f>
        <v>2.4243739933770794E-4</v>
      </c>
    </row>
    <row r="2630" spans="3:23" x14ac:dyDescent="0.3">
      <c r="C2630" s="23"/>
      <c r="D2630" s="23"/>
      <c r="E2630" s="23"/>
      <c r="T2630" s="7"/>
      <c r="U2630" s="7">
        <f>T2622*(1-U2608)</f>
        <v>0</v>
      </c>
      <c r="V2630" s="7">
        <f>U2622*(1-V2608)</f>
        <v>0</v>
      </c>
    </row>
    <row r="2631" spans="3:23" x14ac:dyDescent="0.3">
      <c r="C2631" s="81"/>
      <c r="D2631" s="81"/>
      <c r="E2631" s="81" t="s">
        <v>123</v>
      </c>
    </row>
    <row r="2632" spans="3:23" x14ac:dyDescent="0.3">
      <c r="C2632" s="23"/>
      <c r="D2632" s="23"/>
      <c r="E2632" s="23" t="s">
        <v>120</v>
      </c>
      <c r="S2632" s="7">
        <f>R2593-S2600</f>
        <v>25.641025641025642</v>
      </c>
      <c r="T2632" s="7">
        <f>S2632-T2600</f>
        <v>12.820512820512823</v>
      </c>
      <c r="U2632" s="7">
        <f>T2632-U2600</f>
        <v>0</v>
      </c>
    </row>
    <row r="2633" spans="3:23" x14ac:dyDescent="0.3">
      <c r="C2633" s="24"/>
      <c r="D2633" s="24"/>
      <c r="E2633" s="24" t="s">
        <v>122</v>
      </c>
      <c r="S2633" s="7">
        <f>R2593</f>
        <v>38.46153846153846</v>
      </c>
      <c r="T2633" s="7">
        <f>S2632</f>
        <v>25.641025641025642</v>
      </c>
      <c r="U2633" s="7">
        <f>T2632</f>
        <v>12.820512820512823</v>
      </c>
    </row>
    <row r="2634" spans="3:23" x14ac:dyDescent="0.3">
      <c r="C2634" s="23"/>
      <c r="D2634" s="23"/>
      <c r="E2634" s="23" t="s">
        <v>121</v>
      </c>
      <c r="T2634" s="7">
        <f>S2633</f>
        <v>38.46153846153846</v>
      </c>
      <c r="U2634" s="7">
        <f>T2633</f>
        <v>25.641025641025642</v>
      </c>
      <c r="V2634" s="7">
        <f>U2633</f>
        <v>12.820512820512823</v>
      </c>
    </row>
    <row r="2635" spans="3:23" x14ac:dyDescent="0.3">
      <c r="C2635" s="23"/>
      <c r="D2635" s="23"/>
      <c r="E2635" s="23"/>
      <c r="U2635" s="7"/>
      <c r="V2635" s="7"/>
    </row>
    <row r="2636" spans="3:23" x14ac:dyDescent="0.3">
      <c r="C2636" s="23"/>
      <c r="D2636" s="23"/>
      <c r="E2636" s="23"/>
      <c r="U2636" s="7"/>
      <c r="V2636" s="7"/>
    </row>
    <row r="2637" spans="3:23" x14ac:dyDescent="0.3">
      <c r="C2637" s="11"/>
      <c r="D2637" s="11"/>
      <c r="E2637" s="11" t="s">
        <v>130</v>
      </c>
      <c r="S2637" s="8">
        <f>SUM(S2638:S2641)</f>
        <v>52.27391191386512</v>
      </c>
      <c r="T2637" s="8">
        <f t="shared" ref="T2637:V2637" si="182">SUM(T2638:T2641)</f>
        <v>7.0248384065491525</v>
      </c>
      <c r="U2637" s="8">
        <f t="shared" si="182"/>
        <v>5.4726371254461377</v>
      </c>
      <c r="V2637" s="8">
        <f t="shared" si="182"/>
        <v>5.469528953659756</v>
      </c>
    </row>
    <row r="2638" spans="3:23" x14ac:dyDescent="0.3">
      <c r="C2638" s="23"/>
      <c r="D2638" s="23"/>
      <c r="E2638" s="23" t="s">
        <v>120</v>
      </c>
      <c r="S2638" s="7">
        <f>S2632*S2620</f>
        <v>45.520822814944751</v>
      </c>
      <c r="T2638" s="7">
        <f t="shared" ref="T2638:U2639" si="183">T2632*T2620</f>
        <v>1.5540858931904362</v>
      </c>
      <c r="U2638" s="7">
        <f t="shared" si="183"/>
        <v>0</v>
      </c>
    </row>
    <row r="2639" spans="3:23" x14ac:dyDescent="0.3">
      <c r="C2639" s="24"/>
      <c r="D2639" s="24"/>
      <c r="E2639" s="24" t="s">
        <v>122</v>
      </c>
      <c r="S2639" s="7">
        <f>S2633*S2621</f>
        <v>6.7530890989203733</v>
      </c>
      <c r="T2639" s="7">
        <f t="shared" si="183"/>
        <v>6.8281234222417178E-2</v>
      </c>
      <c r="U2639" s="7">
        <f t="shared" si="183"/>
        <v>1.554085893190436E-2</v>
      </c>
      <c r="V2639" s="7">
        <f>V2633*V2621</f>
        <v>0</v>
      </c>
    </row>
    <row r="2640" spans="3:23" x14ac:dyDescent="0.3">
      <c r="C2640" s="23"/>
      <c r="D2640" s="23"/>
      <c r="E2640" s="23" t="s">
        <v>121</v>
      </c>
      <c r="T2640" s="7">
        <f>T2634*T2622</f>
        <v>5.4024712791362992</v>
      </c>
      <c r="U2640" s="7">
        <f>U2634*U2622</f>
        <v>5.4624987377933747E-2</v>
      </c>
      <c r="V2640" s="7">
        <f>V2634*V2622</f>
        <v>1.2432687145523489E-2</v>
      </c>
    </row>
    <row r="2641" spans="3:23" x14ac:dyDescent="0.3">
      <c r="C2641" s="23"/>
      <c r="D2641" s="23"/>
      <c r="E2641" s="23" t="s">
        <v>299</v>
      </c>
      <c r="U2641" s="8">
        <f>T2640</f>
        <v>5.4024712791362992</v>
      </c>
      <c r="V2641" s="8">
        <f>U2641+U2640</f>
        <v>5.4570962665142329</v>
      </c>
      <c r="W2641" s="8">
        <f>V2641+V2640</f>
        <v>5.469528953659756</v>
      </c>
    </row>
    <row r="2642" spans="3:23" x14ac:dyDescent="0.3">
      <c r="C2642" s="23"/>
      <c r="D2642" s="23"/>
      <c r="E2642" s="23"/>
    </row>
    <row r="2643" spans="3:23" x14ac:dyDescent="0.3">
      <c r="C2643" s="105"/>
      <c r="D2643" s="105"/>
      <c r="E2643" s="105" t="s">
        <v>300</v>
      </c>
      <c r="R2643" s="8">
        <f>W2641</f>
        <v>5.469528953659756</v>
      </c>
    </row>
    <row r="2644" spans="3:23" x14ac:dyDescent="0.3">
      <c r="C2644" s="23"/>
      <c r="D2644" s="23"/>
      <c r="E2644" s="23"/>
    </row>
    <row r="2645" spans="3:23" x14ac:dyDescent="0.3">
      <c r="C2645" s="11"/>
      <c r="D2645" s="11"/>
      <c r="E2645" s="11" t="s">
        <v>140</v>
      </c>
      <c r="S2645" s="8">
        <f>SUM(S2647:S2650)</f>
        <v>66.005193081669887</v>
      </c>
      <c r="T2645" s="8">
        <f>SUM(T2647:T2650)</f>
        <v>2.0042918331184607</v>
      </c>
      <c r="U2645" s="8">
        <f t="shared" ref="U2645:V2645" si="184">SUM(U2647:U2650)</f>
        <v>1.5522012811030148</v>
      </c>
      <c r="V2645" s="8">
        <f t="shared" si="184"/>
        <v>3.1081717863808709E-3</v>
      </c>
    </row>
    <row r="2646" spans="3:23" x14ac:dyDescent="0.3">
      <c r="C2646" s="11"/>
      <c r="D2646" s="11"/>
      <c r="E2646" s="11"/>
      <c r="S2646" s="8"/>
      <c r="T2646" s="8"/>
      <c r="U2646" s="8"/>
      <c r="V2646" s="8"/>
    </row>
    <row r="2647" spans="3:23" x14ac:dyDescent="0.3">
      <c r="E2647" t="s">
        <v>131</v>
      </c>
      <c r="G2647" s="23" t="s">
        <v>120</v>
      </c>
      <c r="S2647" s="6">
        <f>S2656*S2601</f>
        <v>64.86717251129626</v>
      </c>
    </row>
    <row r="2648" spans="3:23" x14ac:dyDescent="0.3">
      <c r="G2648" s="23"/>
      <c r="S2648" s="6"/>
    </row>
    <row r="2649" spans="3:23" x14ac:dyDescent="0.3">
      <c r="E2649" t="s">
        <v>200</v>
      </c>
      <c r="G2649" s="23" t="s">
        <v>120</v>
      </c>
      <c r="S2649" s="6">
        <f>S2658*S2600</f>
        <v>1.1380205703736195</v>
      </c>
      <c r="T2649" s="27">
        <f>T2628*T2600</f>
        <v>1.1038799532624111</v>
      </c>
      <c r="U2649" s="27">
        <f>U2628*U2600</f>
        <v>1.5385450342585314</v>
      </c>
      <c r="V2649" s="27">
        <f>V2628*V2600</f>
        <v>0</v>
      </c>
    </row>
    <row r="2650" spans="3:23" x14ac:dyDescent="0.3">
      <c r="E2650" t="s">
        <v>200</v>
      </c>
      <c r="G2650" s="24" t="s">
        <v>122</v>
      </c>
      <c r="S2650" s="6"/>
      <c r="T2650" s="27">
        <f>T2629*(S2600+T2600)</f>
        <v>0.90041187985604954</v>
      </c>
      <c r="U2650" s="27">
        <f>U2629*(T2600+U2600)</f>
        <v>1.3656246844483431E-2</v>
      </c>
      <c r="V2650" s="27">
        <f>V2629*(U2600+V2600)</f>
        <v>3.1081717863808709E-3</v>
      </c>
    </row>
    <row r="2652" spans="3:23" x14ac:dyDescent="0.3">
      <c r="C2652" s="11"/>
      <c r="D2652" s="11"/>
      <c r="E2652" s="11" t="s">
        <v>283</v>
      </c>
      <c r="S2652" s="8">
        <f>SUM(S2649:V2650)</f>
        <v>4.6976218563814758</v>
      </c>
    </row>
    <row r="2654" spans="3:23" x14ac:dyDescent="0.3">
      <c r="E2654" t="s">
        <v>202</v>
      </c>
      <c r="S2654" s="28">
        <f>S2656*(T2600+U2600)</f>
        <v>43.244781674197505</v>
      </c>
    </row>
    <row r="2656" spans="3:23" x14ac:dyDescent="0.3">
      <c r="C2656" s="72"/>
      <c r="D2656" s="72"/>
      <c r="E2656" s="72" t="s">
        <v>132</v>
      </c>
      <c r="S2656" s="73">
        <f>S2620*R2602</f>
        <v>1.6865464852937029</v>
      </c>
    </row>
    <row r="2658" spans="3:34" x14ac:dyDescent="0.3">
      <c r="E2658" t="s">
        <v>201</v>
      </c>
      <c r="S2658" s="7">
        <f>S2620*R2603</f>
        <v>8.8765604489142336E-2</v>
      </c>
    </row>
    <row r="2661" spans="3:34" x14ac:dyDescent="0.3">
      <c r="E2661" s="160" t="s">
        <v>298</v>
      </c>
      <c r="F2661" s="161"/>
      <c r="G2661" s="161"/>
      <c r="H2661" s="161"/>
      <c r="I2661" s="161"/>
      <c r="J2661" s="161"/>
      <c r="K2661" s="161"/>
      <c r="L2661" s="161"/>
      <c r="M2661" s="161"/>
      <c r="N2661" s="161"/>
      <c r="O2661" s="161"/>
      <c r="P2661" s="161"/>
      <c r="Q2661" s="161"/>
      <c r="R2661" s="161"/>
      <c r="S2661" s="161"/>
      <c r="T2661" s="161"/>
      <c r="U2661" s="161"/>
      <c r="V2661" s="161"/>
      <c r="W2661" s="161"/>
      <c r="X2661" s="161"/>
      <c r="Y2661" s="161"/>
      <c r="Z2661" s="161"/>
      <c r="AA2661" s="161"/>
      <c r="AB2661" s="161"/>
      <c r="AC2661" s="161"/>
      <c r="AD2661" s="161"/>
      <c r="AE2661" s="161"/>
      <c r="AF2661" s="161"/>
      <c r="AG2661" s="161"/>
      <c r="AH2661" s="162"/>
    </row>
    <row r="2663" spans="3:34" x14ac:dyDescent="0.3">
      <c r="E2663" t="s">
        <v>197</v>
      </c>
      <c r="T2663" s="83">
        <f>Q1258</f>
        <v>2.3604263839743194</v>
      </c>
    </row>
    <row r="2664" spans="3:34" x14ac:dyDescent="0.3">
      <c r="E2664" t="s">
        <v>206</v>
      </c>
      <c r="T2664" s="7">
        <f>T2666*T2663</f>
        <v>0.14463648008608812</v>
      </c>
      <c r="W2664" s="77"/>
    </row>
    <row r="2665" spans="3:34" x14ac:dyDescent="0.3">
      <c r="T2665" s="7"/>
      <c r="W2665" s="77"/>
    </row>
    <row r="2666" spans="3:34" x14ac:dyDescent="0.3">
      <c r="C2666" s="11"/>
      <c r="D2666" s="11"/>
      <c r="E2666" s="11" t="s">
        <v>134</v>
      </c>
      <c r="F2666" s="11"/>
      <c r="G2666" s="11"/>
      <c r="T2666" s="98">
        <f>T2667*T2668*T2669*T2670</f>
        <v>6.1275573374400025E-2</v>
      </c>
      <c r="U2666" s="7">
        <f>U2667*U2668*U2669*U2670</f>
        <v>0</v>
      </c>
      <c r="V2666" s="11"/>
      <c r="X2666" s="11"/>
    </row>
    <row r="2667" spans="3:34" x14ac:dyDescent="0.3">
      <c r="E2667" t="s">
        <v>35</v>
      </c>
      <c r="T2667" s="97">
        <f>U1297</f>
        <v>6.6481760000000029E-2</v>
      </c>
    </row>
    <row r="2668" spans="3:34" x14ac:dyDescent="0.3">
      <c r="E2668" t="s">
        <v>36</v>
      </c>
      <c r="T2668" s="86">
        <f>0.95</f>
        <v>0.95</v>
      </c>
    </row>
    <row r="2669" spans="3:34" x14ac:dyDescent="0.3">
      <c r="E2669" t="s">
        <v>142</v>
      </c>
      <c r="T2669" s="86">
        <v>0.99</v>
      </c>
    </row>
    <row r="2670" spans="3:34" x14ac:dyDescent="0.3">
      <c r="E2670" t="s">
        <v>37</v>
      </c>
      <c r="T2670" s="86">
        <v>0.98</v>
      </c>
    </row>
    <row r="2673" spans="3:23" x14ac:dyDescent="0.3">
      <c r="E2673" t="s">
        <v>125</v>
      </c>
      <c r="T2673" s="83">
        <f>$F$34</f>
        <v>32.051282051282051</v>
      </c>
    </row>
    <row r="2674" spans="3:23" x14ac:dyDescent="0.3">
      <c r="C2674" s="100"/>
      <c r="D2674" s="100"/>
      <c r="E2674" s="100" t="s">
        <v>135</v>
      </c>
      <c r="T2674" s="101">
        <f>T2673</f>
        <v>32.051282051282051</v>
      </c>
    </row>
    <row r="2676" spans="3:23" x14ac:dyDescent="0.3">
      <c r="E2676" t="s">
        <v>126</v>
      </c>
      <c r="T2676" s="88">
        <f>$H$52</f>
        <v>0.2</v>
      </c>
    </row>
    <row r="2677" spans="3:23" x14ac:dyDescent="0.3">
      <c r="E2677" t="s">
        <v>117</v>
      </c>
      <c r="T2677" s="7">
        <f>T2676*T2673</f>
        <v>6.4102564102564106</v>
      </c>
    </row>
    <row r="2679" spans="3:23" x14ac:dyDescent="0.3">
      <c r="E2679" t="s">
        <v>118</v>
      </c>
      <c r="T2679" s="7">
        <f>T2674</f>
        <v>32.051282051282051</v>
      </c>
    </row>
    <row r="2680" spans="3:23" x14ac:dyDescent="0.3">
      <c r="E2680" t="s">
        <v>106</v>
      </c>
      <c r="T2680" s="7">
        <f>T2673*(1+T2676)</f>
        <v>38.46153846153846</v>
      </c>
    </row>
    <row r="2681" spans="3:23" x14ac:dyDescent="0.3">
      <c r="T2681" s="7"/>
    </row>
    <row r="2682" spans="3:23" x14ac:dyDescent="0.3">
      <c r="E2682" t="s">
        <v>136</v>
      </c>
      <c r="T2682" s="7">
        <f>T2679*T2664</f>
        <v>4.63578461814385</v>
      </c>
    </row>
    <row r="2683" spans="3:23" x14ac:dyDescent="0.3">
      <c r="E2683" t="s">
        <v>119</v>
      </c>
      <c r="T2683" s="7">
        <f>T2680*T2664</f>
        <v>5.56294154177262</v>
      </c>
    </row>
    <row r="2684" spans="3:23" x14ac:dyDescent="0.3">
      <c r="T2684" s="7"/>
    </row>
    <row r="2685" spans="3:23" x14ac:dyDescent="0.3">
      <c r="E2685" t="s">
        <v>302</v>
      </c>
      <c r="T2685" s="6">
        <f>T2677*T2664</f>
        <v>0.92715692362877</v>
      </c>
    </row>
    <row r="2686" spans="3:23" x14ac:dyDescent="0.3">
      <c r="T2686" s="7"/>
    </row>
    <row r="2687" spans="3:23" x14ac:dyDescent="0.3">
      <c r="E2687" t="s">
        <v>127</v>
      </c>
      <c r="U2687" s="7">
        <f>T2680/3</f>
        <v>12.820512820512819</v>
      </c>
      <c r="V2687" s="7">
        <f>T2680/3</f>
        <v>12.820512820512819</v>
      </c>
      <c r="W2687" s="7">
        <f>T2680/3</f>
        <v>12.820512820512819</v>
      </c>
    </row>
    <row r="2688" spans="3:23" x14ac:dyDescent="0.3">
      <c r="U2688" s="7">
        <f>T2680</f>
        <v>38.46153846153846</v>
      </c>
    </row>
    <row r="2689" spans="3:25" s="103" customFormat="1" x14ac:dyDescent="0.3">
      <c r="E2689" s="103" t="s">
        <v>128</v>
      </c>
      <c r="T2689" s="79">
        <f>'Summary500-600'!$E$42</f>
        <v>0.95</v>
      </c>
    </row>
    <row r="2690" spans="3:25" s="103" customFormat="1" x14ac:dyDescent="0.3">
      <c r="E2690" s="103" t="s">
        <v>129</v>
      </c>
      <c r="T2690" s="79">
        <f>1-T2689</f>
        <v>5.0000000000000044E-2</v>
      </c>
    </row>
    <row r="2692" spans="3:25" x14ac:dyDescent="0.3">
      <c r="C2692" s="71"/>
      <c r="D2692" s="71"/>
      <c r="E2692" s="71" t="s">
        <v>16</v>
      </c>
    </row>
    <row r="2693" spans="3:25" x14ac:dyDescent="0.3">
      <c r="E2693" t="s">
        <v>17</v>
      </c>
      <c r="U2693" s="74">
        <f>'Summary500-600'!$D$86</f>
        <v>0.09</v>
      </c>
      <c r="V2693" s="74">
        <f>'Summary500-600'!$D$87</f>
        <v>0.03</v>
      </c>
      <c r="W2693" s="74">
        <f>'Summary500-600'!$D$88</f>
        <v>0.01</v>
      </c>
      <c r="X2693" s="75"/>
      <c r="Y2693" s="75"/>
    </row>
    <row r="2694" spans="3:25" x14ac:dyDescent="0.3">
      <c r="E2694" t="s">
        <v>18</v>
      </c>
      <c r="G2694" s="75"/>
      <c r="V2694" s="74">
        <f>'Summary500-600'!$D$89</f>
        <v>0.8</v>
      </c>
      <c r="W2694" s="76">
        <f>V2694</f>
        <v>0.8</v>
      </c>
      <c r="X2694" s="76">
        <f>W2694</f>
        <v>0.8</v>
      </c>
      <c r="Y2694" s="75"/>
    </row>
    <row r="2695" spans="3:25" x14ac:dyDescent="0.3">
      <c r="E2695" t="s">
        <v>19</v>
      </c>
      <c r="G2695" s="75"/>
      <c r="V2695" s="75"/>
      <c r="W2695" s="74">
        <f>'Summary500-600'!$D$90</f>
        <v>1</v>
      </c>
      <c r="X2695" s="74">
        <f>W2695</f>
        <v>1</v>
      </c>
      <c r="Y2695" s="74">
        <f>X2695</f>
        <v>1</v>
      </c>
    </row>
    <row r="2696" spans="3:25" x14ac:dyDescent="0.3">
      <c r="E2696" t="s">
        <v>20</v>
      </c>
      <c r="W2696" s="21"/>
    </row>
    <row r="2697" spans="3:25" x14ac:dyDescent="0.3">
      <c r="W2697" s="21"/>
    </row>
    <row r="2698" spans="3:25" x14ac:dyDescent="0.3">
      <c r="C2698" s="11"/>
      <c r="D2698" s="11"/>
      <c r="E2698" s="11" t="s">
        <v>196</v>
      </c>
      <c r="U2698" s="90">
        <f>SUM(U2699:U2702)</f>
        <v>0.13550000000000004</v>
      </c>
      <c r="V2698" s="90">
        <f t="shared" ref="V2698:X2698" si="185">SUM(V2699:V2702)</f>
        <v>0.13550000000000001</v>
      </c>
      <c r="W2698" s="90">
        <f t="shared" si="185"/>
        <v>7.3713349999999997E-2</v>
      </c>
      <c r="X2698" s="90">
        <f t="shared" si="185"/>
        <v>7.3589079999999987E-2</v>
      </c>
    </row>
    <row r="2699" spans="3:25" x14ac:dyDescent="0.3">
      <c r="E2699" t="s">
        <v>17</v>
      </c>
      <c r="U2699" s="22">
        <f>(1-U2693)*T2690</f>
        <v>4.550000000000004E-2</v>
      </c>
      <c r="V2699" s="22">
        <f>U2699*(1-V2693)+U2700*(1-V2694)</f>
        <v>6.213500000000003E-2</v>
      </c>
    </row>
    <row r="2700" spans="3:25" x14ac:dyDescent="0.3">
      <c r="E2700" t="s">
        <v>18</v>
      </c>
      <c r="U2700" s="22">
        <f>U2693</f>
        <v>0.09</v>
      </c>
      <c r="V2700" s="22">
        <f>U2699*V2693</f>
        <v>1.3650000000000012E-3</v>
      </c>
      <c r="W2700" s="22">
        <f>V2699*W2693</f>
        <v>6.2135000000000033E-4</v>
      </c>
      <c r="Y2700" s="22"/>
    </row>
    <row r="2701" spans="3:25" x14ac:dyDescent="0.3">
      <c r="E2701" t="s">
        <v>19</v>
      </c>
      <c r="V2701" s="22">
        <f>U2700*V2694</f>
        <v>7.1999999999999995E-2</v>
      </c>
      <c r="W2701" s="22">
        <f>V2700*W2694+V2701</f>
        <v>7.309199999999999E-2</v>
      </c>
      <c r="X2701" s="22">
        <f>W2700*X2694+W2701</f>
        <v>7.3589079999999987E-2</v>
      </c>
    </row>
    <row r="2702" spans="3:25" x14ac:dyDescent="0.3">
      <c r="V2702" s="22"/>
      <c r="W2702" s="22"/>
    </row>
    <row r="2703" spans="3:25" x14ac:dyDescent="0.3">
      <c r="E2703" t="s">
        <v>195</v>
      </c>
      <c r="U2703" s="22">
        <f>(1-U2693)*T2689</f>
        <v>0.86449999999999994</v>
      </c>
      <c r="W2703" s="29">
        <f>V2699*(1-W2693)+V2700*(1-W2694)+V2701*(1-W2695)</f>
        <v>6.1786650000000033E-2</v>
      </c>
      <c r="X2703" s="29">
        <f>W2700*(1-X2694)+W2703</f>
        <v>6.1910920000000036E-2</v>
      </c>
      <c r="Y2703" s="22"/>
    </row>
    <row r="2704" spans="3:25" x14ac:dyDescent="0.3">
      <c r="U2704" s="22"/>
      <c r="W2704" s="29"/>
      <c r="X2704" s="29"/>
      <c r="Y2704" s="22"/>
    </row>
    <row r="2705" spans="3:25" x14ac:dyDescent="0.3">
      <c r="U2705" s="25"/>
    </row>
    <row r="2706" spans="3:25" x14ac:dyDescent="0.3">
      <c r="C2706" s="11"/>
      <c r="D2706" s="11"/>
      <c r="E2706" s="11" t="s">
        <v>124</v>
      </c>
      <c r="U2706" s="8">
        <f>SUM(U2707:U2710)</f>
        <v>0.14463648008608812</v>
      </c>
      <c r="V2706" s="8">
        <f t="shared" ref="V2706:W2706" si="186">SUM(V2707:V2710)</f>
        <v>1.9598243051664948E-2</v>
      </c>
      <c r="W2706" s="8">
        <f t="shared" si="186"/>
        <v>1.0661639479353845E-2</v>
      </c>
    </row>
    <row r="2707" spans="3:25" x14ac:dyDescent="0.3">
      <c r="C2707" s="23"/>
      <c r="D2707" s="23"/>
      <c r="E2707" s="23" t="s">
        <v>120</v>
      </c>
      <c r="U2707" s="7">
        <f>T2664*(1-U2693)</f>
        <v>0.1316191968783402</v>
      </c>
      <c r="V2707" s="82">
        <f>U2745*(1-V2693)+U2708*(1-V2694)</f>
        <v>8.9869876901490908E-3</v>
      </c>
    </row>
    <row r="2708" spans="3:25" x14ac:dyDescent="0.3">
      <c r="C2708" s="24"/>
      <c r="D2708" s="24"/>
      <c r="E2708" s="24" t="s">
        <v>122</v>
      </c>
      <c r="U2708" s="7">
        <f>T2664*U2693</f>
        <v>1.3017283207747931E-2</v>
      </c>
      <c r="V2708" s="7">
        <f>U2745*V2693</f>
        <v>1.9742879531751048E-4</v>
      </c>
      <c r="W2708" s="7">
        <f>V2707*W2693</f>
        <v>8.9869876901490904E-5</v>
      </c>
      <c r="X2708" s="7">
        <f>W2707*X2693</f>
        <v>0</v>
      </c>
    </row>
    <row r="2709" spans="3:25" x14ac:dyDescent="0.3">
      <c r="C2709" s="23"/>
      <c r="D2709" s="23"/>
      <c r="E2709" s="23" t="s">
        <v>121</v>
      </c>
      <c r="V2709" s="7">
        <f>U2708*V2694</f>
        <v>1.0413826566198346E-2</v>
      </c>
      <c r="W2709" s="7">
        <f>V2708*W2694</f>
        <v>1.5794303625400838E-4</v>
      </c>
      <c r="X2709" s="7">
        <f>W2708*X2694</f>
        <v>7.1895901521192728E-5</v>
      </c>
    </row>
    <row r="2710" spans="3:25" x14ac:dyDescent="0.3">
      <c r="C2710" s="23"/>
      <c r="D2710" s="23"/>
      <c r="E2710" s="23" t="s">
        <v>138</v>
      </c>
      <c r="V2710" s="7"/>
      <c r="W2710" s="7">
        <f>V2709*W2695</f>
        <v>1.0413826566198346E-2</v>
      </c>
      <c r="X2710" s="7">
        <f>W2709*X2695+W2710</f>
        <v>1.0571769602452355E-2</v>
      </c>
      <c r="Y2710" s="7">
        <f>X2709*Y2695+X2710</f>
        <v>1.0643665503973549E-2</v>
      </c>
    </row>
    <row r="2711" spans="3:25" x14ac:dyDescent="0.3">
      <c r="C2711" s="23"/>
      <c r="D2711" s="23"/>
      <c r="E2711" s="23"/>
      <c r="V2711" s="7"/>
    </row>
    <row r="2712" spans="3:25" x14ac:dyDescent="0.3">
      <c r="C2712" s="23"/>
      <c r="D2712" s="23"/>
      <c r="E2712" s="23" t="s">
        <v>137</v>
      </c>
      <c r="V2712" s="7"/>
      <c r="W2712" s="7">
        <f>V2707*(1-W2693)+V2708*(1-W2694)+V2709*(1-W2695)</f>
        <v>8.9366035723111008E-3</v>
      </c>
      <c r="X2712" s="7">
        <f>W2708*(1-X2694)+W2712</f>
        <v>8.9545775476913992E-3</v>
      </c>
      <c r="Y2712" s="7">
        <f>X2709*(1-Y2695)+X2712</f>
        <v>8.9545775476913992E-3</v>
      </c>
    </row>
    <row r="2713" spans="3:25" x14ac:dyDescent="0.3">
      <c r="C2713" s="23"/>
      <c r="D2713" s="23"/>
      <c r="E2713" s="23"/>
      <c r="V2713" s="7"/>
    </row>
    <row r="2714" spans="3:25" x14ac:dyDescent="0.3">
      <c r="C2714" s="11"/>
      <c r="D2714" s="11"/>
      <c r="E2714" s="11" t="s">
        <v>139</v>
      </c>
      <c r="U2714" s="8">
        <f>SUM(U2715:U2716)</f>
        <v>0.1316191968783402</v>
      </c>
      <c r="V2714" s="8">
        <f>SUM(V2715:V2716)</f>
        <v>8.9869876901490908E-3</v>
      </c>
      <c r="W2714" s="8">
        <f>SUM(W2715:W2716)</f>
        <v>8.9366035723111008E-3</v>
      </c>
      <c r="X2714" s="8">
        <f>SUM(X2715:X2716)</f>
        <v>1.7973975380298175E-5</v>
      </c>
    </row>
    <row r="2715" spans="3:25" x14ac:dyDescent="0.3">
      <c r="C2715" s="23"/>
      <c r="D2715" s="23"/>
      <c r="E2715" s="23" t="s">
        <v>120</v>
      </c>
      <c r="U2715" s="7">
        <f>U2707</f>
        <v>0.1316191968783402</v>
      </c>
      <c r="V2715" s="7">
        <f>U2745*(1-V2693)</f>
        <v>6.3835310485995051E-3</v>
      </c>
      <c r="W2715" s="7">
        <f>V2707*(1-W2693)</f>
        <v>8.897117813247599E-3</v>
      </c>
    </row>
    <row r="2716" spans="3:25" x14ac:dyDescent="0.3">
      <c r="C2716" s="24"/>
      <c r="D2716" s="24"/>
      <c r="E2716" s="24" t="s">
        <v>122</v>
      </c>
      <c r="V2716" s="7">
        <f>U2708*(1-V2694)</f>
        <v>2.6034566415495857E-3</v>
      </c>
      <c r="W2716" s="7">
        <f>V2708*(1-W2694)</f>
        <v>3.9485759063502089E-5</v>
      </c>
      <c r="X2716" s="7">
        <f>W2708*(1-X2694)</f>
        <v>1.7973975380298175E-5</v>
      </c>
    </row>
    <row r="2717" spans="3:25" x14ac:dyDescent="0.3">
      <c r="C2717" s="23"/>
      <c r="D2717" s="23"/>
      <c r="E2717" s="23"/>
      <c r="V2717" s="7"/>
      <c r="W2717" s="7">
        <f>V2709*(1-W2695)</f>
        <v>0</v>
      </c>
      <c r="X2717" s="7">
        <f>W2709*(1-X2695)</f>
        <v>0</v>
      </c>
    </row>
    <row r="2718" spans="3:25" x14ac:dyDescent="0.3">
      <c r="C2718" s="81"/>
      <c r="D2718" s="81"/>
      <c r="E2718" s="81" t="s">
        <v>123</v>
      </c>
    </row>
    <row r="2719" spans="3:25" x14ac:dyDescent="0.3">
      <c r="C2719" s="23"/>
      <c r="D2719" s="23"/>
      <c r="E2719" s="23" t="s">
        <v>120</v>
      </c>
      <c r="U2719" s="7">
        <f>T2680-U2687</f>
        <v>25.641025641025642</v>
      </c>
      <c r="V2719" s="7">
        <f>U2719-V2687</f>
        <v>12.820512820512823</v>
      </c>
      <c r="W2719" s="7">
        <f>V2719-W2687</f>
        <v>0</v>
      </c>
    </row>
    <row r="2720" spans="3:25" x14ac:dyDescent="0.3">
      <c r="C2720" s="24"/>
      <c r="D2720" s="24"/>
      <c r="E2720" s="24" t="s">
        <v>122</v>
      </c>
      <c r="U2720" s="7">
        <f>T2680</f>
        <v>38.46153846153846</v>
      </c>
      <c r="V2720" s="7">
        <f>U2719</f>
        <v>25.641025641025642</v>
      </c>
      <c r="W2720" s="7">
        <f>V2719</f>
        <v>12.820512820512823</v>
      </c>
    </row>
    <row r="2721" spans="3:25" x14ac:dyDescent="0.3">
      <c r="C2721" s="23"/>
      <c r="D2721" s="23"/>
      <c r="E2721" s="23" t="s">
        <v>121</v>
      </c>
      <c r="V2721" s="7">
        <f>U2720</f>
        <v>38.46153846153846</v>
      </c>
      <c r="W2721" s="7">
        <f>V2720</f>
        <v>25.641025641025642</v>
      </c>
      <c r="X2721" s="7">
        <f>W2720</f>
        <v>12.820512820512823</v>
      </c>
    </row>
    <row r="2722" spans="3:25" x14ac:dyDescent="0.3">
      <c r="C2722" s="23"/>
      <c r="D2722" s="23"/>
      <c r="E2722" s="23"/>
      <c r="W2722" s="7"/>
      <c r="X2722" s="7"/>
    </row>
    <row r="2723" spans="3:25" x14ac:dyDescent="0.3">
      <c r="C2723" s="23"/>
      <c r="D2723" s="23"/>
      <c r="E2723" s="23"/>
      <c r="W2723" s="7"/>
      <c r="X2723" s="7"/>
    </row>
    <row r="2724" spans="3:25" x14ac:dyDescent="0.3">
      <c r="C2724" s="11"/>
      <c r="D2724" s="11"/>
      <c r="E2724" s="11" t="s">
        <v>130</v>
      </c>
      <c r="U2724" s="8">
        <f>SUM(U2725:U2728)</f>
        <v>3.8755159407682589</v>
      </c>
      <c r="V2724" s="8">
        <f t="shared" ref="V2724:X2724" si="187">SUM(V2725:V2728)</f>
        <v>0.52081185870998914</v>
      </c>
      <c r="W2724" s="8">
        <f t="shared" si="187"/>
        <v>0.40573379035903262</v>
      </c>
      <c r="X2724" s="8">
        <f t="shared" si="187"/>
        <v>0.40550335477723393</v>
      </c>
    </row>
    <row r="2725" spans="3:25" x14ac:dyDescent="0.3">
      <c r="C2725" s="23"/>
      <c r="D2725" s="23"/>
      <c r="E2725" s="23" t="s">
        <v>120</v>
      </c>
      <c r="U2725" s="7">
        <f>U2719*U2707</f>
        <v>3.3748512020087231</v>
      </c>
      <c r="V2725" s="7">
        <f t="shared" ref="V2725:W2726" si="188">V2719*V2707</f>
        <v>0.11521779089934733</v>
      </c>
      <c r="W2725" s="7">
        <f t="shared" si="188"/>
        <v>0</v>
      </c>
    </row>
    <row r="2726" spans="3:25" x14ac:dyDescent="0.3">
      <c r="C2726" s="24"/>
      <c r="D2726" s="24"/>
      <c r="E2726" s="24" t="s">
        <v>122</v>
      </c>
      <c r="U2726" s="7">
        <f>U2720*U2708</f>
        <v>0.50066473875953577</v>
      </c>
      <c r="V2726" s="7">
        <f t="shared" si="188"/>
        <v>5.0622768030130893E-3</v>
      </c>
      <c r="W2726" s="7">
        <f t="shared" si="188"/>
        <v>1.1521779089934733E-3</v>
      </c>
      <c r="X2726" s="7">
        <f>X2720*X2708</f>
        <v>0</v>
      </c>
    </row>
    <row r="2727" spans="3:25" x14ac:dyDescent="0.3">
      <c r="C2727" s="23"/>
      <c r="D2727" s="23"/>
      <c r="E2727" s="23" t="s">
        <v>121</v>
      </c>
      <c r="V2727" s="7">
        <f>V2721*V2709</f>
        <v>0.4005317910076287</v>
      </c>
      <c r="W2727" s="7">
        <f>W2721*W2709</f>
        <v>4.0498214424104714E-3</v>
      </c>
      <c r="X2727" s="7">
        <f>X2721*X2709</f>
        <v>9.2174232719477878E-4</v>
      </c>
    </row>
    <row r="2728" spans="3:25" x14ac:dyDescent="0.3">
      <c r="C2728" s="23"/>
      <c r="D2728" s="23"/>
      <c r="E2728" s="23" t="s">
        <v>299</v>
      </c>
      <c r="W2728" s="8">
        <f>V2727</f>
        <v>0.4005317910076287</v>
      </c>
      <c r="X2728" s="8">
        <f>W2728+W2727</f>
        <v>0.40458161245003915</v>
      </c>
      <c r="Y2728" s="8">
        <f>X2728+X2727</f>
        <v>0.40550335477723393</v>
      </c>
    </row>
    <row r="2729" spans="3:25" x14ac:dyDescent="0.3">
      <c r="C2729" s="23"/>
      <c r="D2729" s="23"/>
      <c r="E2729" s="23"/>
      <c r="V2729" s="7"/>
      <c r="W2729" s="7"/>
    </row>
    <row r="2730" spans="3:25" x14ac:dyDescent="0.3">
      <c r="C2730" s="105"/>
      <c r="D2730" s="105"/>
      <c r="E2730" s="105" t="s">
        <v>300</v>
      </c>
      <c r="T2730" s="8">
        <f>Y2728</f>
        <v>0.40550335477723393</v>
      </c>
      <c r="V2730" s="7"/>
      <c r="W2730" s="7"/>
    </row>
    <row r="2731" spans="3:25" x14ac:dyDescent="0.3">
      <c r="C2731" s="23"/>
      <c r="D2731" s="23"/>
      <c r="E2731" s="23"/>
    </row>
    <row r="2732" spans="3:25" x14ac:dyDescent="0.3">
      <c r="C2732" s="11"/>
      <c r="D2732" s="11"/>
      <c r="E2732" s="11" t="s">
        <v>140</v>
      </c>
      <c r="U2732" s="8">
        <f>SUM(U2734:U2737)</f>
        <v>4.893534242912648</v>
      </c>
      <c r="V2732" s="8">
        <f>SUM(V2734:V2737)</f>
        <v>0.14859544014998299</v>
      </c>
      <c r="W2732" s="8">
        <f t="shared" ref="W2732:X2732" si="189">SUM(W2734:W2737)</f>
        <v>0.11507806835095644</v>
      </c>
      <c r="X2732" s="8">
        <f t="shared" si="189"/>
        <v>2.3043558179869453E-4</v>
      </c>
    </row>
    <row r="2733" spans="3:25" x14ac:dyDescent="0.3">
      <c r="C2733" s="11"/>
      <c r="D2733" s="11"/>
      <c r="E2733" s="11"/>
      <c r="U2733" s="8"/>
      <c r="V2733" s="8"/>
      <c r="W2733" s="8"/>
      <c r="X2733" s="8"/>
    </row>
    <row r="2734" spans="3:25" x14ac:dyDescent="0.3">
      <c r="E2734" t="s">
        <v>131</v>
      </c>
      <c r="G2734" s="23" t="s">
        <v>120</v>
      </c>
      <c r="U2734" s="6">
        <f>U2743*U2688</f>
        <v>4.8091629628624295</v>
      </c>
    </row>
    <row r="2735" spans="3:25" x14ac:dyDescent="0.3">
      <c r="G2735" s="23"/>
      <c r="U2735" s="6"/>
    </row>
    <row r="2736" spans="3:25" x14ac:dyDescent="0.3">
      <c r="E2736" t="s">
        <v>200</v>
      </c>
      <c r="G2736" s="23" t="s">
        <v>120</v>
      </c>
      <c r="U2736" s="6">
        <f>U2745*U2687</f>
        <v>8.4371280050218142E-2</v>
      </c>
      <c r="V2736" s="27">
        <f>V2715*V2687</f>
        <v>8.184014164871159E-2</v>
      </c>
      <c r="W2736" s="27">
        <f>W2715*W2687</f>
        <v>0.11406561299035382</v>
      </c>
      <c r="X2736" s="27">
        <f>X2715*X2687</f>
        <v>0</v>
      </c>
    </row>
    <row r="2737" spans="1:46" x14ac:dyDescent="0.3">
      <c r="E2737" t="s">
        <v>200</v>
      </c>
      <c r="G2737" s="24" t="s">
        <v>122</v>
      </c>
      <c r="U2737" s="6"/>
      <c r="V2737" s="27">
        <f>V2716*(U2687+V2687)</f>
        <v>6.6755298501271418E-2</v>
      </c>
      <c r="W2737" s="27">
        <f>W2716*(V2687+W2687)</f>
        <v>1.0124553606026176E-3</v>
      </c>
      <c r="X2737" s="27">
        <f>X2716*(W2687+X2687)</f>
        <v>2.3043558179869453E-4</v>
      </c>
    </row>
    <row r="2739" spans="1:46" x14ac:dyDescent="0.3">
      <c r="C2739" s="11"/>
      <c r="D2739" s="11"/>
      <c r="E2739" s="11" t="s">
        <v>283</v>
      </c>
      <c r="U2739" s="8">
        <f>SUM(U2736:X2737)</f>
        <v>0.34827522413295631</v>
      </c>
    </row>
    <row r="2741" spans="1:46" x14ac:dyDescent="0.3">
      <c r="E2741" t="s">
        <v>202</v>
      </c>
      <c r="U2741" s="28">
        <f>U2743*(V2687+W2687)</f>
        <v>3.2061086419082865</v>
      </c>
    </row>
    <row r="2743" spans="1:46" x14ac:dyDescent="0.3">
      <c r="C2743" s="72"/>
      <c r="D2743" s="72"/>
      <c r="E2743" s="72" t="s">
        <v>132</v>
      </c>
      <c r="U2743" s="73">
        <f>U2707*T2689</f>
        <v>0.12503823703442318</v>
      </c>
    </row>
    <row r="2745" spans="1:46" x14ac:dyDescent="0.3">
      <c r="E2745" t="s">
        <v>201</v>
      </c>
      <c r="U2745" s="7">
        <f>U2707*T2690</f>
        <v>6.5809598439170161E-3</v>
      </c>
    </row>
    <row r="2748" spans="1:46" x14ac:dyDescent="0.3">
      <c r="E2748" s="152" t="s">
        <v>352</v>
      </c>
      <c r="F2748" s="153"/>
      <c r="G2748" s="153"/>
      <c r="H2748" s="153"/>
      <c r="I2748" s="153"/>
      <c r="J2748" s="153"/>
      <c r="K2748" s="153"/>
      <c r="L2748" s="153"/>
      <c r="M2748" s="153"/>
      <c r="N2748" s="153"/>
      <c r="O2748" s="153"/>
      <c r="P2748" s="153"/>
      <c r="Q2748" s="153"/>
      <c r="R2748" s="153"/>
      <c r="S2748" s="153"/>
      <c r="T2748" s="153"/>
      <c r="U2748" s="153"/>
      <c r="V2748" s="153"/>
      <c r="W2748" s="153"/>
      <c r="X2748" s="153"/>
      <c r="Y2748" s="154"/>
      <c r="Z2748" s="152"/>
      <c r="AA2748" s="153"/>
      <c r="AB2748" s="153"/>
      <c r="AC2748" s="153"/>
      <c r="AD2748" s="153"/>
      <c r="AE2748" s="153"/>
      <c r="AF2748" s="153"/>
      <c r="AG2748" s="153"/>
      <c r="AH2748" s="153"/>
      <c r="AI2748" s="153"/>
      <c r="AJ2748" s="153"/>
      <c r="AK2748" s="153"/>
      <c r="AL2748" s="153"/>
      <c r="AM2748" s="153"/>
      <c r="AN2748" s="153"/>
      <c r="AO2748" s="153"/>
      <c r="AP2748" s="153"/>
      <c r="AQ2748" s="153"/>
      <c r="AR2748" s="153"/>
      <c r="AS2748" s="153"/>
      <c r="AT2748" s="154"/>
    </row>
    <row r="2750" spans="1:46" x14ac:dyDescent="0.3">
      <c r="A2750" t="s">
        <v>279</v>
      </c>
      <c r="B2750" t="s">
        <v>349</v>
      </c>
      <c r="C2750" t="s">
        <v>352</v>
      </c>
      <c r="E2750" t="s">
        <v>197</v>
      </c>
      <c r="M2750" s="83">
        <f ca="1">SUMIFS(OFFSET(M$47,0,0,5959),$D$47:$D$6005,$C2750,$E$47:$E$6005,$E$119)</f>
        <v>3347.5753138003302</v>
      </c>
    </row>
    <row r="2751" spans="1:46" x14ac:dyDescent="0.3">
      <c r="A2751" t="s">
        <v>279</v>
      </c>
      <c r="E2751" t="s">
        <v>206</v>
      </c>
      <c r="M2751" s="7">
        <f ca="1">M2753*M2750</f>
        <v>3347.5753138003302</v>
      </c>
      <c r="P2751" s="77"/>
    </row>
    <row r="2752" spans="1:46" x14ac:dyDescent="0.3">
      <c r="A2752" t="s">
        <v>279</v>
      </c>
      <c r="M2752" s="7"/>
      <c r="N2752" s="7">
        <f>M1424</f>
        <v>3347.5753138003302</v>
      </c>
      <c r="P2752" s="77"/>
    </row>
    <row r="2753" spans="1:17" x14ac:dyDescent="0.3">
      <c r="A2753" t="s">
        <v>279</v>
      </c>
      <c r="C2753" s="11"/>
      <c r="D2753" s="11"/>
      <c r="E2753" s="11" t="s">
        <v>134</v>
      </c>
      <c r="F2753" s="11"/>
      <c r="G2753" s="11"/>
      <c r="M2753" s="104">
        <f>M2754*M2755*M2756*M2757</f>
        <v>1</v>
      </c>
      <c r="N2753" s="7">
        <f>N2754*N2755*N2756*N2757</f>
        <v>0</v>
      </c>
      <c r="O2753" s="11"/>
      <c r="Q2753" s="11"/>
    </row>
    <row r="2754" spans="1:17" x14ac:dyDescent="0.3">
      <c r="A2754" t="s">
        <v>279</v>
      </c>
      <c r="E2754" t="s">
        <v>35</v>
      </c>
      <c r="M2754" s="89">
        <f>SUMIFS('Summary500-600'!$C$163:$C$264,'Summary500-600'!$A$163:$A$264,$A2754,'Summary500-600'!$B$163:$B$264,$E2754)</f>
        <v>1</v>
      </c>
    </row>
    <row r="2755" spans="1:17" x14ac:dyDescent="0.3">
      <c r="A2755" t="s">
        <v>279</v>
      </c>
      <c r="E2755" t="s">
        <v>36</v>
      </c>
      <c r="M2755" s="89">
        <f>SUMIFS('Summary500-600'!$C$163:$C$264,'Summary500-600'!$A$163:$A$264,$A2755,'Summary500-600'!$B$163:$B$264,$E2755)</f>
        <v>1</v>
      </c>
    </row>
    <row r="2756" spans="1:17" x14ac:dyDescent="0.3">
      <c r="A2756" t="s">
        <v>279</v>
      </c>
      <c r="E2756" t="s">
        <v>142</v>
      </c>
      <c r="M2756" s="89">
        <f>SUMIFS('Summary500-600'!$C$163:$C$264,'Summary500-600'!$A$163:$A$264,$A2756,'Summary500-600'!$B$163:$B$264,$E2756)</f>
        <v>1</v>
      </c>
    </row>
    <row r="2757" spans="1:17" x14ac:dyDescent="0.3">
      <c r="A2757" t="s">
        <v>279</v>
      </c>
      <c r="E2757" t="s">
        <v>37</v>
      </c>
      <c r="M2757" s="89">
        <f>SUMIFS('Summary500-600'!$C$163:$C$264,'Summary500-600'!$A$163:$A$264,$A2757,'Summary500-600'!$B$163:$B$264,$E2757)</f>
        <v>1</v>
      </c>
    </row>
    <row r="2758" spans="1:17" x14ac:dyDescent="0.3">
      <c r="A2758" t="s">
        <v>279</v>
      </c>
    </row>
    <row r="2759" spans="1:17" x14ac:dyDescent="0.3">
      <c r="A2759" t="s">
        <v>279</v>
      </c>
    </row>
    <row r="2760" spans="1:17" x14ac:dyDescent="0.3">
      <c r="A2760" t="s">
        <v>279</v>
      </c>
      <c r="E2760" t="s">
        <v>125</v>
      </c>
      <c r="M2760" s="83">
        <f ca="1">OFFSET($E$30,MATCH($A2760,$E$30:$E$45,0)-1,1)</f>
        <v>64.102564102564102</v>
      </c>
    </row>
    <row r="2761" spans="1:17" x14ac:dyDescent="0.3">
      <c r="A2761" t="s">
        <v>279</v>
      </c>
      <c r="E2761" t="s">
        <v>135</v>
      </c>
      <c r="M2761" s="82">
        <f ca="1">M2760</f>
        <v>64.102564102564102</v>
      </c>
    </row>
    <row r="2762" spans="1:17" x14ac:dyDescent="0.3">
      <c r="A2762" t="s">
        <v>279</v>
      </c>
    </row>
    <row r="2763" spans="1:17" x14ac:dyDescent="0.3">
      <c r="A2763" t="s">
        <v>279</v>
      </c>
      <c r="E2763" t="s">
        <v>126</v>
      </c>
      <c r="M2763" s="88">
        <f>$H$52</f>
        <v>0.2</v>
      </c>
    </row>
    <row r="2764" spans="1:17" x14ac:dyDescent="0.3">
      <c r="A2764" t="s">
        <v>279</v>
      </c>
      <c r="E2764" t="s">
        <v>117</v>
      </c>
      <c r="M2764" s="7">
        <f ca="1">M2763*M2760</f>
        <v>12.820512820512821</v>
      </c>
    </row>
    <row r="2765" spans="1:17" x14ac:dyDescent="0.3">
      <c r="A2765" t="s">
        <v>279</v>
      </c>
    </row>
    <row r="2766" spans="1:17" x14ac:dyDescent="0.3">
      <c r="A2766" t="s">
        <v>279</v>
      </c>
      <c r="E2766" t="s">
        <v>118</v>
      </c>
      <c r="M2766" s="7">
        <f ca="1">M2761</f>
        <v>64.102564102564102</v>
      </c>
    </row>
    <row r="2767" spans="1:17" x14ac:dyDescent="0.3">
      <c r="A2767" t="s">
        <v>279</v>
      </c>
      <c r="E2767" t="s">
        <v>106</v>
      </c>
      <c r="M2767" s="7">
        <f ca="1">M2760*(1+M2763)</f>
        <v>76.92307692307692</v>
      </c>
    </row>
    <row r="2768" spans="1:17" x14ac:dyDescent="0.3">
      <c r="A2768" t="s">
        <v>279</v>
      </c>
      <c r="M2768" s="7"/>
    </row>
    <row r="2769" spans="1:18" x14ac:dyDescent="0.3">
      <c r="A2769" t="s">
        <v>279</v>
      </c>
      <c r="E2769" t="s">
        <v>136</v>
      </c>
      <c r="M2769" s="7">
        <f ca="1">M2766*M2751</f>
        <v>214588.16114104682</v>
      </c>
    </row>
    <row r="2770" spans="1:18" x14ac:dyDescent="0.3">
      <c r="A2770" t="s">
        <v>279</v>
      </c>
      <c r="E2770" t="s">
        <v>119</v>
      </c>
      <c r="M2770" s="7">
        <f ca="1">M2767*M2751</f>
        <v>257505.79336925616</v>
      </c>
    </row>
    <row r="2771" spans="1:18" x14ac:dyDescent="0.3">
      <c r="A2771" t="s">
        <v>279</v>
      </c>
      <c r="M2771" s="7"/>
    </row>
    <row r="2772" spans="1:18" x14ac:dyDescent="0.3">
      <c r="A2772" t="s">
        <v>279</v>
      </c>
      <c r="E2772" t="s">
        <v>302</v>
      </c>
      <c r="M2772" s="6">
        <f ca="1">M2764*M2751</f>
        <v>42917.632228209361</v>
      </c>
    </row>
    <row r="2773" spans="1:18" x14ac:dyDescent="0.3">
      <c r="A2773" t="s">
        <v>279</v>
      </c>
      <c r="M2773" s="7"/>
    </row>
    <row r="2774" spans="1:18" x14ac:dyDescent="0.3">
      <c r="A2774" t="s">
        <v>279</v>
      </c>
      <c r="E2774" t="s">
        <v>127</v>
      </c>
      <c r="N2774" s="7">
        <f ca="1">M2767/3</f>
        <v>25.641025641025639</v>
      </c>
      <c r="O2774" s="7">
        <f ca="1">M2767/3</f>
        <v>25.641025641025639</v>
      </c>
      <c r="P2774" s="7">
        <f ca="1">M2767/3</f>
        <v>25.641025641025639</v>
      </c>
    </row>
    <row r="2775" spans="1:18" x14ac:dyDescent="0.3">
      <c r="A2775" t="s">
        <v>279</v>
      </c>
      <c r="N2775" s="7">
        <f ca="1">M2767</f>
        <v>76.92307692307692</v>
      </c>
    </row>
    <row r="2776" spans="1:18" s="103" customFormat="1" x14ac:dyDescent="0.3">
      <c r="A2776" t="s">
        <v>279</v>
      </c>
      <c r="E2776" s="103" t="s">
        <v>128</v>
      </c>
      <c r="M2776" s="139">
        <f ca="1">OFFSET('Summary500-600'!$B$38,MATCH($A2776,'Summary500-600'!$B$38:$B$52,0)-1,1)</f>
        <v>0.95</v>
      </c>
    </row>
    <row r="2777" spans="1:18" s="103" customFormat="1" x14ac:dyDescent="0.3">
      <c r="A2777" t="s">
        <v>279</v>
      </c>
      <c r="E2777" s="103" t="s">
        <v>129</v>
      </c>
      <c r="M2777" s="79">
        <f ca="1">1-M2776</f>
        <v>5.0000000000000044E-2</v>
      </c>
    </row>
    <row r="2778" spans="1:18" x14ac:dyDescent="0.3">
      <c r="A2778" t="s">
        <v>279</v>
      </c>
    </row>
    <row r="2779" spans="1:18" x14ac:dyDescent="0.3">
      <c r="A2779" t="s">
        <v>279</v>
      </c>
      <c r="C2779" s="71"/>
      <c r="D2779" s="71"/>
      <c r="E2779" s="71" t="s">
        <v>16</v>
      </c>
    </row>
    <row r="2780" spans="1:18" x14ac:dyDescent="0.3">
      <c r="A2780" t="s">
        <v>279</v>
      </c>
      <c r="E2780" t="s">
        <v>17</v>
      </c>
      <c r="N2780" s="74">
        <f ca="1">SUMIFS(OFFSET('Summary500-600'!$C$57,0,0,105,1),'Summary500-600'!$A$57:$A$161,'Model500-600'!$A2780,'Summary500-600'!$B$57:$B$161,'Summary500-600'!$B$58)</f>
        <v>0.13</v>
      </c>
      <c r="O2780" s="74">
        <f ca="1">SUMIFS(OFFSET('Summary500-600'!$C$57,0,0,105,1),'Summary500-600'!$A$57:$A$161,'Model500-600'!$A2780,'Summary500-600'!$B$57:$B$161,'Summary500-600'!$B$59)</f>
        <v>0.04</v>
      </c>
      <c r="P2780" s="74">
        <f ca="1">SUMIFS(OFFSET('Summary500-600'!$C$57,0,0,105,1),'Summary500-600'!$A$57:$A$161,'Model500-600'!$A2780,'Summary500-600'!$B$57:$B$161,'Summary500-600'!$B$60)</f>
        <v>0.03</v>
      </c>
      <c r="Q2780" s="75"/>
      <c r="R2780" s="75"/>
    </row>
    <row r="2781" spans="1:18" x14ac:dyDescent="0.3">
      <c r="A2781" t="s">
        <v>279</v>
      </c>
      <c r="E2781" t="s">
        <v>18</v>
      </c>
      <c r="G2781" s="75"/>
      <c r="O2781" s="74">
        <f ca="1">SUMIFS(OFFSET('Summary500-600'!$C$57,0,0,105,1),'Summary500-600'!$A$57:$A$161,'Model500-600'!$A2781,'Summary500-600'!$B$57:$B$161,'Summary500-600'!$B$61)</f>
        <v>0.8</v>
      </c>
      <c r="P2781" s="76">
        <f ca="1">O2781</f>
        <v>0.8</v>
      </c>
      <c r="Q2781" s="76">
        <f ca="1">P2781</f>
        <v>0.8</v>
      </c>
      <c r="R2781" s="75"/>
    </row>
    <row r="2782" spans="1:18" x14ac:dyDescent="0.3">
      <c r="A2782" t="s">
        <v>279</v>
      </c>
      <c r="E2782" t="s">
        <v>19</v>
      </c>
      <c r="G2782" s="75"/>
      <c r="O2782" s="75"/>
      <c r="P2782" s="74">
        <f ca="1">SUMIFS(OFFSET('Summary500-600'!$C$57,0,0,105,1),'Summary500-600'!$A$57:$A$161,'Model500-600'!$A2782,'Summary500-600'!$B$57:$B$161,'Summary500-600'!$B$62)</f>
        <v>1</v>
      </c>
      <c r="Q2782" s="74">
        <f ca="1">P2782</f>
        <v>1</v>
      </c>
      <c r="R2782" s="74">
        <f ca="1">Q2782</f>
        <v>1</v>
      </c>
    </row>
    <row r="2783" spans="1:18" x14ac:dyDescent="0.3">
      <c r="A2783" t="s">
        <v>279</v>
      </c>
      <c r="E2783" t="s">
        <v>20</v>
      </c>
      <c r="P2783" s="21"/>
    </row>
    <row r="2784" spans="1:18" x14ac:dyDescent="0.3">
      <c r="A2784" t="s">
        <v>279</v>
      </c>
      <c r="P2784" s="21"/>
    </row>
    <row r="2785" spans="1:19" x14ac:dyDescent="0.3">
      <c r="A2785" t="s">
        <v>279</v>
      </c>
      <c r="C2785" s="11"/>
      <c r="D2785" s="11"/>
      <c r="E2785" s="11" t="s">
        <v>196</v>
      </c>
      <c r="N2785" s="90">
        <f ca="1">SUM(N2786:N2789)</f>
        <v>0.17350000000000004</v>
      </c>
      <c r="O2785" s="90">
        <f ca="1">SUM(O2786:O2789)</f>
        <v>0.17350000000000004</v>
      </c>
      <c r="P2785" s="90">
        <f ca="1">SUM(P2786:P2789)</f>
        <v>0.10742480000000001</v>
      </c>
      <c r="Q2785" s="90">
        <f ca="1">SUM(Q2786:Q2789)</f>
        <v>0.10701824000000001</v>
      </c>
    </row>
    <row r="2786" spans="1:19" x14ac:dyDescent="0.3">
      <c r="A2786" t="s">
        <v>279</v>
      </c>
      <c r="E2786" t="s">
        <v>17</v>
      </c>
      <c r="N2786" s="22">
        <f ca="1">(1-N2780)*M2777</f>
        <v>4.3500000000000039E-2</v>
      </c>
      <c r="O2786" s="22">
        <f ca="1">N2786*(1-O2780)+N2787*(1-O2781)</f>
        <v>6.7760000000000029E-2</v>
      </c>
    </row>
    <row r="2787" spans="1:19" x14ac:dyDescent="0.3">
      <c r="A2787" t="s">
        <v>279</v>
      </c>
      <c r="E2787" t="s">
        <v>18</v>
      </c>
      <c r="N2787" s="22">
        <f ca="1">N2780</f>
        <v>0.13</v>
      </c>
      <c r="O2787" s="22">
        <f ca="1">N2786*O2780</f>
        <v>1.7400000000000015E-3</v>
      </c>
      <c r="P2787" s="22">
        <f ca="1">O2786*P2780</f>
        <v>2.0328000000000008E-3</v>
      </c>
      <c r="R2787" s="22"/>
    </row>
    <row r="2788" spans="1:19" x14ac:dyDescent="0.3">
      <c r="A2788" t="s">
        <v>279</v>
      </c>
      <c r="E2788" t="s">
        <v>19</v>
      </c>
      <c r="O2788" s="22">
        <f ca="1">N2787*O2781</f>
        <v>0.10400000000000001</v>
      </c>
      <c r="P2788" s="22">
        <f ca="1">O2787*P2781+O2788</f>
        <v>0.10539200000000001</v>
      </c>
      <c r="Q2788" s="22">
        <f ca="1">P2787*Q2781+P2788</f>
        <v>0.10701824000000001</v>
      </c>
    </row>
    <row r="2789" spans="1:19" x14ac:dyDescent="0.3">
      <c r="A2789" t="s">
        <v>279</v>
      </c>
      <c r="O2789" s="22"/>
      <c r="P2789" s="22"/>
    </row>
    <row r="2790" spans="1:19" x14ac:dyDescent="0.3">
      <c r="A2790" t="s">
        <v>279</v>
      </c>
      <c r="E2790" t="s">
        <v>195</v>
      </c>
      <c r="N2790" s="22">
        <f ca="1">(1-N2780)*M2776</f>
        <v>0.82650000000000001</v>
      </c>
      <c r="P2790" s="29">
        <f ca="1">O2786*(1-P2780)+O2787*(1-P2781)+O2788*(1-P2782)</f>
        <v>6.6075200000000028E-2</v>
      </c>
      <c r="Q2790" s="29">
        <f ca="1">P2787*(1-Q2781)+P2790</f>
        <v>6.6481760000000029E-2</v>
      </c>
      <c r="R2790" s="22"/>
    </row>
    <row r="2791" spans="1:19" x14ac:dyDescent="0.3">
      <c r="A2791" t="s">
        <v>279</v>
      </c>
      <c r="N2791" s="22"/>
      <c r="P2791" s="29"/>
      <c r="Q2791" s="29"/>
      <c r="R2791" s="22"/>
    </row>
    <row r="2792" spans="1:19" x14ac:dyDescent="0.3">
      <c r="A2792" t="s">
        <v>279</v>
      </c>
      <c r="N2792" s="25" t="s">
        <v>32</v>
      </c>
    </row>
    <row r="2793" spans="1:19" x14ac:dyDescent="0.3">
      <c r="A2793" t="s">
        <v>279</v>
      </c>
      <c r="C2793" s="11"/>
      <c r="D2793" s="11"/>
      <c r="E2793" s="11" t="s">
        <v>124</v>
      </c>
      <c r="N2793" s="8">
        <f ca="1">SUM(N2794:N2797)</f>
        <v>3347.5753138003302</v>
      </c>
      <c r="O2793" s="8">
        <f ca="1">SUM(O2794:O2797)</f>
        <v>580.80431694435742</v>
      </c>
      <c r="P2793" s="8">
        <f ca="1">SUM(P2794:P2797)</f>
        <v>359.61260856993778</v>
      </c>
      <c r="R2793" s="7"/>
    </row>
    <row r="2794" spans="1:19" x14ac:dyDescent="0.3">
      <c r="A2794" t="s">
        <v>279</v>
      </c>
      <c r="C2794" s="23"/>
      <c r="D2794" s="23"/>
      <c r="E2794" s="23" t="s">
        <v>120</v>
      </c>
      <c r="N2794" s="7">
        <f ca="1">M2751*(1-N2780)</f>
        <v>2912.3905230062874</v>
      </c>
      <c r="O2794" s="82">
        <f ca="1">N2832*(1-O2780)+N2795*(1-O2781)</f>
        <v>226.83170326311048</v>
      </c>
    </row>
    <row r="2795" spans="1:19" x14ac:dyDescent="0.3">
      <c r="A2795" t="s">
        <v>279</v>
      </c>
      <c r="C2795" s="24"/>
      <c r="D2795" s="24"/>
      <c r="E2795" s="24" t="s">
        <v>122</v>
      </c>
      <c r="N2795" s="7">
        <f ca="1">M2751*N2780</f>
        <v>435.18479079404295</v>
      </c>
      <c r="O2795" s="7">
        <f ca="1">N2832*O2780</f>
        <v>5.8247810460125802</v>
      </c>
      <c r="P2795" s="7">
        <f ca="1">O2794*P2780</f>
        <v>6.8049510978933139</v>
      </c>
      <c r="Q2795" s="7">
        <f>P2794*Q2780</f>
        <v>0</v>
      </c>
    </row>
    <row r="2796" spans="1:19" x14ac:dyDescent="0.3">
      <c r="A2796" t="s">
        <v>279</v>
      </c>
      <c r="C2796" s="23"/>
      <c r="D2796" s="23"/>
      <c r="E2796" s="23" t="s">
        <v>121</v>
      </c>
      <c r="O2796" s="7">
        <f ca="1">N2795*O2781</f>
        <v>348.14783263523441</v>
      </c>
      <c r="P2796" s="7">
        <f ca="1">O2795*P2781</f>
        <v>4.6598248368100643</v>
      </c>
      <c r="Q2796" s="7">
        <f ca="1">P2795*Q2781</f>
        <v>5.4439608783146518</v>
      </c>
    </row>
    <row r="2797" spans="1:19" x14ac:dyDescent="0.3">
      <c r="A2797" t="s">
        <v>279</v>
      </c>
      <c r="C2797" s="23"/>
      <c r="D2797" s="23"/>
      <c r="E2797" s="23" t="s">
        <v>138</v>
      </c>
      <c r="O2797" s="7"/>
      <c r="P2797" s="7">
        <f ca="1">O2796*P2782</f>
        <v>348.14783263523441</v>
      </c>
      <c r="Q2797" s="7">
        <f ca="1">P2796*Q2782+P2797</f>
        <v>352.80765747204447</v>
      </c>
      <c r="R2797" s="7">
        <f ca="1">Q2796*R2782+Q2797</f>
        <v>358.25161835035914</v>
      </c>
    </row>
    <row r="2798" spans="1:19" x14ac:dyDescent="0.3">
      <c r="A2798" t="s">
        <v>279</v>
      </c>
      <c r="C2798" s="23"/>
      <c r="D2798" s="23"/>
      <c r="E2798" s="23"/>
      <c r="O2798" s="7"/>
    </row>
    <row r="2799" spans="1:19" x14ac:dyDescent="0.3">
      <c r="A2799" t="s">
        <v>279</v>
      </c>
      <c r="C2799" s="23"/>
      <c r="D2799" s="23"/>
      <c r="E2799" s="23" t="s">
        <v>137</v>
      </c>
      <c r="O2799" s="7"/>
      <c r="P2799" s="7">
        <f ca="1">O2794*(1-P2780)+O2795*(1-P2781)+O2796*(1-P2782)</f>
        <v>221.1917083744197</v>
      </c>
      <c r="Q2799" s="7">
        <f ca="1">P2795*(1-Q2781)+P2799</f>
        <v>222.55269859399837</v>
      </c>
      <c r="R2799" s="7">
        <f ca="1">Q2796*(1-R2782)+Q2799</f>
        <v>222.55269859399837</v>
      </c>
    </row>
    <row r="2800" spans="1:19" x14ac:dyDescent="0.3">
      <c r="A2800" t="s">
        <v>279</v>
      </c>
      <c r="C2800" s="23"/>
      <c r="D2800" s="23"/>
      <c r="E2800" s="23"/>
      <c r="O2800" s="7"/>
      <c r="S2800" s="143"/>
    </row>
    <row r="2801" spans="1:18" x14ac:dyDescent="0.3">
      <c r="A2801" t="s">
        <v>279</v>
      </c>
      <c r="C2801" s="11"/>
      <c r="D2801" s="11"/>
      <c r="E2801" s="11" t="s">
        <v>139</v>
      </c>
      <c r="N2801" s="8">
        <f ca="1">SUM(N2802:N2803)</f>
        <v>2912.3905230062874</v>
      </c>
      <c r="O2801" s="8">
        <f ca="1">SUM(O2802:O2803)</f>
        <v>226.83170326311048</v>
      </c>
      <c r="P2801" s="8">
        <f ca="1">SUM(P2802:P2803)</f>
        <v>221.1917083744197</v>
      </c>
      <c r="Q2801" s="8">
        <f ca="1">SUM(Q2802:Q2803)</f>
        <v>1.3609902195786625</v>
      </c>
    </row>
    <row r="2802" spans="1:18" x14ac:dyDescent="0.3">
      <c r="A2802" t="s">
        <v>279</v>
      </c>
      <c r="C2802" s="23"/>
      <c r="D2802" s="23"/>
      <c r="E2802" s="23" t="s">
        <v>120</v>
      </c>
      <c r="N2802" s="7">
        <f ca="1">N2794</f>
        <v>2912.3905230062874</v>
      </c>
      <c r="O2802" s="7">
        <f ca="1">N2832*(1-O2780)</f>
        <v>139.79474510430191</v>
      </c>
      <c r="P2802" s="7">
        <f ca="1">O2794*(1-P2780)</f>
        <v>220.02675216521718</v>
      </c>
    </row>
    <row r="2803" spans="1:18" x14ac:dyDescent="0.3">
      <c r="A2803" t="s">
        <v>279</v>
      </c>
      <c r="C2803" s="24"/>
      <c r="D2803" s="24"/>
      <c r="E2803" s="24" t="s">
        <v>122</v>
      </c>
      <c r="O2803" s="7">
        <f ca="1">N2795*(1-O2781)</f>
        <v>87.036958158808574</v>
      </c>
      <c r="P2803" s="7">
        <f ca="1">O2795*(1-P2781)</f>
        <v>1.1649562092025159</v>
      </c>
      <c r="Q2803" s="7">
        <f ca="1">P2795*(1-Q2781)</f>
        <v>1.3609902195786625</v>
      </c>
    </row>
    <row r="2804" spans="1:18" x14ac:dyDescent="0.3">
      <c r="A2804" t="s">
        <v>279</v>
      </c>
      <c r="C2804" s="23"/>
      <c r="D2804" s="23"/>
      <c r="E2804" s="23"/>
      <c r="O2804" s="7"/>
      <c r="P2804" s="7">
        <f ca="1">O2796*(1-P2782)</f>
        <v>0</v>
      </c>
      <c r="Q2804" s="7">
        <f ca="1">P2796*(1-Q2782)</f>
        <v>0</v>
      </c>
    </row>
    <row r="2805" spans="1:18" x14ac:dyDescent="0.3">
      <c r="A2805" t="s">
        <v>279</v>
      </c>
      <c r="C2805" s="81"/>
      <c r="D2805" s="81"/>
      <c r="E2805" s="81" t="s">
        <v>123</v>
      </c>
    </row>
    <row r="2806" spans="1:18" x14ac:dyDescent="0.3">
      <c r="A2806" t="s">
        <v>279</v>
      </c>
      <c r="C2806" s="23"/>
      <c r="D2806" s="23"/>
      <c r="E2806" s="23" t="s">
        <v>120</v>
      </c>
      <c r="N2806" s="7">
        <f ca="1">M2767-N2774</f>
        <v>51.282051282051285</v>
      </c>
      <c r="O2806" s="7">
        <f ca="1">N2806-O2774</f>
        <v>25.641025641025646</v>
      </c>
      <c r="P2806" s="7">
        <f ca="1">O2806-P2774</f>
        <v>0</v>
      </c>
    </row>
    <row r="2807" spans="1:18" x14ac:dyDescent="0.3">
      <c r="A2807" t="s">
        <v>279</v>
      </c>
      <c r="C2807" s="24"/>
      <c r="D2807" s="24"/>
      <c r="E2807" s="24" t="s">
        <v>122</v>
      </c>
      <c r="N2807" s="7">
        <f ca="1">M2767</f>
        <v>76.92307692307692</v>
      </c>
      <c r="O2807" s="7">
        <f ca="1">N2806</f>
        <v>51.282051282051285</v>
      </c>
      <c r="P2807" s="7">
        <f ca="1">O2806</f>
        <v>25.641025641025646</v>
      </c>
    </row>
    <row r="2808" spans="1:18" x14ac:dyDescent="0.3">
      <c r="A2808" t="s">
        <v>279</v>
      </c>
      <c r="C2808" s="23"/>
      <c r="D2808" s="23"/>
      <c r="E2808" s="23" t="s">
        <v>121</v>
      </c>
      <c r="O2808" s="7">
        <f ca="1">N2807</f>
        <v>76.92307692307692</v>
      </c>
      <c r="P2808" s="7">
        <f ca="1">O2807</f>
        <v>51.282051282051285</v>
      </c>
      <c r="Q2808" s="7">
        <f ca="1">P2807</f>
        <v>25.641025641025646</v>
      </c>
    </row>
    <row r="2809" spans="1:18" x14ac:dyDescent="0.3">
      <c r="A2809" t="s">
        <v>279</v>
      </c>
      <c r="C2809" s="23"/>
      <c r="D2809" s="23"/>
      <c r="E2809" s="23"/>
      <c r="P2809" s="7"/>
      <c r="Q2809" s="7"/>
    </row>
    <row r="2810" spans="1:18" x14ac:dyDescent="0.3">
      <c r="A2810" t="s">
        <v>279</v>
      </c>
      <c r="C2810" s="23"/>
      <c r="D2810" s="23"/>
      <c r="E2810" s="23"/>
      <c r="P2810" s="7"/>
      <c r="Q2810" s="7"/>
    </row>
    <row r="2811" spans="1:18" x14ac:dyDescent="0.3">
      <c r="A2811" t="s">
        <v>279</v>
      </c>
      <c r="C2811" s="11"/>
      <c r="D2811" s="11"/>
      <c r="E2811" s="11" t="s">
        <v>130</v>
      </c>
      <c r="N2811" s="8">
        <f ca="1">SUM(N2812:N2815)</f>
        <v>182829.11329217191</v>
      </c>
      <c r="O2811" s="8">
        <f ca="1">SUM(O2812:O2815)</f>
        <v>32895.50675027792</v>
      </c>
      <c r="P2811" s="8">
        <f ca="1">SUM(P2812:P2815)</f>
        <v>27194.053812236321</v>
      </c>
      <c r="Q2811" s="8">
        <f ca="1">SUM(Q2812:Q2815)</f>
        <v>27159.156627118922</v>
      </c>
    </row>
    <row r="2812" spans="1:18" x14ac:dyDescent="0.3">
      <c r="A2812" t="s">
        <v>279</v>
      </c>
      <c r="C2812" s="23"/>
      <c r="D2812" s="23"/>
      <c r="E2812" s="23" t="s">
        <v>120</v>
      </c>
      <c r="N2812" s="7">
        <f t="shared" ref="N2812:P2813" ca="1" si="190">N2806*N2794</f>
        <v>149353.36015416859</v>
      </c>
      <c r="O2812" s="7">
        <f t="shared" ca="1" si="190"/>
        <v>5816.1975195669365</v>
      </c>
      <c r="P2812" s="7">
        <f t="shared" ca="1" si="190"/>
        <v>0</v>
      </c>
    </row>
    <row r="2813" spans="1:18" x14ac:dyDescent="0.3">
      <c r="A2813" t="s">
        <v>279</v>
      </c>
      <c r="C2813" s="24"/>
      <c r="D2813" s="24"/>
      <c r="E2813" s="24" t="s">
        <v>122</v>
      </c>
      <c r="N2813" s="7">
        <f t="shared" ca="1" si="190"/>
        <v>33475.753138003303</v>
      </c>
      <c r="O2813" s="7">
        <f t="shared" ca="1" si="190"/>
        <v>298.70672030833748</v>
      </c>
      <c r="P2813" s="7">
        <f t="shared" ca="1" si="190"/>
        <v>174.48592558700807</v>
      </c>
      <c r="Q2813" s="7">
        <f>Q2807*Q2795</f>
        <v>0</v>
      </c>
    </row>
    <row r="2814" spans="1:18" x14ac:dyDescent="0.3">
      <c r="A2814" t="s">
        <v>279</v>
      </c>
      <c r="C2814" s="23"/>
      <c r="D2814" s="23"/>
      <c r="E2814" s="23" t="s">
        <v>121</v>
      </c>
      <c r="O2814" s="7">
        <f ca="1">O2808*O2796</f>
        <v>26780.602510402645</v>
      </c>
      <c r="P2814" s="7">
        <f ca="1">P2808*P2796</f>
        <v>238.96537624666999</v>
      </c>
      <c r="Q2814" s="7">
        <f ca="1">Q2808*Q2796</f>
        <v>139.58874046960648</v>
      </c>
    </row>
    <row r="2815" spans="1:18" x14ac:dyDescent="0.3">
      <c r="A2815" t="s">
        <v>279</v>
      </c>
      <c r="C2815" s="23"/>
      <c r="D2815" s="23"/>
      <c r="E2815" s="23" t="s">
        <v>299</v>
      </c>
      <c r="P2815" s="8">
        <f ca="1">O2814</f>
        <v>26780.602510402645</v>
      </c>
      <c r="Q2815" s="8">
        <f ca="1">P2815+P2814</f>
        <v>27019.567886649314</v>
      </c>
      <c r="R2815" s="8">
        <f ca="1">Q2815+Q2814</f>
        <v>27159.156627118922</v>
      </c>
    </row>
    <row r="2816" spans="1:18" x14ac:dyDescent="0.3">
      <c r="A2816" t="s">
        <v>279</v>
      </c>
      <c r="C2816" s="23"/>
      <c r="D2816" s="23"/>
      <c r="E2816" s="23"/>
    </row>
    <row r="2817" spans="1:17" x14ac:dyDescent="0.3">
      <c r="A2817" t="s">
        <v>279</v>
      </c>
      <c r="C2817" s="105"/>
      <c r="D2817" s="105"/>
      <c r="E2817" s="105" t="s">
        <v>300</v>
      </c>
      <c r="M2817" s="8">
        <f ca="1">R2815</f>
        <v>27159.156627118922</v>
      </c>
    </row>
    <row r="2818" spans="1:17" x14ac:dyDescent="0.3">
      <c r="A2818" t="s">
        <v>279</v>
      </c>
      <c r="C2818" s="23"/>
      <c r="D2818" s="23"/>
      <c r="E2818" s="23"/>
    </row>
    <row r="2819" spans="1:17" x14ac:dyDescent="0.3">
      <c r="A2819" t="s">
        <v>279</v>
      </c>
      <c r="C2819" s="11"/>
      <c r="D2819" s="11"/>
      <c r="E2819" s="11" t="s">
        <v>140</v>
      </c>
      <c r="N2819" s="8">
        <f ca="1">SUM(N2821:N2824)</f>
        <v>216562.37222354443</v>
      </c>
      <c r="O2819" s="8">
        <f ca="1">SUM(O2821:O2824)</f>
        <v>8047.9143954338215</v>
      </c>
      <c r="P2819" s="8">
        <f ca="1">SUM(P2821:P2824)</f>
        <v>5701.4529380415943</v>
      </c>
      <c r="Q2819" s="8">
        <f ca="1">SUM(Q2821:Q2824)</f>
        <v>34.897185117401598</v>
      </c>
    </row>
    <row r="2820" spans="1:17" x14ac:dyDescent="0.3">
      <c r="A2820" t="s">
        <v>279</v>
      </c>
      <c r="C2820" s="11"/>
      <c r="D2820" s="11"/>
      <c r="E2820" s="11"/>
      <c r="N2820" s="8"/>
      <c r="O2820" s="8"/>
      <c r="P2820" s="8"/>
      <c r="Q2820" s="8"/>
    </row>
    <row r="2821" spans="1:17" x14ac:dyDescent="0.3">
      <c r="A2821" t="s">
        <v>279</v>
      </c>
      <c r="E2821" t="s">
        <v>131</v>
      </c>
      <c r="G2821" s="23" t="s">
        <v>120</v>
      </c>
      <c r="N2821" s="6">
        <f ca="1">N2830*N2775</f>
        <v>212828.53821969021</v>
      </c>
    </row>
    <row r="2822" spans="1:17" x14ac:dyDescent="0.3">
      <c r="A2822" t="s">
        <v>279</v>
      </c>
      <c r="G2822" s="23"/>
      <c r="N2822" s="6"/>
    </row>
    <row r="2823" spans="1:17" x14ac:dyDescent="0.3">
      <c r="A2823" t="s">
        <v>279</v>
      </c>
      <c r="E2823" t="s">
        <v>200</v>
      </c>
      <c r="G2823" s="23" t="s">
        <v>120</v>
      </c>
      <c r="N2823" s="6">
        <f ca="1">N2832*N2774</f>
        <v>3733.8340038542174</v>
      </c>
      <c r="O2823" s="27">
        <f ca="1">O2802*O2774</f>
        <v>3584.4806437000489</v>
      </c>
      <c r="P2823" s="27">
        <f ca="1">P2802*P2774</f>
        <v>5641.7115939799269</v>
      </c>
      <c r="Q2823" s="27">
        <f>Q2802*Q2774</f>
        <v>0</v>
      </c>
    </row>
    <row r="2824" spans="1:17" x14ac:dyDescent="0.3">
      <c r="A2824" t="s">
        <v>279</v>
      </c>
      <c r="E2824" t="s">
        <v>200</v>
      </c>
      <c r="G2824" s="24" t="s">
        <v>122</v>
      </c>
      <c r="N2824" s="6"/>
      <c r="O2824" s="27">
        <f ca="1">O2803*(N2774+O2774)</f>
        <v>4463.4337517337726</v>
      </c>
      <c r="P2824" s="27">
        <f ca="1">P2803*(O2774+P2774)</f>
        <v>59.741344061667476</v>
      </c>
      <c r="Q2824" s="27">
        <f ca="1">Q2803*(P2774+Q2774)</f>
        <v>34.897185117401598</v>
      </c>
    </row>
    <row r="2825" spans="1:17" x14ac:dyDescent="0.3">
      <c r="A2825" t="s">
        <v>279</v>
      </c>
    </row>
    <row r="2826" spans="1:17" x14ac:dyDescent="0.3">
      <c r="A2826" t="s">
        <v>279</v>
      </c>
      <c r="C2826" s="11"/>
      <c r="D2826" s="11"/>
      <c r="E2826" s="11" t="s">
        <v>283</v>
      </c>
      <c r="N2826" s="8">
        <f ca="1">SUM(N2823:Q2824)</f>
        <v>17518.098522447039</v>
      </c>
    </row>
    <row r="2827" spans="1:17" x14ac:dyDescent="0.3">
      <c r="A2827" t="s">
        <v>279</v>
      </c>
    </row>
    <row r="2828" spans="1:17" x14ac:dyDescent="0.3">
      <c r="A2828" t="s">
        <v>279</v>
      </c>
      <c r="E2828" t="s">
        <v>202</v>
      </c>
      <c r="N2828" s="28">
        <f ca="1">N2830*(O2774+P2774)</f>
        <v>141885.69214646015</v>
      </c>
    </row>
    <row r="2829" spans="1:17" x14ac:dyDescent="0.3">
      <c r="A2829" t="s">
        <v>279</v>
      </c>
    </row>
    <row r="2830" spans="1:17" x14ac:dyDescent="0.3">
      <c r="A2830" t="s">
        <v>279</v>
      </c>
      <c r="C2830" t="s">
        <v>352</v>
      </c>
      <c r="D2830" t="s">
        <v>353</v>
      </c>
      <c r="E2830" s="72" t="s">
        <v>132</v>
      </c>
      <c r="N2830" s="73">
        <f ca="1">N2794*M2776</f>
        <v>2766.770996855973</v>
      </c>
    </row>
    <row r="2831" spans="1:17" x14ac:dyDescent="0.3">
      <c r="A2831" t="s">
        <v>279</v>
      </c>
    </row>
    <row r="2832" spans="1:17" x14ac:dyDescent="0.3">
      <c r="A2832" t="s">
        <v>279</v>
      </c>
      <c r="E2832" t="s">
        <v>201</v>
      </c>
      <c r="N2832" s="7">
        <f ca="1">N2794*M2777</f>
        <v>145.6195261503145</v>
      </c>
    </row>
    <row r="2837" spans="1:46" x14ac:dyDescent="0.3">
      <c r="E2837" s="155" t="s">
        <v>353</v>
      </c>
      <c r="F2837" s="156"/>
      <c r="G2837" s="156"/>
      <c r="H2837" s="156"/>
      <c r="I2837" s="156"/>
      <c r="J2837" s="156"/>
      <c r="K2837" s="156"/>
      <c r="L2837" s="156"/>
      <c r="M2837" s="156"/>
      <c r="N2837" s="156"/>
      <c r="O2837" s="156"/>
      <c r="P2837" s="156"/>
      <c r="Q2837" s="156"/>
      <c r="R2837" s="156"/>
      <c r="S2837" s="156"/>
      <c r="T2837" s="156"/>
      <c r="U2837" s="156"/>
      <c r="V2837" s="156"/>
      <c r="W2837" s="156"/>
      <c r="X2837" s="156"/>
      <c r="Y2837" s="157"/>
      <c r="Z2837" s="152"/>
      <c r="AA2837" s="153"/>
      <c r="AB2837" s="153"/>
      <c r="AC2837" s="153"/>
      <c r="AD2837" s="153"/>
      <c r="AE2837" s="153"/>
      <c r="AF2837" s="153"/>
      <c r="AG2837" s="153"/>
      <c r="AH2837" s="153"/>
      <c r="AI2837" s="153"/>
      <c r="AJ2837" s="153"/>
      <c r="AK2837" s="153"/>
      <c r="AL2837" s="153"/>
      <c r="AM2837" s="153"/>
      <c r="AN2837" s="153"/>
      <c r="AO2837" s="153"/>
      <c r="AP2837" s="153"/>
      <c r="AQ2837" s="153"/>
      <c r="AR2837" s="153"/>
      <c r="AS2837" s="153"/>
      <c r="AT2837" s="154"/>
    </row>
    <row r="2839" spans="1:46" x14ac:dyDescent="0.3">
      <c r="A2839" t="s">
        <v>340</v>
      </c>
      <c r="B2839" t="s">
        <v>352</v>
      </c>
      <c r="C2839" t="s">
        <v>353</v>
      </c>
      <c r="E2839" t="s">
        <v>197</v>
      </c>
      <c r="N2839" s="83">
        <f ca="1">SUMIFS(OFFSET(N$47,0,0,5959),$D$47:$D$6005,$C2839,$E$47:$E$6005,$E$119)</f>
        <v>2766.770996855973</v>
      </c>
      <c r="O2839" s="7"/>
    </row>
    <row r="2840" spans="1:46" x14ac:dyDescent="0.3">
      <c r="A2840" t="s">
        <v>340</v>
      </c>
      <c r="E2840" t="s">
        <v>206</v>
      </c>
      <c r="N2840" s="7">
        <f ca="1">N2842*N2839</f>
        <v>2766.770996855973</v>
      </c>
      <c r="Q2840" s="77"/>
    </row>
    <row r="2841" spans="1:46" x14ac:dyDescent="0.3">
      <c r="A2841" t="s">
        <v>340</v>
      </c>
      <c r="N2841" s="7"/>
      <c r="Q2841" s="77"/>
    </row>
    <row r="2842" spans="1:46" x14ac:dyDescent="0.3">
      <c r="A2842" t="s">
        <v>340</v>
      </c>
      <c r="C2842" s="11"/>
      <c r="D2842" s="11"/>
      <c r="E2842" s="11" t="s">
        <v>134</v>
      </c>
      <c r="F2842" s="11"/>
      <c r="G2842" s="11"/>
      <c r="N2842" s="104">
        <f>N2843*N2844*N2845*N2846</f>
        <v>1</v>
      </c>
      <c r="O2842" s="7"/>
      <c r="P2842" s="11"/>
      <c r="R2842" s="11"/>
    </row>
    <row r="2843" spans="1:46" x14ac:dyDescent="0.3">
      <c r="A2843" t="s">
        <v>340</v>
      </c>
      <c r="E2843" t="s">
        <v>35</v>
      </c>
      <c r="N2843" s="89">
        <f>SUMIFS('Summary500-600'!$C$163:$C$264,'Summary500-600'!$A$163:$A$264,$A2843,'Summary500-600'!$B$163:$B$264,$E2843)</f>
        <v>1</v>
      </c>
    </row>
    <row r="2844" spans="1:46" x14ac:dyDescent="0.3">
      <c r="A2844" t="s">
        <v>340</v>
      </c>
      <c r="E2844" t="s">
        <v>36</v>
      </c>
      <c r="N2844" s="89">
        <f>SUMIFS('Summary500-600'!$C$163:$C$264,'Summary500-600'!$A$163:$A$264,$A2844,'Summary500-600'!$B$163:$B$264,$E2844)</f>
        <v>1</v>
      </c>
    </row>
    <row r="2845" spans="1:46" x14ac:dyDescent="0.3">
      <c r="A2845" t="s">
        <v>340</v>
      </c>
      <c r="E2845" t="s">
        <v>142</v>
      </c>
      <c r="N2845" s="89">
        <f>SUMIFS('Summary500-600'!$C$163:$C$264,'Summary500-600'!$A$163:$A$264,$A2845,'Summary500-600'!$B$163:$B$264,$E2845)</f>
        <v>1</v>
      </c>
    </row>
    <row r="2846" spans="1:46" x14ac:dyDescent="0.3">
      <c r="A2846" t="s">
        <v>340</v>
      </c>
      <c r="E2846" t="s">
        <v>37</v>
      </c>
      <c r="N2846" s="89">
        <f>SUMIFS('Summary500-600'!$C$163:$C$264,'Summary500-600'!$A$163:$A$264,$A2846,'Summary500-600'!$B$163:$B$264,$E2846)</f>
        <v>1</v>
      </c>
    </row>
    <row r="2847" spans="1:46" x14ac:dyDescent="0.3">
      <c r="A2847" t="s">
        <v>340</v>
      </c>
    </row>
    <row r="2848" spans="1:46" x14ac:dyDescent="0.3">
      <c r="A2848" t="s">
        <v>340</v>
      </c>
    </row>
    <row r="2849" spans="1:17" x14ac:dyDescent="0.3">
      <c r="A2849" t="s">
        <v>340</v>
      </c>
      <c r="E2849" t="s">
        <v>125</v>
      </c>
      <c r="N2849" s="83">
        <f ca="1">OFFSET($E$30,MATCH($A2849,$E$30:$E$45,0)-1,1)</f>
        <v>64.102564102564102</v>
      </c>
    </row>
    <row r="2850" spans="1:17" x14ac:dyDescent="0.3">
      <c r="A2850" t="s">
        <v>340</v>
      </c>
      <c r="E2850" t="s">
        <v>135</v>
      </c>
      <c r="N2850" s="82">
        <f ca="1">N2849</f>
        <v>64.102564102564102</v>
      </c>
    </row>
    <row r="2851" spans="1:17" x14ac:dyDescent="0.3">
      <c r="A2851" t="s">
        <v>340</v>
      </c>
    </row>
    <row r="2852" spans="1:17" x14ac:dyDescent="0.3">
      <c r="A2852" t="s">
        <v>340</v>
      </c>
      <c r="E2852" t="s">
        <v>126</v>
      </c>
      <c r="N2852" s="88">
        <f>$H$52</f>
        <v>0.2</v>
      </c>
    </row>
    <row r="2853" spans="1:17" x14ac:dyDescent="0.3">
      <c r="A2853" t="s">
        <v>340</v>
      </c>
      <c r="E2853" t="s">
        <v>117</v>
      </c>
      <c r="N2853" s="7">
        <f ca="1">N2852*N2849</f>
        <v>12.820512820512821</v>
      </c>
    </row>
    <row r="2854" spans="1:17" x14ac:dyDescent="0.3">
      <c r="A2854" t="s">
        <v>340</v>
      </c>
    </row>
    <row r="2855" spans="1:17" x14ac:dyDescent="0.3">
      <c r="A2855" t="s">
        <v>340</v>
      </c>
      <c r="E2855" t="s">
        <v>118</v>
      </c>
      <c r="N2855" s="7">
        <f ca="1">N2850</f>
        <v>64.102564102564102</v>
      </c>
    </row>
    <row r="2856" spans="1:17" x14ac:dyDescent="0.3">
      <c r="A2856" t="s">
        <v>340</v>
      </c>
      <c r="E2856" t="s">
        <v>106</v>
      </c>
      <c r="N2856" s="7">
        <f ca="1">N2849*(1+N2852)</f>
        <v>76.92307692307692</v>
      </c>
    </row>
    <row r="2857" spans="1:17" x14ac:dyDescent="0.3">
      <c r="A2857" t="s">
        <v>340</v>
      </c>
      <c r="N2857" s="7"/>
    </row>
    <row r="2858" spans="1:17" x14ac:dyDescent="0.3">
      <c r="A2858" t="s">
        <v>340</v>
      </c>
      <c r="E2858" t="s">
        <v>136</v>
      </c>
      <c r="N2858" s="7">
        <f ca="1">N2855*N2840</f>
        <v>177357.11518307519</v>
      </c>
    </row>
    <row r="2859" spans="1:17" x14ac:dyDescent="0.3">
      <c r="A2859" t="s">
        <v>340</v>
      </c>
      <c r="E2859" t="s">
        <v>119</v>
      </c>
      <c r="N2859" s="7">
        <f ca="1">N2856*N2840</f>
        <v>212828.53821969021</v>
      </c>
    </row>
    <row r="2860" spans="1:17" x14ac:dyDescent="0.3">
      <c r="A2860" t="s">
        <v>340</v>
      </c>
      <c r="N2860" s="7"/>
    </row>
    <row r="2861" spans="1:17" x14ac:dyDescent="0.3">
      <c r="A2861" t="s">
        <v>340</v>
      </c>
      <c r="E2861" t="s">
        <v>302</v>
      </c>
      <c r="N2861" s="6">
        <f ca="1">N2853*N2840</f>
        <v>35471.423036615037</v>
      </c>
    </row>
    <row r="2862" spans="1:17" x14ac:dyDescent="0.3">
      <c r="A2862" t="s">
        <v>340</v>
      </c>
      <c r="N2862" s="7"/>
    </row>
    <row r="2863" spans="1:17" x14ac:dyDescent="0.3">
      <c r="A2863" t="s">
        <v>340</v>
      </c>
      <c r="E2863" t="s">
        <v>127</v>
      </c>
      <c r="O2863" s="7">
        <f ca="1">N2856/3</f>
        <v>25.641025641025639</v>
      </c>
      <c r="P2863" s="7">
        <f ca="1">N2856/3</f>
        <v>25.641025641025639</v>
      </c>
      <c r="Q2863" s="7">
        <f ca="1">N2856/3</f>
        <v>25.641025641025639</v>
      </c>
    </row>
    <row r="2864" spans="1:17" x14ac:dyDescent="0.3">
      <c r="A2864" t="s">
        <v>340</v>
      </c>
      <c r="O2864" s="7">
        <f ca="1">N2856</f>
        <v>76.92307692307692</v>
      </c>
    </row>
    <row r="2865" spans="1:19" s="103" customFormat="1" x14ac:dyDescent="0.3">
      <c r="A2865" t="s">
        <v>340</v>
      </c>
      <c r="E2865" s="100" t="s">
        <v>128</v>
      </c>
      <c r="N2865" s="139">
        <f ca="1">OFFSET('Summary500-600'!$B$38,MATCH($A2865,'Summary500-600'!$B$38:$B$52,0)-1,1)</f>
        <v>0.95</v>
      </c>
    </row>
    <row r="2866" spans="1:19" s="103" customFormat="1" x14ac:dyDescent="0.3">
      <c r="A2866" t="s">
        <v>340</v>
      </c>
      <c r="E2866" s="103" t="s">
        <v>129</v>
      </c>
      <c r="N2866" s="79">
        <f ca="1">1-N2865</f>
        <v>5.0000000000000044E-2</v>
      </c>
    </row>
    <row r="2867" spans="1:19" x14ac:dyDescent="0.3">
      <c r="A2867" t="s">
        <v>340</v>
      </c>
    </row>
    <row r="2868" spans="1:19" x14ac:dyDescent="0.3">
      <c r="A2868" t="s">
        <v>340</v>
      </c>
      <c r="C2868" s="71"/>
      <c r="D2868" s="71"/>
      <c r="E2868" s="71" t="s">
        <v>16</v>
      </c>
    </row>
    <row r="2869" spans="1:19" x14ac:dyDescent="0.3">
      <c r="A2869" t="s">
        <v>340</v>
      </c>
      <c r="E2869" t="s">
        <v>17</v>
      </c>
      <c r="O2869" s="74">
        <f ca="1">SUMIFS(OFFSET('Summary500-600'!$C$57,0,0,105,1),'Summary500-600'!$A$57:$A$161,'Model500-600'!$A2869,'Summary500-600'!$B$57:$B$161,'Summary500-600'!$B$58)</f>
        <v>0.09</v>
      </c>
      <c r="P2869" s="74">
        <f ca="1">SUMIFS(OFFSET('Summary500-600'!$C$57,0,0,105,1),'Summary500-600'!$A$57:$A$161,'Model500-600'!$A2869,'Summary500-600'!$B$57:$B$161,'Summary500-600'!$B$59)</f>
        <v>0.03</v>
      </c>
      <c r="Q2869" s="74">
        <f ca="1">SUMIFS(OFFSET('Summary500-600'!$C$57,0,0,105,1),'Summary500-600'!$A$57:$A$161,'Model500-600'!$A2869,'Summary500-600'!$B$57:$B$161,'Summary500-600'!$B$60)</f>
        <v>0.01</v>
      </c>
      <c r="R2869" s="75"/>
      <c r="S2869" s="75"/>
    </row>
    <row r="2870" spans="1:19" x14ac:dyDescent="0.3">
      <c r="A2870" t="s">
        <v>340</v>
      </c>
      <c r="E2870" t="s">
        <v>18</v>
      </c>
      <c r="G2870" s="75"/>
      <c r="P2870" s="74">
        <f ca="1">SUMIFS(OFFSET('Summary500-600'!$C$57,0,0,105,1),'Summary500-600'!$A$57:$A$161,'Model500-600'!$A2870,'Summary500-600'!$B$57:$B$161,'Summary500-600'!$B$61)</f>
        <v>0.8</v>
      </c>
      <c r="Q2870" s="76">
        <f ca="1">P2870</f>
        <v>0.8</v>
      </c>
      <c r="R2870" s="76">
        <f ca="1">Q2870</f>
        <v>0.8</v>
      </c>
      <c r="S2870" s="75"/>
    </row>
    <row r="2871" spans="1:19" x14ac:dyDescent="0.3">
      <c r="A2871" t="s">
        <v>340</v>
      </c>
      <c r="E2871" t="s">
        <v>19</v>
      </c>
      <c r="G2871" s="75"/>
      <c r="P2871" s="75"/>
      <c r="Q2871" s="74">
        <f ca="1">SUMIFS(OFFSET('Summary500-600'!$C$57,0,0,105,1),'Summary500-600'!$A$57:$A$161,'Model500-600'!$A2871,'Summary500-600'!$B$57:$B$161,'Summary500-600'!$B$62)</f>
        <v>1</v>
      </c>
      <c r="R2871" s="74">
        <f ca="1">Q2871</f>
        <v>1</v>
      </c>
      <c r="S2871" s="74">
        <f ca="1">R2871</f>
        <v>1</v>
      </c>
    </row>
    <row r="2872" spans="1:19" x14ac:dyDescent="0.3">
      <c r="A2872" t="s">
        <v>340</v>
      </c>
      <c r="E2872" t="s">
        <v>20</v>
      </c>
      <c r="Q2872" s="21"/>
    </row>
    <row r="2873" spans="1:19" x14ac:dyDescent="0.3">
      <c r="A2873" t="s">
        <v>340</v>
      </c>
      <c r="Q2873" s="21"/>
    </row>
    <row r="2874" spans="1:19" x14ac:dyDescent="0.3">
      <c r="A2874" t="s">
        <v>340</v>
      </c>
      <c r="C2874" s="11"/>
      <c r="D2874" s="11"/>
      <c r="E2874" s="11" t="s">
        <v>196</v>
      </c>
      <c r="O2874" s="90">
        <f ca="1">SUM(O2875:O2878)</f>
        <v>0.13550000000000004</v>
      </c>
      <c r="P2874" s="90">
        <f ca="1">SUM(P2875:P2878)</f>
        <v>0.13550000000000001</v>
      </c>
      <c r="Q2874" s="90">
        <f ca="1">SUM(Q2875:Q2878)</f>
        <v>7.3713349999999997E-2</v>
      </c>
      <c r="R2874" s="90">
        <f ca="1">SUM(R2875:R2878)</f>
        <v>7.3589079999999987E-2</v>
      </c>
    </row>
    <row r="2875" spans="1:19" x14ac:dyDescent="0.3">
      <c r="A2875" t="s">
        <v>340</v>
      </c>
      <c r="E2875" t="s">
        <v>17</v>
      </c>
      <c r="O2875" s="22">
        <f ca="1">(1-O2869)*N2866</f>
        <v>4.550000000000004E-2</v>
      </c>
      <c r="P2875" s="22">
        <f ca="1">O2875*(1-P2869)+O2876*(1-P2870)</f>
        <v>6.213500000000003E-2</v>
      </c>
    </row>
    <row r="2876" spans="1:19" x14ac:dyDescent="0.3">
      <c r="A2876" t="s">
        <v>340</v>
      </c>
      <c r="E2876" t="s">
        <v>18</v>
      </c>
      <c r="O2876" s="22">
        <f ca="1">O2869</f>
        <v>0.09</v>
      </c>
      <c r="P2876" s="22">
        <f ca="1">O2875*P2869</f>
        <v>1.3650000000000012E-3</v>
      </c>
      <c r="Q2876" s="22">
        <f ca="1">P2875*Q2869</f>
        <v>6.2135000000000033E-4</v>
      </c>
      <c r="S2876" s="22"/>
    </row>
    <row r="2877" spans="1:19" x14ac:dyDescent="0.3">
      <c r="A2877" t="s">
        <v>340</v>
      </c>
      <c r="E2877" t="s">
        <v>19</v>
      </c>
      <c r="P2877" s="22">
        <f ca="1">O2876*P2870</f>
        <v>7.1999999999999995E-2</v>
      </c>
      <c r="Q2877" s="22">
        <f ca="1">P2876*Q2870+P2877</f>
        <v>7.309199999999999E-2</v>
      </c>
      <c r="R2877" s="22">
        <f ca="1">Q2876*R2870+Q2877</f>
        <v>7.3589079999999987E-2</v>
      </c>
    </row>
    <row r="2878" spans="1:19" x14ac:dyDescent="0.3">
      <c r="A2878" t="s">
        <v>340</v>
      </c>
      <c r="P2878" s="22"/>
      <c r="Q2878" s="22"/>
    </row>
    <row r="2879" spans="1:19" x14ac:dyDescent="0.3">
      <c r="A2879" t="s">
        <v>340</v>
      </c>
      <c r="E2879" t="s">
        <v>195</v>
      </c>
      <c r="O2879" s="22">
        <f ca="1">(1-O2869)*N2865</f>
        <v>0.86449999999999994</v>
      </c>
      <c r="Q2879" s="29">
        <f ca="1">P2875*(1-Q2869)+P2876*(1-Q2870)+P2877*(1-Q2871)</f>
        <v>6.1786650000000033E-2</v>
      </c>
      <c r="R2879" s="29">
        <f ca="1">Q2876*(1-R2870)+Q2879</f>
        <v>6.1910920000000036E-2</v>
      </c>
      <c r="S2879" s="22"/>
    </row>
    <row r="2880" spans="1:19" x14ac:dyDescent="0.3">
      <c r="A2880" t="s">
        <v>340</v>
      </c>
      <c r="O2880" s="22"/>
      <c r="Q2880" s="29"/>
      <c r="R2880" s="29"/>
      <c r="S2880" s="22"/>
    </row>
    <row r="2881" spans="1:19" x14ac:dyDescent="0.3">
      <c r="A2881" t="s">
        <v>340</v>
      </c>
      <c r="O2881" s="25" t="s">
        <v>32</v>
      </c>
    </row>
    <row r="2882" spans="1:19" x14ac:dyDescent="0.3">
      <c r="A2882" t="s">
        <v>340</v>
      </c>
      <c r="C2882" s="11"/>
      <c r="D2882" s="11"/>
      <c r="E2882" s="11" t="s">
        <v>124</v>
      </c>
      <c r="O2882" s="8">
        <f ca="1">SUM(O2883:O2886)</f>
        <v>2766.7709968559734</v>
      </c>
      <c r="P2882" s="8">
        <f ca="1">SUM(P2883:P2886)</f>
        <v>374.89747007398444</v>
      </c>
      <c r="Q2882" s="8">
        <f ca="1">SUM(Q2883:Q2886)</f>
        <v>203.94795886109324</v>
      </c>
    </row>
    <row r="2883" spans="1:19" x14ac:dyDescent="0.3">
      <c r="A2883" t="s">
        <v>340</v>
      </c>
      <c r="C2883" s="23"/>
      <c r="D2883" s="23"/>
      <c r="E2883" s="23" t="s">
        <v>120</v>
      </c>
      <c r="O2883" s="7">
        <f ca="1">N2840*(1-O2869)</f>
        <v>2517.7616071389357</v>
      </c>
      <c r="P2883" s="82">
        <f ca="1">O2921*(1-P2869)+O2884*(1-P2870)</f>
        <v>171.91331588964599</v>
      </c>
    </row>
    <row r="2884" spans="1:19" x14ac:dyDescent="0.3">
      <c r="A2884" t="s">
        <v>340</v>
      </c>
      <c r="C2884" s="24"/>
      <c r="D2884" s="24"/>
      <c r="E2884" s="24" t="s">
        <v>122</v>
      </c>
      <c r="O2884" s="7">
        <f ca="1">N2840*O2869</f>
        <v>249.00938971703755</v>
      </c>
      <c r="P2884" s="7">
        <f ca="1">O2921*P2869</f>
        <v>3.7766424107084067</v>
      </c>
      <c r="Q2884" s="7">
        <f ca="1">P2883*Q2869</f>
        <v>1.7191331588964598</v>
      </c>
      <c r="R2884" s="7">
        <f>Q2883*R2869</f>
        <v>0</v>
      </c>
    </row>
    <row r="2885" spans="1:19" x14ac:dyDescent="0.3">
      <c r="A2885" t="s">
        <v>340</v>
      </c>
      <c r="C2885" s="23"/>
      <c r="D2885" s="23"/>
      <c r="E2885" s="23" t="s">
        <v>121</v>
      </c>
      <c r="P2885" s="7">
        <f ca="1">O2884*P2870</f>
        <v>199.20751177363005</v>
      </c>
      <c r="Q2885" s="7">
        <f ca="1">P2884*Q2870</f>
        <v>3.0213139285667254</v>
      </c>
      <c r="R2885" s="7">
        <f ca="1">Q2884*R2870</f>
        <v>1.3753065271171678</v>
      </c>
    </row>
    <row r="2886" spans="1:19" x14ac:dyDescent="0.3">
      <c r="A2886" t="s">
        <v>340</v>
      </c>
      <c r="C2886" s="23"/>
      <c r="D2886" s="23"/>
      <c r="E2886" s="23" t="s">
        <v>138</v>
      </c>
      <c r="P2886" s="7"/>
      <c r="Q2886" s="7">
        <f ca="1">P2885*Q2871</f>
        <v>199.20751177363005</v>
      </c>
      <c r="R2886" s="7">
        <f ca="1">Q2885*R2871+Q2886</f>
        <v>202.22882570219676</v>
      </c>
      <c r="S2886" s="7">
        <f ca="1">R2885*S2871+R2886</f>
        <v>203.60413222931393</v>
      </c>
    </row>
    <row r="2887" spans="1:19" x14ac:dyDescent="0.3">
      <c r="A2887" t="s">
        <v>340</v>
      </c>
      <c r="C2887" s="23"/>
      <c r="D2887" s="23"/>
      <c r="E2887" s="23"/>
      <c r="P2887" s="7"/>
    </row>
    <row r="2888" spans="1:19" x14ac:dyDescent="0.3">
      <c r="A2888" t="s">
        <v>340</v>
      </c>
      <c r="C2888" s="23"/>
      <c r="D2888" s="23"/>
      <c r="E2888" s="23" t="s">
        <v>137</v>
      </c>
      <c r="P2888" s="7"/>
      <c r="Q2888" s="7">
        <f ca="1">P2883*(1-Q2869)+P2884*(1-Q2870)+P2885*(1-Q2871)</f>
        <v>170.94951121289122</v>
      </c>
      <c r="R2888" s="7">
        <f ca="1">Q2884*(1-R2870)+Q2888</f>
        <v>171.2933378446705</v>
      </c>
      <c r="S2888" s="7">
        <f ca="1">R2885*(1-S2871)+R2888</f>
        <v>171.2933378446705</v>
      </c>
    </row>
    <row r="2889" spans="1:19" x14ac:dyDescent="0.3">
      <c r="A2889" t="s">
        <v>340</v>
      </c>
      <c r="C2889" s="23"/>
      <c r="D2889" s="23"/>
      <c r="E2889" s="23"/>
      <c r="P2889" s="7"/>
    </row>
    <row r="2890" spans="1:19" x14ac:dyDescent="0.3">
      <c r="A2890" t="s">
        <v>340</v>
      </c>
      <c r="C2890" s="11"/>
      <c r="D2890" s="11"/>
      <c r="E2890" s="11" t="s">
        <v>139</v>
      </c>
      <c r="O2890" s="8">
        <f ca="1">SUM(O2891:O2892)</f>
        <v>2517.7616071389357</v>
      </c>
      <c r="P2890" s="8">
        <f ca="1">SUM(P2891:P2892)</f>
        <v>171.91331588964599</v>
      </c>
      <c r="Q2890" s="8">
        <f ca="1">SUM(Q2891:Q2892)</f>
        <v>170.94951121289122</v>
      </c>
      <c r="R2890" s="8">
        <f ca="1">SUM(R2891:R2892)</f>
        <v>0.3438266317792919</v>
      </c>
    </row>
    <row r="2891" spans="1:19" x14ac:dyDescent="0.3">
      <c r="A2891" t="s">
        <v>340</v>
      </c>
      <c r="C2891" s="23"/>
      <c r="D2891" s="23"/>
      <c r="E2891" s="23" t="s">
        <v>120</v>
      </c>
      <c r="O2891" s="7">
        <f ca="1">O2883</f>
        <v>2517.7616071389357</v>
      </c>
      <c r="P2891" s="7">
        <f ca="1">O2921*(1-P2869)</f>
        <v>122.1114379462385</v>
      </c>
      <c r="Q2891" s="7">
        <f ca="1">P2883*(1-Q2869)</f>
        <v>170.19418273074953</v>
      </c>
    </row>
    <row r="2892" spans="1:19" x14ac:dyDescent="0.3">
      <c r="A2892" t="s">
        <v>340</v>
      </c>
      <c r="C2892" s="24"/>
      <c r="D2892" s="24"/>
      <c r="E2892" s="24" t="s">
        <v>122</v>
      </c>
      <c r="P2892" s="7">
        <f ca="1">O2884*(1-P2870)</f>
        <v>49.801877943407497</v>
      </c>
      <c r="Q2892" s="7">
        <f ca="1">P2884*(1-Q2870)</f>
        <v>0.75532848214168113</v>
      </c>
      <c r="R2892" s="7">
        <f ca="1">Q2884*(1-R2870)</f>
        <v>0.3438266317792919</v>
      </c>
    </row>
    <row r="2893" spans="1:19" x14ac:dyDescent="0.3">
      <c r="A2893" t="s">
        <v>340</v>
      </c>
      <c r="C2893" s="23"/>
      <c r="D2893" s="23"/>
      <c r="E2893" s="23"/>
      <c r="P2893" s="7"/>
      <c r="Q2893" s="7">
        <f ca="1">P2885*(1-Q2871)</f>
        <v>0</v>
      </c>
      <c r="R2893" s="7">
        <f ca="1">Q2885*(1-R2871)</f>
        <v>0</v>
      </c>
    </row>
    <row r="2894" spans="1:19" x14ac:dyDescent="0.3">
      <c r="A2894" t="s">
        <v>340</v>
      </c>
      <c r="C2894" s="81"/>
      <c r="D2894" s="81"/>
      <c r="E2894" s="81" t="s">
        <v>123</v>
      </c>
    </row>
    <row r="2895" spans="1:19" x14ac:dyDescent="0.3">
      <c r="A2895" t="s">
        <v>340</v>
      </c>
      <c r="C2895" s="23"/>
      <c r="D2895" s="23"/>
      <c r="E2895" s="23" t="s">
        <v>120</v>
      </c>
      <c r="O2895" s="7">
        <f ca="1">N2856-O2863</f>
        <v>51.282051282051285</v>
      </c>
      <c r="P2895" s="7">
        <f ca="1">O2895-P2863</f>
        <v>25.641025641025646</v>
      </c>
      <c r="Q2895" s="7">
        <f ca="1">P2895-Q2863</f>
        <v>0</v>
      </c>
    </row>
    <row r="2896" spans="1:19" x14ac:dyDescent="0.3">
      <c r="A2896" t="s">
        <v>340</v>
      </c>
      <c r="C2896" s="24"/>
      <c r="D2896" s="24"/>
      <c r="E2896" s="24" t="s">
        <v>122</v>
      </c>
      <c r="O2896" s="7">
        <f ca="1">N2856</f>
        <v>76.92307692307692</v>
      </c>
      <c r="P2896" s="7">
        <f ca="1">O2895</f>
        <v>51.282051282051285</v>
      </c>
      <c r="Q2896" s="7">
        <f ca="1">P2895</f>
        <v>25.641025641025646</v>
      </c>
    </row>
    <row r="2897" spans="1:19" x14ac:dyDescent="0.3">
      <c r="A2897" t="s">
        <v>340</v>
      </c>
      <c r="C2897" s="23"/>
      <c r="D2897" s="23"/>
      <c r="E2897" s="23" t="s">
        <v>121</v>
      </c>
      <c r="P2897" s="7">
        <f ca="1">O2896</f>
        <v>76.92307692307692</v>
      </c>
      <c r="Q2897" s="7">
        <f ca="1">P2896</f>
        <v>51.282051282051285</v>
      </c>
      <c r="R2897" s="7">
        <f ca="1">Q2896</f>
        <v>25.641025641025646</v>
      </c>
    </row>
    <row r="2898" spans="1:19" x14ac:dyDescent="0.3">
      <c r="A2898" t="s">
        <v>340</v>
      </c>
      <c r="C2898" s="23"/>
      <c r="D2898" s="23"/>
      <c r="E2898" s="23"/>
      <c r="Q2898" s="7"/>
      <c r="R2898" s="7"/>
    </row>
    <row r="2899" spans="1:19" x14ac:dyDescent="0.3">
      <c r="A2899" t="s">
        <v>340</v>
      </c>
      <c r="C2899" s="23"/>
      <c r="D2899" s="23"/>
      <c r="E2899" s="23"/>
      <c r="Q2899" s="7"/>
      <c r="R2899" s="7"/>
    </row>
    <row r="2900" spans="1:19" x14ac:dyDescent="0.3">
      <c r="A2900" t="s">
        <v>340</v>
      </c>
      <c r="C2900" s="11"/>
      <c r="D2900" s="11"/>
      <c r="E2900" s="11" t="s">
        <v>130</v>
      </c>
      <c r="O2900" s="8">
        <f ca="1">SUM(O2901:O2904)</f>
        <v>148270.54829305087</v>
      </c>
      <c r="P2900" s="8">
        <f ca="1">SUM(P2901:P2904)</f>
        <v>19925.362462357771</v>
      </c>
      <c r="Q2900" s="8">
        <f ca="1">SUM(Q2901:Q2904)</f>
        <v>15522.674265049232</v>
      </c>
      <c r="R2900" s="8">
        <f ca="1">SUM(R2901:R2904)</f>
        <v>15513.858197567712</v>
      </c>
    </row>
    <row r="2901" spans="1:19" x14ac:dyDescent="0.3">
      <c r="A2901" t="s">
        <v>340</v>
      </c>
      <c r="C2901" s="23"/>
      <c r="D2901" s="23"/>
      <c r="E2901" s="23" t="s">
        <v>120</v>
      </c>
      <c r="O2901" s="7">
        <f t="shared" ref="O2901:Q2902" ca="1" si="191">O2895*O2883</f>
        <v>129115.97985327875</v>
      </c>
      <c r="P2901" s="7">
        <f t="shared" ca="1" si="191"/>
        <v>4408.0337407601546</v>
      </c>
      <c r="Q2901" s="7">
        <f t="shared" ca="1" si="191"/>
        <v>0</v>
      </c>
    </row>
    <row r="2902" spans="1:19" x14ac:dyDescent="0.3">
      <c r="A2902" t="s">
        <v>340</v>
      </c>
      <c r="C2902" s="24"/>
      <c r="D2902" s="24"/>
      <c r="E2902" s="24" t="s">
        <v>122</v>
      </c>
      <c r="O2902" s="7">
        <f t="shared" ca="1" si="191"/>
        <v>19154.56843977212</v>
      </c>
      <c r="P2902" s="7">
        <f t="shared" ca="1" si="191"/>
        <v>193.67396977991831</v>
      </c>
      <c r="Q2902" s="7">
        <f t="shared" ca="1" si="191"/>
        <v>44.08033740760154</v>
      </c>
      <c r="R2902" s="7">
        <f>R2896*R2884</f>
        <v>0</v>
      </c>
    </row>
    <row r="2903" spans="1:19" x14ac:dyDescent="0.3">
      <c r="A2903" t="s">
        <v>340</v>
      </c>
      <c r="C2903" s="23"/>
      <c r="D2903" s="23"/>
      <c r="E2903" s="23" t="s">
        <v>121</v>
      </c>
      <c r="P2903" s="7">
        <f ca="1">P2897*P2885</f>
        <v>15323.654751817696</v>
      </c>
      <c r="Q2903" s="7">
        <f ca="1">Q2897*Q2885</f>
        <v>154.93917582393465</v>
      </c>
      <c r="R2903" s="7">
        <f ca="1">R2897*R2885</f>
        <v>35.264269926081234</v>
      </c>
    </row>
    <row r="2904" spans="1:19" x14ac:dyDescent="0.3">
      <c r="A2904" t="s">
        <v>340</v>
      </c>
      <c r="C2904" s="23"/>
      <c r="D2904" s="23"/>
      <c r="E2904" s="23" t="s">
        <v>299</v>
      </c>
      <c r="Q2904" s="8">
        <f ca="1">P2903</f>
        <v>15323.654751817696</v>
      </c>
      <c r="R2904" s="8">
        <f ca="1">Q2904+Q2903</f>
        <v>15478.59392764163</v>
      </c>
      <c r="S2904" s="8">
        <f ca="1">R2904+R2903</f>
        <v>15513.858197567712</v>
      </c>
    </row>
    <row r="2905" spans="1:19" x14ac:dyDescent="0.3">
      <c r="A2905" t="s">
        <v>340</v>
      </c>
      <c r="C2905" s="23"/>
      <c r="D2905" s="23"/>
      <c r="E2905" s="23"/>
    </row>
    <row r="2906" spans="1:19" x14ac:dyDescent="0.3">
      <c r="A2906" t="s">
        <v>340</v>
      </c>
      <c r="C2906" s="105"/>
      <c r="D2906" s="105"/>
      <c r="E2906" s="105" t="s">
        <v>300</v>
      </c>
      <c r="N2906" s="8">
        <f ca="1">S2904</f>
        <v>15513.858197567712</v>
      </c>
    </row>
    <row r="2907" spans="1:19" x14ac:dyDescent="0.3">
      <c r="A2907" t="s">
        <v>340</v>
      </c>
      <c r="C2907" s="23"/>
      <c r="D2907" s="23"/>
      <c r="E2907" s="23"/>
    </row>
    <row r="2908" spans="1:19" x14ac:dyDescent="0.3">
      <c r="A2908" t="s">
        <v>340</v>
      </c>
      <c r="C2908" s="11"/>
      <c r="D2908" s="11"/>
      <c r="E2908" s="11" t="s">
        <v>140</v>
      </c>
      <c r="O2908" s="8">
        <f ca="1">SUM(O2910:O2913)</f>
        <v>187218.1707872542</v>
      </c>
      <c r="P2908" s="8">
        <f ca="1">SUM(P2910:P2913)</f>
        <v>5685.0049700782938</v>
      </c>
      <c r="Q2908" s="8">
        <f ca="1">SUM(Q2910:Q2913)</f>
        <v>4402.6881973085356</v>
      </c>
      <c r="R2908" s="8">
        <f ca="1">SUM(R2910:R2913)</f>
        <v>8.8160674815203048</v>
      </c>
    </row>
    <row r="2909" spans="1:19" x14ac:dyDescent="0.3">
      <c r="A2909" t="s">
        <v>340</v>
      </c>
      <c r="C2909" s="11"/>
      <c r="D2909" s="11"/>
      <c r="E2909" s="11"/>
      <c r="O2909" s="8"/>
      <c r="P2909" s="8"/>
      <c r="Q2909" s="8"/>
      <c r="R2909" s="8"/>
    </row>
    <row r="2910" spans="1:19" x14ac:dyDescent="0.3">
      <c r="A2910" t="s">
        <v>340</v>
      </c>
      <c r="E2910" t="s">
        <v>131</v>
      </c>
      <c r="G2910" s="23" t="s">
        <v>120</v>
      </c>
      <c r="O2910" s="6">
        <f ca="1">O2919*O2864</f>
        <v>183990.27129092222</v>
      </c>
    </row>
    <row r="2911" spans="1:19" x14ac:dyDescent="0.3">
      <c r="A2911" t="s">
        <v>340</v>
      </c>
      <c r="G2911" s="23"/>
      <c r="O2911" s="6"/>
    </row>
    <row r="2912" spans="1:19" x14ac:dyDescent="0.3">
      <c r="A2912" t="s">
        <v>340</v>
      </c>
      <c r="E2912" t="s">
        <v>200</v>
      </c>
      <c r="G2912" s="23" t="s">
        <v>120</v>
      </c>
      <c r="O2912" s="6">
        <f ca="1">O2921*O2863</f>
        <v>3227.8994963319715</v>
      </c>
      <c r="P2912" s="27">
        <f ca="1">P2891*P2863</f>
        <v>3131.0625114420122</v>
      </c>
      <c r="Q2912" s="27">
        <f ca="1">Q2891*Q2863</f>
        <v>4363.9534033525515</v>
      </c>
      <c r="R2912" s="27">
        <f>R2891*R2863</f>
        <v>0</v>
      </c>
    </row>
    <row r="2913" spans="1:46" x14ac:dyDescent="0.3">
      <c r="A2913" t="s">
        <v>340</v>
      </c>
      <c r="E2913" t="s">
        <v>200</v>
      </c>
      <c r="G2913" s="24" t="s">
        <v>122</v>
      </c>
      <c r="O2913" s="6"/>
      <c r="P2913" s="27">
        <f ca="1">P2892*(O2863+P2863)</f>
        <v>2553.9424586362816</v>
      </c>
      <c r="Q2913" s="27">
        <f ca="1">Q2892*(P2863+Q2863)</f>
        <v>38.734793955983648</v>
      </c>
      <c r="R2913" s="27">
        <f ca="1">R2892*(Q2863+R2863)</f>
        <v>8.8160674815203048</v>
      </c>
    </row>
    <row r="2914" spans="1:46" x14ac:dyDescent="0.3">
      <c r="A2914" t="s">
        <v>340</v>
      </c>
    </row>
    <row r="2915" spans="1:46" x14ac:dyDescent="0.3">
      <c r="A2915" t="s">
        <v>340</v>
      </c>
      <c r="C2915" s="11"/>
      <c r="D2915" s="11"/>
      <c r="E2915" s="11" t="s">
        <v>283</v>
      </c>
      <c r="O2915" s="8">
        <f ca="1">SUM(O2912:R2913)</f>
        <v>13324.408731200321</v>
      </c>
    </row>
    <row r="2916" spans="1:46" x14ac:dyDescent="0.3">
      <c r="A2916" t="s">
        <v>340</v>
      </c>
    </row>
    <row r="2917" spans="1:46" x14ac:dyDescent="0.3">
      <c r="A2917" t="s">
        <v>340</v>
      </c>
      <c r="E2917" t="s">
        <v>202</v>
      </c>
      <c r="O2917" s="28">
        <f ca="1">O2919*(P2863+Q2863)</f>
        <v>122660.1808606148</v>
      </c>
    </row>
    <row r="2918" spans="1:46" x14ac:dyDescent="0.3">
      <c r="A2918" t="s">
        <v>340</v>
      </c>
    </row>
    <row r="2919" spans="1:46" x14ac:dyDescent="0.3">
      <c r="A2919" t="s">
        <v>340</v>
      </c>
      <c r="C2919" t="s">
        <v>353</v>
      </c>
      <c r="D2919" t="s">
        <v>354</v>
      </c>
      <c r="E2919" s="72" t="s">
        <v>132</v>
      </c>
      <c r="O2919" s="73">
        <f ca="1">O2883*N2865</f>
        <v>2391.8735267819889</v>
      </c>
    </row>
    <row r="2920" spans="1:46" x14ac:dyDescent="0.3">
      <c r="A2920" t="s">
        <v>340</v>
      </c>
    </row>
    <row r="2921" spans="1:46" x14ac:dyDescent="0.3">
      <c r="A2921" t="s">
        <v>340</v>
      </c>
      <c r="E2921" t="s">
        <v>201</v>
      </c>
      <c r="O2921" s="7">
        <f ca="1">O2883*N2866</f>
        <v>125.8880803569469</v>
      </c>
    </row>
    <row r="2926" spans="1:46" x14ac:dyDescent="0.3">
      <c r="A2926" t="s">
        <v>341</v>
      </c>
      <c r="E2926" s="152" t="s">
        <v>354</v>
      </c>
      <c r="F2926" s="153"/>
      <c r="G2926" s="153"/>
      <c r="H2926" s="153"/>
      <c r="I2926" s="153"/>
      <c r="J2926" s="153"/>
      <c r="K2926" s="153"/>
      <c r="L2926" s="153"/>
      <c r="M2926" s="153"/>
      <c r="N2926" s="153"/>
      <c r="O2926" s="153"/>
      <c r="P2926" s="153"/>
      <c r="Q2926" s="153"/>
      <c r="R2926" s="153"/>
      <c r="S2926" s="153"/>
      <c r="T2926" s="153"/>
      <c r="U2926" s="153"/>
      <c r="V2926" s="153"/>
      <c r="W2926" s="153"/>
      <c r="X2926" s="153"/>
      <c r="Y2926" s="154"/>
      <c r="Z2926" s="152"/>
      <c r="AA2926" s="153"/>
      <c r="AB2926" s="153"/>
      <c r="AC2926" s="153"/>
      <c r="AD2926" s="153"/>
      <c r="AE2926" s="153"/>
      <c r="AF2926" s="153"/>
      <c r="AG2926" s="153"/>
      <c r="AH2926" s="153"/>
      <c r="AI2926" s="153"/>
      <c r="AJ2926" s="153"/>
      <c r="AK2926" s="153"/>
      <c r="AL2926" s="153"/>
      <c r="AM2926" s="153"/>
      <c r="AN2926" s="153"/>
      <c r="AO2926" s="153"/>
      <c r="AP2926" s="153"/>
      <c r="AQ2926" s="153"/>
      <c r="AR2926" s="153"/>
      <c r="AS2926" s="153"/>
      <c r="AT2926" s="154"/>
    </row>
    <row r="2927" spans="1:46" x14ac:dyDescent="0.3">
      <c r="A2927" t="s">
        <v>341</v>
      </c>
    </row>
    <row r="2928" spans="1:46" x14ac:dyDescent="0.3">
      <c r="A2928" t="s">
        <v>341</v>
      </c>
      <c r="B2928" t="str">
        <f>C2919</f>
        <v>IL 7/1.1.1.1.1.1</v>
      </c>
      <c r="C2928" t="str">
        <f>D2919</f>
        <v>IL 8/1.1.1.1.1.1.1</v>
      </c>
      <c r="E2928" t="s">
        <v>197</v>
      </c>
      <c r="O2928" s="83">
        <f ca="1">O2919</f>
        <v>2391.8735267819889</v>
      </c>
    </row>
    <row r="2929" spans="1:19" x14ac:dyDescent="0.3">
      <c r="A2929" t="s">
        <v>341</v>
      </c>
      <c r="E2929" t="s">
        <v>206</v>
      </c>
      <c r="O2929" s="7">
        <f ca="1">O2931*O2928</f>
        <v>2391.8735267819889</v>
      </c>
      <c r="R2929" s="77"/>
    </row>
    <row r="2930" spans="1:19" x14ac:dyDescent="0.3">
      <c r="A2930" t="s">
        <v>341</v>
      </c>
      <c r="O2930" s="7"/>
      <c r="P2930" s="7">
        <f ca="1">O2919</f>
        <v>2391.8735267819889</v>
      </c>
      <c r="R2930" s="77"/>
    </row>
    <row r="2931" spans="1:19" x14ac:dyDescent="0.3">
      <c r="A2931" t="s">
        <v>341</v>
      </c>
      <c r="C2931" s="11"/>
      <c r="D2931" s="11"/>
      <c r="E2931" s="11" t="s">
        <v>134</v>
      </c>
      <c r="F2931" s="11"/>
      <c r="G2931" s="11"/>
      <c r="O2931" s="104">
        <f>O2932*O2933*O2934*O2935</f>
        <v>1</v>
      </c>
      <c r="P2931" s="7">
        <f>P2932*P2933*P2934*P2935</f>
        <v>0</v>
      </c>
      <c r="Q2931" s="11"/>
      <c r="S2931" s="11"/>
    </row>
    <row r="2932" spans="1:19" x14ac:dyDescent="0.3">
      <c r="A2932" t="s">
        <v>341</v>
      </c>
      <c r="E2932" t="s">
        <v>35</v>
      </c>
      <c r="O2932" s="89">
        <f>SUMIFS('Summary500-600'!$C$163:$C$264,'Summary500-600'!$A$163:$A$264,$A2932,'Summary500-600'!$B$163:$B$264,$E2932)</f>
        <v>1</v>
      </c>
    </row>
    <row r="2933" spans="1:19" x14ac:dyDescent="0.3">
      <c r="A2933" t="s">
        <v>341</v>
      </c>
      <c r="E2933" t="s">
        <v>36</v>
      </c>
      <c r="O2933" s="89">
        <f>SUMIFS('Summary500-600'!$C$163:$C$264,'Summary500-600'!$A$163:$A$264,$A2933,'Summary500-600'!$B$163:$B$264,$E2933)</f>
        <v>1</v>
      </c>
    </row>
    <row r="2934" spans="1:19" x14ac:dyDescent="0.3">
      <c r="A2934" t="s">
        <v>341</v>
      </c>
      <c r="E2934" t="s">
        <v>142</v>
      </c>
      <c r="O2934" s="89">
        <f>SUMIFS('Summary500-600'!$C$163:$C$264,'Summary500-600'!$A$163:$A$264,$A2934,'Summary500-600'!$B$163:$B$264,$E2934)</f>
        <v>1</v>
      </c>
    </row>
    <row r="2935" spans="1:19" x14ac:dyDescent="0.3">
      <c r="A2935" t="s">
        <v>341</v>
      </c>
      <c r="E2935" t="s">
        <v>37</v>
      </c>
      <c r="O2935" s="89">
        <f>SUMIFS('Summary500-600'!$C$163:$C$264,'Summary500-600'!$A$163:$A$264,$A2935,'Summary500-600'!$B$163:$B$264,$E2935)</f>
        <v>1</v>
      </c>
    </row>
    <row r="2936" spans="1:19" x14ac:dyDescent="0.3">
      <c r="A2936" t="s">
        <v>341</v>
      </c>
    </row>
    <row r="2937" spans="1:19" x14ac:dyDescent="0.3">
      <c r="A2937" t="s">
        <v>341</v>
      </c>
    </row>
    <row r="2938" spans="1:19" x14ac:dyDescent="0.3">
      <c r="A2938" t="s">
        <v>341</v>
      </c>
      <c r="E2938" t="s">
        <v>125</v>
      </c>
      <c r="O2938" s="83">
        <f ca="1">OFFSET($E$30,MATCH($A2938,$E$30:$E$45,0)-1,1)</f>
        <v>64.102564102564102</v>
      </c>
    </row>
    <row r="2939" spans="1:19" x14ac:dyDescent="0.3">
      <c r="A2939" t="s">
        <v>341</v>
      </c>
      <c r="E2939" t="s">
        <v>135</v>
      </c>
      <c r="O2939" s="82">
        <f ca="1">O2938</f>
        <v>64.102564102564102</v>
      </c>
    </row>
    <row r="2940" spans="1:19" x14ac:dyDescent="0.3">
      <c r="A2940" t="s">
        <v>341</v>
      </c>
    </row>
    <row r="2941" spans="1:19" x14ac:dyDescent="0.3">
      <c r="A2941" t="s">
        <v>341</v>
      </c>
      <c r="E2941" t="s">
        <v>126</v>
      </c>
      <c r="O2941" s="88">
        <f>$H$52</f>
        <v>0.2</v>
      </c>
    </row>
    <row r="2942" spans="1:19" x14ac:dyDescent="0.3">
      <c r="A2942" t="s">
        <v>341</v>
      </c>
      <c r="E2942" t="s">
        <v>117</v>
      </c>
      <c r="O2942" s="7">
        <f ca="1">O2941*O2938</f>
        <v>12.820512820512821</v>
      </c>
    </row>
    <row r="2943" spans="1:19" x14ac:dyDescent="0.3">
      <c r="A2943" t="s">
        <v>341</v>
      </c>
    </row>
    <row r="2944" spans="1:19" x14ac:dyDescent="0.3">
      <c r="A2944" t="s">
        <v>341</v>
      </c>
      <c r="E2944" t="s">
        <v>118</v>
      </c>
      <c r="O2944" s="7">
        <f ca="1">O2939</f>
        <v>64.102564102564102</v>
      </c>
    </row>
    <row r="2945" spans="1:20" x14ac:dyDescent="0.3">
      <c r="A2945" t="s">
        <v>341</v>
      </c>
      <c r="E2945" t="s">
        <v>106</v>
      </c>
      <c r="O2945" s="7">
        <f ca="1">O2938*(1+O2941)</f>
        <v>76.92307692307692</v>
      </c>
    </row>
    <row r="2946" spans="1:20" x14ac:dyDescent="0.3">
      <c r="A2946" t="s">
        <v>341</v>
      </c>
      <c r="O2946" s="7"/>
    </row>
    <row r="2947" spans="1:20" x14ac:dyDescent="0.3">
      <c r="A2947" t="s">
        <v>341</v>
      </c>
      <c r="E2947" t="s">
        <v>136</v>
      </c>
      <c r="O2947" s="7">
        <f ca="1">O2944*O2929</f>
        <v>153325.22607576853</v>
      </c>
    </row>
    <row r="2948" spans="1:20" x14ac:dyDescent="0.3">
      <c r="A2948" t="s">
        <v>341</v>
      </c>
      <c r="E2948" t="s">
        <v>119</v>
      </c>
      <c r="O2948" s="7">
        <f ca="1">O2945*O2929</f>
        <v>183990.27129092222</v>
      </c>
    </row>
    <row r="2949" spans="1:20" x14ac:dyDescent="0.3">
      <c r="A2949" t="s">
        <v>341</v>
      </c>
      <c r="O2949" s="7"/>
    </row>
    <row r="2950" spans="1:20" x14ac:dyDescent="0.3">
      <c r="A2950" t="s">
        <v>341</v>
      </c>
      <c r="E2950" t="s">
        <v>302</v>
      </c>
      <c r="O2950" s="6">
        <f ca="1">O2942*O2929</f>
        <v>30665.045215153707</v>
      </c>
    </row>
    <row r="2951" spans="1:20" x14ac:dyDescent="0.3">
      <c r="A2951" t="s">
        <v>341</v>
      </c>
      <c r="O2951" s="7"/>
    </row>
    <row r="2952" spans="1:20" x14ac:dyDescent="0.3">
      <c r="A2952" t="s">
        <v>341</v>
      </c>
      <c r="E2952" t="s">
        <v>127</v>
      </c>
      <c r="P2952" s="7">
        <f ca="1">O2945/3</f>
        <v>25.641025641025639</v>
      </c>
      <c r="Q2952" s="7">
        <f ca="1">O2945/3</f>
        <v>25.641025641025639</v>
      </c>
      <c r="R2952" s="7">
        <f ca="1">O2945/3</f>
        <v>25.641025641025639</v>
      </c>
    </row>
    <row r="2953" spans="1:20" x14ac:dyDescent="0.3">
      <c r="A2953" t="s">
        <v>341</v>
      </c>
      <c r="P2953" s="7">
        <f ca="1">O2945</f>
        <v>76.92307692307692</v>
      </c>
    </row>
    <row r="2954" spans="1:20" s="103" customFormat="1" x14ac:dyDescent="0.3">
      <c r="A2954" t="s">
        <v>341</v>
      </c>
      <c r="E2954" s="100" t="s">
        <v>128</v>
      </c>
      <c r="O2954" s="139">
        <f ca="1">OFFSET('Summary500-600'!$B$38,MATCH($A2954,'Summary500-600'!$B$38:$B$52,0)-1,1)</f>
        <v>0.95</v>
      </c>
    </row>
    <row r="2955" spans="1:20" s="103" customFormat="1" x14ac:dyDescent="0.3">
      <c r="A2955" t="s">
        <v>341</v>
      </c>
      <c r="E2955" s="103" t="s">
        <v>129</v>
      </c>
      <c r="O2955" s="79">
        <f ca="1">1-O2954</f>
        <v>5.0000000000000044E-2</v>
      </c>
    </row>
    <row r="2956" spans="1:20" x14ac:dyDescent="0.3">
      <c r="A2956" t="s">
        <v>341</v>
      </c>
    </row>
    <row r="2957" spans="1:20" x14ac:dyDescent="0.3">
      <c r="A2957" t="s">
        <v>341</v>
      </c>
      <c r="C2957" s="71"/>
      <c r="D2957" s="71"/>
      <c r="E2957" s="71" t="s">
        <v>16</v>
      </c>
    </row>
    <row r="2958" spans="1:20" x14ac:dyDescent="0.3">
      <c r="A2958" t="s">
        <v>341</v>
      </c>
      <c r="E2958" t="s">
        <v>17</v>
      </c>
      <c r="P2958" s="74">
        <f>'Summary500-600'!$C$107</f>
        <v>0.09</v>
      </c>
      <c r="Q2958" s="74">
        <f>'Summary500-600'!$C$108</f>
        <v>0.03</v>
      </c>
      <c r="R2958" s="74">
        <f>'Summary500-600'!$C$109</f>
        <v>0.01</v>
      </c>
      <c r="S2958" s="75"/>
      <c r="T2958" s="75"/>
    </row>
    <row r="2959" spans="1:20" x14ac:dyDescent="0.3">
      <c r="A2959" t="s">
        <v>341</v>
      </c>
      <c r="E2959" t="s">
        <v>18</v>
      </c>
      <c r="G2959" s="75"/>
      <c r="Q2959" s="74">
        <f>'Summary500-600'!$C$110</f>
        <v>0.8</v>
      </c>
      <c r="R2959" s="76">
        <f>Q2959</f>
        <v>0.8</v>
      </c>
      <c r="S2959" s="76">
        <f>R2959</f>
        <v>0.8</v>
      </c>
      <c r="T2959" s="75"/>
    </row>
    <row r="2960" spans="1:20" x14ac:dyDescent="0.3">
      <c r="A2960" t="s">
        <v>341</v>
      </c>
      <c r="E2960" t="s">
        <v>19</v>
      </c>
      <c r="G2960" s="75"/>
      <c r="Q2960" s="75"/>
      <c r="R2960" s="74">
        <f>'Summary500-600'!$C$104</f>
        <v>1</v>
      </c>
      <c r="S2960" s="74">
        <f>R2960</f>
        <v>1</v>
      </c>
      <c r="T2960" s="74">
        <f>S2960</f>
        <v>1</v>
      </c>
    </row>
    <row r="2961" spans="1:20" x14ac:dyDescent="0.3">
      <c r="A2961" t="s">
        <v>341</v>
      </c>
      <c r="E2961" t="s">
        <v>20</v>
      </c>
      <c r="R2961" s="21"/>
    </row>
    <row r="2962" spans="1:20" x14ac:dyDescent="0.3">
      <c r="A2962" t="s">
        <v>341</v>
      </c>
      <c r="R2962" s="21"/>
    </row>
    <row r="2963" spans="1:20" x14ac:dyDescent="0.3">
      <c r="A2963" t="s">
        <v>341</v>
      </c>
      <c r="C2963" s="11"/>
      <c r="D2963" s="11"/>
      <c r="E2963" s="11" t="s">
        <v>196</v>
      </c>
      <c r="P2963" s="90">
        <f ca="1">SUM(P2964:P2967)</f>
        <v>0.13550000000000004</v>
      </c>
      <c r="Q2963" s="90">
        <f ca="1">SUM(Q2964:Q2967)</f>
        <v>0.13550000000000001</v>
      </c>
      <c r="R2963" s="90">
        <f ca="1">SUM(R2964:R2967)</f>
        <v>7.3713349999999997E-2</v>
      </c>
      <c r="S2963" s="90">
        <f ca="1">SUM(S2964:S2967)</f>
        <v>7.3589079999999987E-2</v>
      </c>
    </row>
    <row r="2964" spans="1:20" x14ac:dyDescent="0.3">
      <c r="A2964" t="s">
        <v>341</v>
      </c>
      <c r="E2964" t="s">
        <v>17</v>
      </c>
      <c r="P2964" s="22">
        <f ca="1">(1-P2958)*O2955</f>
        <v>4.550000000000004E-2</v>
      </c>
      <c r="Q2964" s="22">
        <f ca="1">P2964*(1-Q2958)+P2965*(1-Q2959)</f>
        <v>6.213500000000003E-2</v>
      </c>
    </row>
    <row r="2965" spans="1:20" x14ac:dyDescent="0.3">
      <c r="A2965" t="s">
        <v>341</v>
      </c>
      <c r="E2965" t="s">
        <v>18</v>
      </c>
      <c r="P2965" s="22">
        <f>P2958</f>
        <v>0.09</v>
      </c>
      <c r="Q2965" s="22">
        <f ca="1">P2964*Q2958</f>
        <v>1.3650000000000012E-3</v>
      </c>
      <c r="R2965" s="22">
        <f ca="1">Q2964*R2958</f>
        <v>6.2135000000000033E-4</v>
      </c>
      <c r="T2965" s="22"/>
    </row>
    <row r="2966" spans="1:20" x14ac:dyDescent="0.3">
      <c r="A2966" t="s">
        <v>341</v>
      </c>
      <c r="E2966" t="s">
        <v>19</v>
      </c>
      <c r="Q2966" s="22">
        <f>P2965*Q2959</f>
        <v>7.1999999999999995E-2</v>
      </c>
      <c r="R2966" s="22">
        <f ca="1">Q2965*R2959+Q2966</f>
        <v>7.309199999999999E-2</v>
      </c>
      <c r="S2966" s="22">
        <f ca="1">R2965*S2959+R2966</f>
        <v>7.3589079999999987E-2</v>
      </c>
    </row>
    <row r="2967" spans="1:20" x14ac:dyDescent="0.3">
      <c r="A2967" t="s">
        <v>341</v>
      </c>
      <c r="Q2967" s="22"/>
      <c r="R2967" s="22"/>
    </row>
    <row r="2968" spans="1:20" x14ac:dyDescent="0.3">
      <c r="A2968" t="s">
        <v>341</v>
      </c>
      <c r="E2968" t="s">
        <v>195</v>
      </c>
      <c r="P2968" s="22">
        <f ca="1">(1-P2958)*O2954</f>
        <v>0.86449999999999994</v>
      </c>
      <c r="R2968" s="29">
        <f ca="1">Q2964*(1-R2958)+Q2965*(1-R2959)+Q2966*(1-R2960)</f>
        <v>6.1786650000000033E-2</v>
      </c>
      <c r="S2968" s="29">
        <f ca="1">R2965*(1-S2959)+R2968</f>
        <v>6.1910920000000036E-2</v>
      </c>
      <c r="T2968" s="22"/>
    </row>
    <row r="2969" spans="1:20" x14ac:dyDescent="0.3">
      <c r="A2969" t="s">
        <v>341</v>
      </c>
      <c r="P2969" s="22"/>
      <c r="R2969" s="29"/>
      <c r="S2969" s="29"/>
      <c r="T2969" s="22"/>
    </row>
    <row r="2970" spans="1:20" x14ac:dyDescent="0.3">
      <c r="A2970" t="s">
        <v>341</v>
      </c>
      <c r="P2970" s="25" t="s">
        <v>32</v>
      </c>
    </row>
    <row r="2971" spans="1:20" x14ac:dyDescent="0.3">
      <c r="A2971" t="s">
        <v>341</v>
      </c>
      <c r="C2971" s="11"/>
      <c r="D2971" s="11"/>
      <c r="E2971" s="11" t="s">
        <v>124</v>
      </c>
      <c r="P2971" s="8">
        <f ca="1">SUM(P2972:P2975)</f>
        <v>2391.8735267819893</v>
      </c>
      <c r="Q2971" s="8">
        <f ca="1">SUM(Q2972:Q2975)</f>
        <v>324.09886287895961</v>
      </c>
      <c r="R2971" s="8">
        <f ca="1">SUM(R2972:R2975)</f>
        <v>176.31301043541512</v>
      </c>
    </row>
    <row r="2972" spans="1:20" x14ac:dyDescent="0.3">
      <c r="A2972" t="s">
        <v>341</v>
      </c>
      <c r="C2972" s="23"/>
      <c r="D2972" s="23"/>
      <c r="E2972" s="23" t="s">
        <v>120</v>
      </c>
      <c r="P2972" s="7">
        <f ca="1">O2929*(1-P2958)</f>
        <v>2176.6049093716101</v>
      </c>
      <c r="Q2972" s="82">
        <f ca="1">P3010*(1-Q2958)+P2973*(1-Q2959)</f>
        <v>148.61906158659897</v>
      </c>
    </row>
    <row r="2973" spans="1:20" x14ac:dyDescent="0.3">
      <c r="A2973" t="s">
        <v>341</v>
      </c>
      <c r="C2973" s="24"/>
      <c r="D2973" s="24"/>
      <c r="E2973" s="24" t="s">
        <v>122</v>
      </c>
      <c r="P2973" s="7">
        <f ca="1">O2929*P2958</f>
        <v>215.26861741037899</v>
      </c>
      <c r="Q2973" s="7">
        <f ca="1">P3010*Q2958</f>
        <v>3.264907364057418</v>
      </c>
      <c r="R2973" s="7">
        <f ca="1">Q2972*R2958</f>
        <v>1.4861906158659897</v>
      </c>
      <c r="S2973" s="7">
        <f>R2972*S2958</f>
        <v>0</v>
      </c>
    </row>
    <row r="2974" spans="1:20" x14ac:dyDescent="0.3">
      <c r="A2974" t="s">
        <v>341</v>
      </c>
      <c r="C2974" s="23"/>
      <c r="D2974" s="23"/>
      <c r="E2974" s="23" t="s">
        <v>121</v>
      </c>
      <c r="Q2974" s="7">
        <f ca="1">P2973*Q2959</f>
        <v>172.21489392830321</v>
      </c>
      <c r="R2974" s="7">
        <f ca="1">Q2973*R2959</f>
        <v>2.6119258912459347</v>
      </c>
      <c r="S2974" s="7">
        <f ca="1">R2973*S2959</f>
        <v>1.1889524926927917</v>
      </c>
    </row>
    <row r="2975" spans="1:20" x14ac:dyDescent="0.3">
      <c r="A2975" t="s">
        <v>341</v>
      </c>
      <c r="C2975" s="23"/>
      <c r="D2975" s="23"/>
      <c r="E2975" s="23" t="s">
        <v>138</v>
      </c>
      <c r="Q2975" s="7"/>
      <c r="R2975" s="7">
        <f ca="1">Q2974*R2960</f>
        <v>172.21489392830321</v>
      </c>
      <c r="S2975" s="7">
        <f ca="1">R2974*S2960+R2975</f>
        <v>174.82681981954914</v>
      </c>
      <c r="T2975" s="7">
        <f ca="1">S2974*T2960+S2975</f>
        <v>176.01577231224192</v>
      </c>
    </row>
    <row r="2976" spans="1:20" x14ac:dyDescent="0.3">
      <c r="A2976" t="s">
        <v>341</v>
      </c>
      <c r="C2976" s="23"/>
      <c r="D2976" s="23"/>
      <c r="E2976" s="23"/>
      <c r="Q2976" s="7"/>
    </row>
    <row r="2977" spans="1:20" x14ac:dyDescent="0.3">
      <c r="A2977" t="s">
        <v>341</v>
      </c>
      <c r="C2977" s="23"/>
      <c r="D2977" s="23"/>
      <c r="E2977" s="23" t="s">
        <v>137</v>
      </c>
      <c r="Q2977" s="7"/>
      <c r="R2977" s="7">
        <f ca="1">Q2972*(1-R2958)+Q2973*(1-R2959)+Q2974*(1-R2960)</f>
        <v>147.78585244354448</v>
      </c>
      <c r="S2977" s="7">
        <f ca="1">R2973*(1-S2959)+R2977</f>
        <v>148.08309056671769</v>
      </c>
      <c r="T2977" s="7">
        <f ca="1">S2974*(1-T2960)+S2977</f>
        <v>148.08309056671769</v>
      </c>
    </row>
    <row r="2978" spans="1:20" x14ac:dyDescent="0.3">
      <c r="A2978" t="s">
        <v>341</v>
      </c>
      <c r="C2978" s="23"/>
      <c r="D2978" s="23"/>
      <c r="E2978" s="23"/>
      <c r="Q2978" s="7"/>
    </row>
    <row r="2979" spans="1:20" x14ac:dyDescent="0.3">
      <c r="A2979" t="s">
        <v>341</v>
      </c>
      <c r="C2979" s="11"/>
      <c r="D2979" s="11"/>
      <c r="E2979" s="11" t="s">
        <v>139</v>
      </c>
      <c r="P2979" s="8">
        <f ca="1">SUM(P2980:P2981)</f>
        <v>2176.6049093716101</v>
      </c>
      <c r="Q2979" s="8">
        <f ca="1">SUM(Q2980:Q2981)</f>
        <v>148.61906158659897</v>
      </c>
      <c r="R2979" s="8">
        <f ca="1">SUM(R2980:R2981)</f>
        <v>147.78585244354448</v>
      </c>
      <c r="S2979" s="8">
        <f ca="1">SUM(S2980:S2981)</f>
        <v>0.29723812317319787</v>
      </c>
    </row>
    <row r="2980" spans="1:20" x14ac:dyDescent="0.3">
      <c r="A2980" t="s">
        <v>341</v>
      </c>
      <c r="C2980" s="23"/>
      <c r="D2980" s="23"/>
      <c r="E2980" s="23" t="s">
        <v>120</v>
      </c>
      <c r="P2980" s="7">
        <f ca="1">P2972</f>
        <v>2176.6049093716101</v>
      </c>
      <c r="Q2980" s="7">
        <f ca="1">P3010*(1-Q2958)</f>
        <v>105.56533810452318</v>
      </c>
      <c r="R2980" s="7">
        <f ca="1">Q2972*(1-R2958)</f>
        <v>147.13287097073299</v>
      </c>
    </row>
    <row r="2981" spans="1:20" x14ac:dyDescent="0.3">
      <c r="A2981" t="s">
        <v>341</v>
      </c>
      <c r="C2981" s="24"/>
      <c r="D2981" s="24"/>
      <c r="E2981" s="24" t="s">
        <v>122</v>
      </c>
      <c r="Q2981" s="7">
        <f ca="1">P2973*(1-Q2959)</f>
        <v>43.053723482075789</v>
      </c>
      <c r="R2981" s="7">
        <f ca="1">Q2973*(1-R2959)</f>
        <v>0.65298147281148344</v>
      </c>
      <c r="S2981" s="7">
        <f ca="1">R2973*(1-S2959)</f>
        <v>0.29723812317319787</v>
      </c>
    </row>
    <row r="2982" spans="1:20" x14ac:dyDescent="0.3">
      <c r="A2982" t="s">
        <v>341</v>
      </c>
      <c r="C2982" s="23"/>
      <c r="D2982" s="23"/>
      <c r="E2982" s="23"/>
      <c r="Q2982" s="7"/>
      <c r="R2982" s="7">
        <f ca="1">Q2974*(1-R2960)</f>
        <v>0</v>
      </c>
      <c r="S2982" s="7">
        <f ca="1">R2974*(1-S2960)</f>
        <v>0</v>
      </c>
    </row>
    <row r="2983" spans="1:20" x14ac:dyDescent="0.3">
      <c r="A2983" t="s">
        <v>341</v>
      </c>
      <c r="C2983" s="81"/>
      <c r="D2983" s="81"/>
      <c r="E2983" s="81" t="s">
        <v>123</v>
      </c>
    </row>
    <row r="2984" spans="1:20" x14ac:dyDescent="0.3">
      <c r="A2984" t="s">
        <v>341</v>
      </c>
      <c r="C2984" s="23"/>
      <c r="D2984" s="23"/>
      <c r="E2984" s="23" t="s">
        <v>120</v>
      </c>
      <c r="P2984" s="7">
        <f ca="1">O2945-P2952</f>
        <v>51.282051282051285</v>
      </c>
      <c r="Q2984" s="7">
        <f ca="1">P2984-Q2952</f>
        <v>25.641025641025646</v>
      </c>
      <c r="R2984" s="7">
        <f ca="1">Q2984-R2952</f>
        <v>0</v>
      </c>
    </row>
    <row r="2985" spans="1:20" x14ac:dyDescent="0.3">
      <c r="A2985" t="s">
        <v>341</v>
      </c>
      <c r="C2985" s="24"/>
      <c r="D2985" s="24"/>
      <c r="E2985" s="24" t="s">
        <v>122</v>
      </c>
      <c r="P2985" s="7">
        <f ca="1">O2945</f>
        <v>76.92307692307692</v>
      </c>
      <c r="Q2985" s="7">
        <f ca="1">P2984</f>
        <v>51.282051282051285</v>
      </c>
      <c r="R2985" s="7">
        <f ca="1">Q2984</f>
        <v>25.641025641025646</v>
      </c>
    </row>
    <row r="2986" spans="1:20" x14ac:dyDescent="0.3">
      <c r="A2986" t="s">
        <v>341</v>
      </c>
      <c r="C2986" s="23"/>
      <c r="D2986" s="23"/>
      <c r="E2986" s="23" t="s">
        <v>121</v>
      </c>
      <c r="Q2986" s="7">
        <f ca="1">P2985</f>
        <v>76.92307692307692</v>
      </c>
      <c r="R2986" s="7">
        <f ca="1">Q2985</f>
        <v>51.282051282051285</v>
      </c>
      <c r="S2986" s="7">
        <f ca="1">R2985</f>
        <v>25.641025641025646</v>
      </c>
    </row>
    <row r="2987" spans="1:20" x14ac:dyDescent="0.3">
      <c r="A2987" t="s">
        <v>341</v>
      </c>
      <c r="C2987" s="23"/>
      <c r="D2987" s="23"/>
      <c r="E2987" s="23"/>
      <c r="R2987" s="7"/>
      <c r="S2987" s="7"/>
    </row>
    <row r="2988" spans="1:20" x14ac:dyDescent="0.3">
      <c r="A2988" t="s">
        <v>341</v>
      </c>
      <c r="C2988" s="23"/>
      <c r="D2988" s="23"/>
      <c r="E2988" s="23"/>
      <c r="R2988" s="7"/>
      <c r="S2988" s="7"/>
    </row>
    <row r="2989" spans="1:20" x14ac:dyDescent="0.3">
      <c r="A2989" t="s">
        <v>341</v>
      </c>
      <c r="C2989" s="11"/>
      <c r="D2989" s="11"/>
      <c r="E2989" s="11" t="s">
        <v>130</v>
      </c>
      <c r="P2989" s="8">
        <f ca="1">SUM(P2990:P2993)</f>
        <v>128179.8889993425</v>
      </c>
      <c r="Q2989" s="8">
        <f ca="1">SUM(Q2990:Q2993)</f>
        <v>17225.475848708295</v>
      </c>
      <c r="R2989" s="8">
        <f ca="1">SUM(R2990:R2993)</f>
        <v>13419.351902135064</v>
      </c>
      <c r="S2989" s="8">
        <f ca="1">SUM(S2990:S2993)</f>
        <v>13411.730411797291</v>
      </c>
    </row>
    <row r="2990" spans="1:20" x14ac:dyDescent="0.3">
      <c r="A2990" t="s">
        <v>341</v>
      </c>
      <c r="C2990" s="23"/>
      <c r="D2990" s="23"/>
      <c r="E2990" s="23" t="s">
        <v>120</v>
      </c>
      <c r="P2990" s="7">
        <f t="shared" ref="P2990:R2991" ca="1" si="192">P2984*P2972</f>
        <v>111620.7645831595</v>
      </c>
      <c r="Q2990" s="7">
        <f t="shared" ca="1" si="192"/>
        <v>3810.7451688871538</v>
      </c>
      <c r="R2990" s="7">
        <f t="shared" ca="1" si="192"/>
        <v>0</v>
      </c>
    </row>
    <row r="2991" spans="1:20" x14ac:dyDescent="0.3">
      <c r="A2991" t="s">
        <v>341</v>
      </c>
      <c r="C2991" s="24"/>
      <c r="D2991" s="24"/>
      <c r="E2991" s="24" t="s">
        <v>122</v>
      </c>
      <c r="P2991" s="7">
        <f t="shared" ca="1" si="192"/>
        <v>16559.124416183</v>
      </c>
      <c r="Q2991" s="7">
        <f t="shared" ca="1" si="192"/>
        <v>167.4311468747394</v>
      </c>
      <c r="R2991" s="7">
        <f t="shared" ca="1" si="192"/>
        <v>38.107451688871535</v>
      </c>
      <c r="S2991" s="7">
        <f>S2985*S2973</f>
        <v>0</v>
      </c>
    </row>
    <row r="2992" spans="1:20" x14ac:dyDescent="0.3">
      <c r="A2992" t="s">
        <v>341</v>
      </c>
      <c r="C2992" s="23"/>
      <c r="D2992" s="23"/>
      <c r="E2992" s="23" t="s">
        <v>121</v>
      </c>
      <c r="Q2992" s="7">
        <f ca="1">Q2986*Q2974</f>
        <v>13247.299532946401</v>
      </c>
      <c r="R2992" s="7">
        <f ca="1">R2986*R2974</f>
        <v>133.94491749979153</v>
      </c>
      <c r="S2992" s="7">
        <f ca="1">S2986*S2974</f>
        <v>30.485961351097227</v>
      </c>
    </row>
    <row r="2993" spans="1:20" x14ac:dyDescent="0.3">
      <c r="A2993" t="s">
        <v>341</v>
      </c>
      <c r="C2993" s="23"/>
      <c r="D2993" s="23"/>
      <c r="E2993" s="23" t="s">
        <v>299</v>
      </c>
      <c r="R2993" s="8">
        <f ca="1">Q2992</f>
        <v>13247.299532946401</v>
      </c>
      <c r="S2993" s="8">
        <f ca="1">R2993+R2992</f>
        <v>13381.244450446193</v>
      </c>
      <c r="T2993" s="8">
        <f ca="1">S2993+S2992</f>
        <v>13411.730411797291</v>
      </c>
    </row>
    <row r="2994" spans="1:20" x14ac:dyDescent="0.3">
      <c r="A2994" t="s">
        <v>341</v>
      </c>
      <c r="C2994" s="23"/>
      <c r="D2994" s="23"/>
      <c r="E2994" s="23"/>
    </row>
    <row r="2995" spans="1:20" x14ac:dyDescent="0.3">
      <c r="A2995" t="s">
        <v>341</v>
      </c>
      <c r="C2995" s="105"/>
      <c r="D2995" s="105"/>
      <c r="E2995" s="105" t="s">
        <v>300</v>
      </c>
      <c r="O2995" s="8">
        <f ca="1">T2993</f>
        <v>13411.730411797291</v>
      </c>
    </row>
    <row r="2996" spans="1:20" x14ac:dyDescent="0.3">
      <c r="A2996" t="s">
        <v>341</v>
      </c>
      <c r="C2996" s="23"/>
      <c r="D2996" s="23"/>
      <c r="E2996" s="23"/>
    </row>
    <row r="2997" spans="1:20" x14ac:dyDescent="0.3">
      <c r="A2997" t="s">
        <v>341</v>
      </c>
      <c r="C2997" s="11"/>
      <c r="D2997" s="11"/>
      <c r="E2997" s="11" t="s">
        <v>140</v>
      </c>
      <c r="P2997" s="8">
        <f ca="1">SUM(P2999:P3002)</f>
        <v>161850.10864558126</v>
      </c>
      <c r="Q2997" s="8">
        <f ca="1">SUM(Q2999:Q3002)</f>
        <v>4914.6867966326863</v>
      </c>
      <c r="R2997" s="8">
        <f ca="1">SUM(R2999:R3002)</f>
        <v>3806.1239465732297</v>
      </c>
      <c r="S2997" s="8">
        <f ca="1">SUM(S2999:S3002)</f>
        <v>7.6214903377743033</v>
      </c>
    </row>
    <row r="2998" spans="1:20" x14ac:dyDescent="0.3">
      <c r="A2998" t="s">
        <v>341</v>
      </c>
      <c r="C2998" s="11"/>
      <c r="D2998" s="11"/>
      <c r="E2998" s="11"/>
      <c r="P2998" s="8"/>
      <c r="Q2998" s="8"/>
      <c r="R2998" s="8"/>
      <c r="S2998" s="8"/>
    </row>
    <row r="2999" spans="1:20" x14ac:dyDescent="0.3">
      <c r="A2999" t="s">
        <v>341</v>
      </c>
      <c r="E2999" t="s">
        <v>131</v>
      </c>
      <c r="G2999" s="23" t="s">
        <v>120</v>
      </c>
      <c r="P2999" s="6">
        <f ca="1">P3008*P2953</f>
        <v>159059.58953100228</v>
      </c>
    </row>
    <row r="3000" spans="1:20" x14ac:dyDescent="0.3">
      <c r="A3000" t="s">
        <v>341</v>
      </c>
      <c r="G3000" s="23"/>
      <c r="P3000" s="6"/>
    </row>
    <row r="3001" spans="1:20" x14ac:dyDescent="0.3">
      <c r="A3001" t="s">
        <v>341</v>
      </c>
      <c r="E3001" t="s">
        <v>200</v>
      </c>
      <c r="G3001" s="23" t="s">
        <v>120</v>
      </c>
      <c r="P3001" s="6">
        <f ca="1">P3010*P2952</f>
        <v>2790.5191145789895</v>
      </c>
      <c r="Q3001" s="27">
        <f ca="1">Q2980*Q2952</f>
        <v>2706.8035411416199</v>
      </c>
      <c r="R3001" s="27">
        <f ca="1">R2980*R2952</f>
        <v>3772.6377171982817</v>
      </c>
      <c r="S3001" s="27">
        <f>S2980*S2952</f>
        <v>0</v>
      </c>
    </row>
    <row r="3002" spans="1:20" x14ac:dyDescent="0.3">
      <c r="A3002" t="s">
        <v>341</v>
      </c>
      <c r="E3002" t="s">
        <v>200</v>
      </c>
      <c r="G3002" s="24" t="s">
        <v>122</v>
      </c>
      <c r="P3002" s="6"/>
      <c r="Q3002" s="27">
        <f ca="1">Q2981*(P2952+Q2952)</f>
        <v>2207.8832554910659</v>
      </c>
      <c r="R3002" s="27">
        <f ca="1">R2981*(Q2952+R2952)</f>
        <v>33.486229374947868</v>
      </c>
      <c r="S3002" s="27">
        <f ca="1">S2981*(R2952+S2952)</f>
        <v>7.6214903377743033</v>
      </c>
    </row>
    <row r="3003" spans="1:20" x14ac:dyDescent="0.3">
      <c r="A3003" t="s">
        <v>341</v>
      </c>
    </row>
    <row r="3004" spans="1:20" x14ac:dyDescent="0.3">
      <c r="A3004" t="s">
        <v>341</v>
      </c>
      <c r="C3004" s="11"/>
      <c r="D3004" s="11"/>
      <c r="E3004" s="11" t="s">
        <v>283</v>
      </c>
      <c r="P3004" s="8">
        <f ca="1">SUM(P3001:S3002)</f>
        <v>11518.95134812268</v>
      </c>
    </row>
    <row r="3005" spans="1:20" x14ac:dyDescent="0.3">
      <c r="A3005" t="s">
        <v>341</v>
      </c>
    </row>
    <row r="3006" spans="1:20" x14ac:dyDescent="0.3">
      <c r="A3006" t="s">
        <v>341</v>
      </c>
      <c r="E3006" t="s">
        <v>202</v>
      </c>
      <c r="P3006" s="28">
        <f ca="1">P3008*(Q2952+R2952)</f>
        <v>106039.72635400151</v>
      </c>
    </row>
    <row r="3007" spans="1:20" x14ac:dyDescent="0.3">
      <c r="A3007" t="s">
        <v>341</v>
      </c>
    </row>
    <row r="3008" spans="1:20" x14ac:dyDescent="0.3">
      <c r="A3008" t="s">
        <v>341</v>
      </c>
      <c r="B3008" t="s">
        <v>353</v>
      </c>
      <c r="C3008" t="s">
        <v>354</v>
      </c>
      <c r="D3008" t="s">
        <v>355</v>
      </c>
      <c r="E3008" s="72" t="s">
        <v>132</v>
      </c>
      <c r="P3008" s="73">
        <f ca="1">P2972*O2954</f>
        <v>2067.7746639030297</v>
      </c>
    </row>
    <row r="3009" spans="1:46" x14ac:dyDescent="0.3">
      <c r="A3009" t="s">
        <v>341</v>
      </c>
    </row>
    <row r="3010" spans="1:46" x14ac:dyDescent="0.3">
      <c r="A3010" t="s">
        <v>341</v>
      </c>
      <c r="E3010" t="s">
        <v>201</v>
      </c>
      <c r="P3010" s="7">
        <f ca="1">P2972*O2955</f>
        <v>108.8302454685806</v>
      </c>
    </row>
    <row r="3015" spans="1:46" x14ac:dyDescent="0.3">
      <c r="A3015" t="s">
        <v>342</v>
      </c>
      <c r="E3015" s="152" t="s">
        <v>355</v>
      </c>
      <c r="F3015" s="153"/>
      <c r="G3015" s="153"/>
      <c r="H3015" s="153"/>
      <c r="I3015" s="153"/>
      <c r="J3015" s="153"/>
      <c r="K3015" s="153"/>
      <c r="L3015" s="153"/>
      <c r="M3015" s="153"/>
      <c r="N3015" s="153"/>
      <c r="O3015" s="153"/>
      <c r="P3015" s="153"/>
      <c r="Q3015" s="153"/>
      <c r="R3015" s="153"/>
      <c r="S3015" s="153"/>
      <c r="T3015" s="153"/>
      <c r="U3015" s="153"/>
      <c r="V3015" s="153"/>
      <c r="W3015" s="153"/>
      <c r="X3015" s="153"/>
      <c r="Y3015" s="154"/>
      <c r="Z3015" s="152"/>
      <c r="AA3015" s="153"/>
      <c r="AB3015" s="153"/>
      <c r="AC3015" s="153"/>
      <c r="AD3015" s="153"/>
      <c r="AE3015" s="153"/>
      <c r="AF3015" s="153"/>
      <c r="AG3015" s="153"/>
      <c r="AH3015" s="153"/>
      <c r="AI3015" s="153"/>
      <c r="AJ3015" s="153"/>
      <c r="AK3015" s="153"/>
      <c r="AL3015" s="153"/>
      <c r="AM3015" s="153"/>
      <c r="AN3015" s="153"/>
      <c r="AO3015" s="153"/>
      <c r="AP3015" s="153"/>
      <c r="AQ3015" s="153"/>
      <c r="AR3015" s="153"/>
      <c r="AS3015" s="153"/>
      <c r="AT3015" s="154"/>
    </row>
    <row r="3016" spans="1:46" x14ac:dyDescent="0.3">
      <c r="A3016" t="s">
        <v>342</v>
      </c>
    </row>
    <row r="3017" spans="1:46" x14ac:dyDescent="0.3">
      <c r="A3017" t="s">
        <v>342</v>
      </c>
      <c r="B3017" t="str">
        <f>C3008</f>
        <v>IL 8/1.1.1.1.1.1.1</v>
      </c>
      <c r="C3017" t="str">
        <f>D3008</f>
        <v>IL 9/1.1.1.1.1.1.1.1</v>
      </c>
      <c r="E3017" t="s">
        <v>197</v>
      </c>
      <c r="O3017" s="83"/>
      <c r="P3017" s="83">
        <f ca="1">P3008</f>
        <v>2067.7746639030297</v>
      </c>
    </row>
    <row r="3018" spans="1:46" x14ac:dyDescent="0.3">
      <c r="A3018" t="s">
        <v>342</v>
      </c>
      <c r="E3018" t="s">
        <v>206</v>
      </c>
      <c r="O3018" s="7"/>
      <c r="P3018" s="7">
        <f ca="1">P3020*P3017</f>
        <v>2067.7746639030297</v>
      </c>
      <c r="S3018" s="77"/>
    </row>
    <row r="3019" spans="1:46" x14ac:dyDescent="0.3">
      <c r="A3019" t="s">
        <v>342</v>
      </c>
      <c r="O3019" s="7"/>
      <c r="P3019" s="7"/>
      <c r="Q3019" s="7">
        <f ca="1">P3008</f>
        <v>2067.7746639030297</v>
      </c>
      <c r="S3019" s="77"/>
    </row>
    <row r="3020" spans="1:46" x14ac:dyDescent="0.3">
      <c r="A3020" t="s">
        <v>342</v>
      </c>
      <c r="C3020" s="11"/>
      <c r="D3020" s="11"/>
      <c r="E3020" s="11" t="s">
        <v>134</v>
      </c>
      <c r="F3020" s="11"/>
      <c r="G3020" s="11"/>
      <c r="O3020" s="104"/>
      <c r="P3020" s="104">
        <f>P3021*P3022*P3023*P3024</f>
        <v>1</v>
      </c>
      <c r="Q3020" s="7">
        <f>Q3021*Q3022*Q3023*Q3024</f>
        <v>0</v>
      </c>
      <c r="R3020" s="11"/>
      <c r="T3020" s="11"/>
    </row>
    <row r="3021" spans="1:46" x14ac:dyDescent="0.3">
      <c r="A3021" t="s">
        <v>342</v>
      </c>
      <c r="E3021" t="s">
        <v>35</v>
      </c>
      <c r="O3021" s="89"/>
      <c r="P3021" s="89">
        <f>SUMIFS('Summary500-600'!$C$163:$C$264,'Summary500-600'!$A$163:$A$264,$A3021,'Summary500-600'!$B$163:$B$264,$E3021)</f>
        <v>1</v>
      </c>
    </row>
    <row r="3022" spans="1:46" x14ac:dyDescent="0.3">
      <c r="A3022" t="s">
        <v>342</v>
      </c>
      <c r="E3022" t="s">
        <v>36</v>
      </c>
      <c r="O3022" s="89"/>
      <c r="P3022" s="89">
        <f>SUMIFS('Summary500-600'!$C$163:$C$264,'Summary500-600'!$A$163:$A$264,$A3022,'Summary500-600'!$B$163:$B$264,$E3022)</f>
        <v>1</v>
      </c>
    </row>
    <row r="3023" spans="1:46" x14ac:dyDescent="0.3">
      <c r="A3023" t="s">
        <v>342</v>
      </c>
      <c r="E3023" t="s">
        <v>142</v>
      </c>
      <c r="O3023" s="89"/>
      <c r="P3023" s="89">
        <f>SUMIFS('Summary500-600'!$C$163:$C$264,'Summary500-600'!$A$163:$A$264,$A3023,'Summary500-600'!$B$163:$B$264,$E3023)</f>
        <v>1</v>
      </c>
    </row>
    <row r="3024" spans="1:46" x14ac:dyDescent="0.3">
      <c r="A3024" t="s">
        <v>342</v>
      </c>
      <c r="E3024" t="s">
        <v>37</v>
      </c>
      <c r="O3024" s="89"/>
      <c r="P3024" s="89">
        <f>SUMIFS('Summary500-600'!$C$163:$C$264,'Summary500-600'!$A$163:$A$264,$A3024,'Summary500-600'!$B$163:$B$264,$E3024)</f>
        <v>1</v>
      </c>
    </row>
    <row r="3025" spans="1:16" x14ac:dyDescent="0.3">
      <c r="A3025" t="s">
        <v>342</v>
      </c>
    </row>
    <row r="3026" spans="1:16" x14ac:dyDescent="0.3">
      <c r="A3026" t="s">
        <v>342</v>
      </c>
    </row>
    <row r="3027" spans="1:16" x14ac:dyDescent="0.3">
      <c r="A3027" t="s">
        <v>342</v>
      </c>
      <c r="E3027" t="s">
        <v>125</v>
      </c>
      <c r="O3027" s="83"/>
      <c r="P3027" s="83">
        <f ca="1">OFFSET($E$30,MATCH($A3027,$E$30:$E$45,0)-1,1)</f>
        <v>64.102564102564102</v>
      </c>
    </row>
    <row r="3028" spans="1:16" x14ac:dyDescent="0.3">
      <c r="A3028" t="s">
        <v>342</v>
      </c>
      <c r="E3028" t="s">
        <v>135</v>
      </c>
      <c r="O3028" s="82"/>
      <c r="P3028" s="82">
        <f ca="1">P3027</f>
        <v>64.102564102564102</v>
      </c>
    </row>
    <row r="3029" spans="1:16" x14ac:dyDescent="0.3">
      <c r="A3029" t="s">
        <v>342</v>
      </c>
    </row>
    <row r="3030" spans="1:16" x14ac:dyDescent="0.3">
      <c r="A3030" t="s">
        <v>342</v>
      </c>
      <c r="E3030" t="s">
        <v>126</v>
      </c>
      <c r="O3030" s="88"/>
      <c r="P3030" s="88">
        <f>$H$52</f>
        <v>0.2</v>
      </c>
    </row>
    <row r="3031" spans="1:16" x14ac:dyDescent="0.3">
      <c r="A3031" t="s">
        <v>342</v>
      </c>
      <c r="E3031" t="s">
        <v>117</v>
      </c>
      <c r="O3031" s="7"/>
      <c r="P3031" s="7">
        <f ca="1">P3030*P3027</f>
        <v>12.820512820512821</v>
      </c>
    </row>
    <row r="3032" spans="1:16" x14ac:dyDescent="0.3">
      <c r="A3032" t="s">
        <v>342</v>
      </c>
    </row>
    <row r="3033" spans="1:16" x14ac:dyDescent="0.3">
      <c r="A3033" t="s">
        <v>342</v>
      </c>
      <c r="E3033" t="s">
        <v>118</v>
      </c>
      <c r="O3033" s="7"/>
      <c r="P3033" s="7">
        <f ca="1">P3028</f>
        <v>64.102564102564102</v>
      </c>
    </row>
    <row r="3034" spans="1:16" x14ac:dyDescent="0.3">
      <c r="A3034" t="s">
        <v>342</v>
      </c>
      <c r="E3034" t="s">
        <v>106</v>
      </c>
      <c r="O3034" s="7"/>
      <c r="P3034" s="7">
        <f ca="1">P3027*(1+P3030)</f>
        <v>76.92307692307692</v>
      </c>
    </row>
    <row r="3035" spans="1:16" x14ac:dyDescent="0.3">
      <c r="A3035" t="s">
        <v>342</v>
      </c>
      <c r="O3035" s="7"/>
      <c r="P3035" s="7"/>
    </row>
    <row r="3036" spans="1:16" x14ac:dyDescent="0.3">
      <c r="A3036" t="s">
        <v>342</v>
      </c>
      <c r="E3036" t="s">
        <v>136</v>
      </c>
      <c r="O3036" s="7"/>
      <c r="P3036" s="7">
        <f ca="1">P3033*P3018</f>
        <v>132549.65794250192</v>
      </c>
    </row>
    <row r="3037" spans="1:16" x14ac:dyDescent="0.3">
      <c r="A3037" t="s">
        <v>342</v>
      </c>
      <c r="E3037" t="s">
        <v>119</v>
      </c>
      <c r="O3037" s="7"/>
      <c r="P3037" s="7">
        <f ca="1">P3034*P3018</f>
        <v>159059.58953100228</v>
      </c>
    </row>
    <row r="3038" spans="1:16" x14ac:dyDescent="0.3">
      <c r="A3038" t="s">
        <v>342</v>
      </c>
      <c r="O3038" s="7"/>
      <c r="P3038" s="7"/>
    </row>
    <row r="3039" spans="1:16" x14ac:dyDescent="0.3">
      <c r="A3039" t="s">
        <v>342</v>
      </c>
      <c r="E3039" t="s">
        <v>302</v>
      </c>
      <c r="O3039" s="6"/>
      <c r="P3039" s="6">
        <f ca="1">P3031*P3018</f>
        <v>26509.931588500382</v>
      </c>
    </row>
    <row r="3040" spans="1:16" x14ac:dyDescent="0.3">
      <c r="A3040" t="s">
        <v>342</v>
      </c>
      <c r="O3040" s="7"/>
      <c r="P3040" s="7"/>
    </row>
    <row r="3041" spans="1:21" x14ac:dyDescent="0.3">
      <c r="A3041" t="s">
        <v>342</v>
      </c>
      <c r="E3041" t="s">
        <v>127</v>
      </c>
      <c r="Q3041" s="7">
        <f ca="1">P3034/3</f>
        <v>25.641025641025639</v>
      </c>
      <c r="R3041" s="7">
        <f ca="1">P3034/3</f>
        <v>25.641025641025639</v>
      </c>
      <c r="S3041" s="7">
        <f ca="1">P3034/3</f>
        <v>25.641025641025639</v>
      </c>
    </row>
    <row r="3042" spans="1:21" x14ac:dyDescent="0.3">
      <c r="A3042" t="s">
        <v>342</v>
      </c>
      <c r="Q3042" s="7">
        <f ca="1">P3034</f>
        <v>76.92307692307692</v>
      </c>
    </row>
    <row r="3043" spans="1:21" s="103" customFormat="1" x14ac:dyDescent="0.3">
      <c r="A3043" t="s">
        <v>342</v>
      </c>
      <c r="E3043" s="100" t="s">
        <v>128</v>
      </c>
      <c r="O3043" s="139"/>
      <c r="P3043" s="139">
        <f ca="1">OFFSET('Summary500-600'!$B$38,MATCH($A3043,'Summary500-600'!$B$38:$B$52,0)-1,1)</f>
        <v>0.95</v>
      </c>
    </row>
    <row r="3044" spans="1:21" s="103" customFormat="1" x14ac:dyDescent="0.3">
      <c r="A3044" t="s">
        <v>342</v>
      </c>
      <c r="E3044" s="103" t="s">
        <v>129</v>
      </c>
      <c r="O3044" s="79"/>
      <c r="P3044" s="79">
        <f ca="1">1-P3043</f>
        <v>5.0000000000000044E-2</v>
      </c>
    </row>
    <row r="3045" spans="1:21" x14ac:dyDescent="0.3">
      <c r="A3045" t="s">
        <v>342</v>
      </c>
    </row>
    <row r="3046" spans="1:21" x14ac:dyDescent="0.3">
      <c r="A3046" t="s">
        <v>342</v>
      </c>
      <c r="C3046" s="71"/>
      <c r="D3046" s="71"/>
      <c r="E3046" s="71" t="s">
        <v>16</v>
      </c>
    </row>
    <row r="3047" spans="1:21" x14ac:dyDescent="0.3">
      <c r="A3047" t="s">
        <v>342</v>
      </c>
      <c r="E3047" t="s">
        <v>17</v>
      </c>
      <c r="Q3047" s="74">
        <f>'Summary500-600'!$C$107</f>
        <v>0.09</v>
      </c>
      <c r="R3047" s="74">
        <f>'Summary500-600'!$C$108</f>
        <v>0.03</v>
      </c>
      <c r="S3047" s="74">
        <f>'Summary500-600'!$C$109</f>
        <v>0.01</v>
      </c>
      <c r="T3047" s="75"/>
      <c r="U3047" s="75"/>
    </row>
    <row r="3048" spans="1:21" x14ac:dyDescent="0.3">
      <c r="A3048" t="s">
        <v>342</v>
      </c>
      <c r="E3048" t="s">
        <v>18</v>
      </c>
      <c r="G3048" s="75"/>
      <c r="R3048" s="74">
        <f>'Summary500-600'!$C$110</f>
        <v>0.8</v>
      </c>
      <c r="S3048" s="76">
        <f>R3048</f>
        <v>0.8</v>
      </c>
      <c r="T3048" s="76">
        <f>S3048</f>
        <v>0.8</v>
      </c>
      <c r="U3048" s="75"/>
    </row>
    <row r="3049" spans="1:21" x14ac:dyDescent="0.3">
      <c r="A3049" t="s">
        <v>342</v>
      </c>
      <c r="E3049" t="s">
        <v>19</v>
      </c>
      <c r="G3049" s="75"/>
      <c r="R3049" s="75"/>
      <c r="S3049" s="74">
        <f>'Summary500-600'!$C$104</f>
        <v>1</v>
      </c>
      <c r="T3049" s="74">
        <f>S3049</f>
        <v>1</v>
      </c>
      <c r="U3049" s="74">
        <f>T3049</f>
        <v>1</v>
      </c>
    </row>
    <row r="3050" spans="1:21" x14ac:dyDescent="0.3">
      <c r="A3050" t="s">
        <v>342</v>
      </c>
      <c r="E3050" t="s">
        <v>20</v>
      </c>
      <c r="S3050" s="21"/>
    </row>
    <row r="3051" spans="1:21" x14ac:dyDescent="0.3">
      <c r="A3051" t="s">
        <v>342</v>
      </c>
      <c r="S3051" s="21"/>
    </row>
    <row r="3052" spans="1:21" x14ac:dyDescent="0.3">
      <c r="A3052" t="s">
        <v>342</v>
      </c>
      <c r="C3052" s="11"/>
      <c r="D3052" s="11"/>
      <c r="E3052" s="11" t="s">
        <v>196</v>
      </c>
      <c r="Q3052" s="90">
        <f ca="1">SUM(Q3053:Q3056)</f>
        <v>0.13550000000000004</v>
      </c>
      <c r="R3052" s="90">
        <f ca="1">SUM(R3053:R3056)</f>
        <v>0.13550000000000001</v>
      </c>
      <c r="S3052" s="90">
        <f ca="1">SUM(S3053:S3056)</f>
        <v>7.3713349999999997E-2</v>
      </c>
      <c r="T3052" s="90">
        <f ca="1">SUM(T3053:T3056)</f>
        <v>7.3589079999999987E-2</v>
      </c>
    </row>
    <row r="3053" spans="1:21" x14ac:dyDescent="0.3">
      <c r="A3053" t="s">
        <v>342</v>
      </c>
      <c r="E3053" t="s">
        <v>17</v>
      </c>
      <c r="Q3053" s="22">
        <f ca="1">(1-Q3047)*P3044</f>
        <v>4.550000000000004E-2</v>
      </c>
      <c r="R3053" s="22">
        <f ca="1">Q3053*(1-R3047)+Q3054*(1-R3048)</f>
        <v>6.213500000000003E-2</v>
      </c>
    </row>
    <row r="3054" spans="1:21" x14ac:dyDescent="0.3">
      <c r="A3054" t="s">
        <v>342</v>
      </c>
      <c r="E3054" t="s">
        <v>18</v>
      </c>
      <c r="Q3054" s="22">
        <f>Q3047</f>
        <v>0.09</v>
      </c>
      <c r="R3054" s="22">
        <f ca="1">Q3053*R3047</f>
        <v>1.3650000000000012E-3</v>
      </c>
      <c r="S3054" s="22">
        <f ca="1">R3053*S3047</f>
        <v>6.2135000000000033E-4</v>
      </c>
      <c r="U3054" s="22"/>
    </row>
    <row r="3055" spans="1:21" x14ac:dyDescent="0.3">
      <c r="A3055" t="s">
        <v>342</v>
      </c>
      <c r="E3055" t="s">
        <v>19</v>
      </c>
      <c r="R3055" s="22">
        <f>Q3054*R3048</f>
        <v>7.1999999999999995E-2</v>
      </c>
      <c r="S3055" s="22">
        <f ca="1">R3054*S3048+R3055</f>
        <v>7.309199999999999E-2</v>
      </c>
      <c r="T3055" s="22">
        <f ca="1">S3054*T3048+S3055</f>
        <v>7.3589079999999987E-2</v>
      </c>
    </row>
    <row r="3056" spans="1:21" x14ac:dyDescent="0.3">
      <c r="A3056" t="s">
        <v>342</v>
      </c>
      <c r="R3056" s="22"/>
      <c r="S3056" s="22"/>
    </row>
    <row r="3057" spans="1:21" x14ac:dyDescent="0.3">
      <c r="A3057" t="s">
        <v>342</v>
      </c>
      <c r="E3057" t="s">
        <v>195</v>
      </c>
      <c r="Q3057" s="22">
        <f ca="1">(1-Q3047)*P3043</f>
        <v>0.86449999999999994</v>
      </c>
      <c r="S3057" s="29">
        <f ca="1">R3053*(1-S3047)+R3054*(1-S3048)+R3055*(1-S3049)</f>
        <v>6.1786650000000033E-2</v>
      </c>
      <c r="T3057" s="29">
        <f ca="1">S3054*(1-T3048)+S3057</f>
        <v>6.1910920000000036E-2</v>
      </c>
      <c r="U3057" s="22"/>
    </row>
    <row r="3058" spans="1:21" x14ac:dyDescent="0.3">
      <c r="A3058" t="s">
        <v>342</v>
      </c>
      <c r="Q3058" s="22"/>
      <c r="S3058" s="29"/>
      <c r="T3058" s="29"/>
      <c r="U3058" s="22"/>
    </row>
    <row r="3059" spans="1:21" x14ac:dyDescent="0.3">
      <c r="A3059" t="s">
        <v>342</v>
      </c>
      <c r="Q3059" s="25" t="s">
        <v>32</v>
      </c>
    </row>
    <row r="3060" spans="1:21" x14ac:dyDescent="0.3">
      <c r="A3060" t="s">
        <v>342</v>
      </c>
      <c r="C3060" s="11"/>
      <c r="D3060" s="11"/>
      <c r="E3060" s="11" t="s">
        <v>124</v>
      </c>
      <c r="Q3060" s="8">
        <f ca="1">SUM(Q3061:Q3064)</f>
        <v>2067.7746639030297</v>
      </c>
      <c r="R3060" s="8">
        <f ca="1">SUM(R3061:R3064)</f>
        <v>280.18346695886055</v>
      </c>
      <c r="S3060" s="8">
        <f ca="1">SUM(S3061:S3064)</f>
        <v>152.42259752141638</v>
      </c>
    </row>
    <row r="3061" spans="1:21" x14ac:dyDescent="0.3">
      <c r="A3061" t="s">
        <v>342</v>
      </c>
      <c r="C3061" s="23"/>
      <c r="D3061" s="23"/>
      <c r="E3061" s="23" t="s">
        <v>120</v>
      </c>
      <c r="Q3061" s="7">
        <f ca="1">P3018*(1-Q3047)</f>
        <v>1881.674944151757</v>
      </c>
      <c r="R3061" s="82">
        <f ca="1">Q3099*(1-R3047)+Q3062*(1-R3048)</f>
        <v>128.48117874161483</v>
      </c>
    </row>
    <row r="3062" spans="1:21" x14ac:dyDescent="0.3">
      <c r="A3062" t="s">
        <v>342</v>
      </c>
      <c r="C3062" s="24"/>
      <c r="D3062" s="24"/>
      <c r="E3062" s="24" t="s">
        <v>122</v>
      </c>
      <c r="Q3062" s="7">
        <f ca="1">P3018*Q3047</f>
        <v>186.09971975127266</v>
      </c>
      <c r="R3062" s="7">
        <f ca="1">Q3099*R3047</f>
        <v>2.8225124162276378</v>
      </c>
      <c r="S3062" s="7">
        <f ca="1">R3061*S3047</f>
        <v>1.2848117874161482</v>
      </c>
      <c r="T3062" s="7">
        <f>S3061*T3047</f>
        <v>0</v>
      </c>
    </row>
    <row r="3063" spans="1:21" x14ac:dyDescent="0.3">
      <c r="A3063" t="s">
        <v>342</v>
      </c>
      <c r="C3063" s="23"/>
      <c r="D3063" s="23"/>
      <c r="E3063" s="23" t="s">
        <v>121</v>
      </c>
      <c r="R3063" s="7">
        <f ca="1">Q3062*R3048</f>
        <v>148.87977580101813</v>
      </c>
      <c r="S3063" s="7">
        <f ca="1">R3062*S3048</f>
        <v>2.2580099329821102</v>
      </c>
      <c r="T3063" s="7">
        <f ca="1">S3062*T3048</f>
        <v>1.0278494299329186</v>
      </c>
    </row>
    <row r="3064" spans="1:21" x14ac:dyDescent="0.3">
      <c r="A3064" t="s">
        <v>342</v>
      </c>
      <c r="C3064" s="23"/>
      <c r="D3064" s="23"/>
      <c r="E3064" s="23" t="s">
        <v>138</v>
      </c>
      <c r="R3064" s="7"/>
      <c r="S3064" s="7">
        <f ca="1">R3063*S3049</f>
        <v>148.87977580101813</v>
      </c>
      <c r="T3064" s="7">
        <f ca="1">S3063*T3049+S3064</f>
        <v>151.13778573400023</v>
      </c>
      <c r="U3064" s="7">
        <f ca="1">T3063*U3049+T3064</f>
        <v>152.16563516393316</v>
      </c>
    </row>
    <row r="3065" spans="1:21" x14ac:dyDescent="0.3">
      <c r="A3065" t="s">
        <v>342</v>
      </c>
      <c r="C3065" s="23"/>
      <c r="D3065" s="23"/>
      <c r="E3065" s="23"/>
      <c r="R3065" s="7"/>
    </row>
    <row r="3066" spans="1:21" x14ac:dyDescent="0.3">
      <c r="A3066" t="s">
        <v>342</v>
      </c>
      <c r="C3066" s="23"/>
      <c r="D3066" s="23"/>
      <c r="E3066" s="23" t="s">
        <v>137</v>
      </c>
      <c r="R3066" s="7"/>
      <c r="S3066" s="7">
        <f ca="1">R3061*(1-S3047)+R3062*(1-S3048)+R3063*(1-S3049)</f>
        <v>127.76086943744421</v>
      </c>
      <c r="T3066" s="7">
        <f ca="1">S3062*(1-T3048)+S3066</f>
        <v>128.01783179492745</v>
      </c>
      <c r="U3066" s="7">
        <f ca="1">T3063*(1-U3049)+T3066</f>
        <v>128.01783179492745</v>
      </c>
    </row>
    <row r="3067" spans="1:21" x14ac:dyDescent="0.3">
      <c r="A3067" t="s">
        <v>342</v>
      </c>
      <c r="C3067" s="23"/>
      <c r="D3067" s="23"/>
      <c r="E3067" s="23"/>
      <c r="R3067" s="7"/>
    </row>
    <row r="3068" spans="1:21" x14ac:dyDescent="0.3">
      <c r="A3068" t="s">
        <v>342</v>
      </c>
      <c r="C3068" s="11"/>
      <c r="D3068" s="11"/>
      <c r="E3068" s="11" t="s">
        <v>139</v>
      </c>
      <c r="Q3068" s="8">
        <f ca="1">SUM(Q3069:Q3070)</f>
        <v>1881.674944151757</v>
      </c>
      <c r="R3068" s="8">
        <f ca="1">SUM(R3069:R3070)</f>
        <v>128.48117874161483</v>
      </c>
      <c r="S3068" s="8">
        <f ca="1">SUM(S3069:S3070)</f>
        <v>127.76086943744421</v>
      </c>
      <c r="T3068" s="8">
        <f ca="1">SUM(T3069:T3070)</f>
        <v>0.2569623574832296</v>
      </c>
    </row>
    <row r="3069" spans="1:21" x14ac:dyDescent="0.3">
      <c r="A3069" t="s">
        <v>342</v>
      </c>
      <c r="C3069" s="23"/>
      <c r="D3069" s="23"/>
      <c r="E3069" s="23" t="s">
        <v>120</v>
      </c>
      <c r="Q3069" s="7">
        <f ca="1">Q3061</f>
        <v>1881.674944151757</v>
      </c>
      <c r="R3069" s="7">
        <f ca="1">Q3099*(1-R3047)</f>
        <v>91.261234791360295</v>
      </c>
      <c r="S3069" s="7">
        <f ca="1">R3061*(1-S3047)</f>
        <v>127.19636695419868</v>
      </c>
    </row>
    <row r="3070" spans="1:21" x14ac:dyDescent="0.3">
      <c r="A3070" t="s">
        <v>342</v>
      </c>
      <c r="C3070" s="24"/>
      <c r="D3070" s="24"/>
      <c r="E3070" s="24" t="s">
        <v>122</v>
      </c>
      <c r="R3070" s="7">
        <f ca="1">Q3062*(1-R3048)</f>
        <v>37.219943950254525</v>
      </c>
      <c r="S3070" s="7">
        <f ca="1">R3062*(1-S3048)</f>
        <v>0.56450248324552743</v>
      </c>
      <c r="T3070" s="7">
        <f ca="1">S3062*(1-T3048)</f>
        <v>0.2569623574832296</v>
      </c>
    </row>
    <row r="3071" spans="1:21" x14ac:dyDescent="0.3">
      <c r="A3071" t="s">
        <v>342</v>
      </c>
      <c r="C3071" s="23"/>
      <c r="D3071" s="23"/>
      <c r="E3071" s="23"/>
      <c r="R3071" s="7"/>
      <c r="S3071" s="7">
        <f ca="1">R3063*(1-S3049)</f>
        <v>0</v>
      </c>
      <c r="T3071" s="7">
        <f ca="1">S3063*(1-T3049)</f>
        <v>0</v>
      </c>
    </row>
    <row r="3072" spans="1:21" x14ac:dyDescent="0.3">
      <c r="A3072" t="s">
        <v>342</v>
      </c>
      <c r="C3072" s="81"/>
      <c r="D3072" s="81"/>
      <c r="E3072" s="81" t="s">
        <v>123</v>
      </c>
    </row>
    <row r="3073" spans="1:21" x14ac:dyDescent="0.3">
      <c r="A3073" t="s">
        <v>342</v>
      </c>
      <c r="C3073" s="23"/>
      <c r="D3073" s="23"/>
      <c r="E3073" s="23" t="s">
        <v>120</v>
      </c>
      <c r="Q3073" s="7">
        <f ca="1">P3034-Q3041</f>
        <v>51.282051282051285</v>
      </c>
      <c r="R3073" s="7">
        <f ca="1">Q3073-R3041</f>
        <v>25.641025641025646</v>
      </c>
      <c r="S3073" s="7">
        <f ca="1">R3073-S3041</f>
        <v>0</v>
      </c>
    </row>
    <row r="3074" spans="1:21" x14ac:dyDescent="0.3">
      <c r="A3074" t="s">
        <v>342</v>
      </c>
      <c r="C3074" s="24"/>
      <c r="D3074" s="24"/>
      <c r="E3074" s="24" t="s">
        <v>122</v>
      </c>
      <c r="Q3074" s="7">
        <f ca="1">P3034</f>
        <v>76.92307692307692</v>
      </c>
      <c r="R3074" s="7">
        <f ca="1">Q3073</f>
        <v>51.282051282051285</v>
      </c>
      <c r="S3074" s="7">
        <f ca="1">R3073</f>
        <v>25.641025641025646</v>
      </c>
    </row>
    <row r="3075" spans="1:21" x14ac:dyDescent="0.3">
      <c r="A3075" t="s">
        <v>342</v>
      </c>
      <c r="C3075" s="23"/>
      <c r="D3075" s="23"/>
      <c r="E3075" s="23" t="s">
        <v>121</v>
      </c>
      <c r="R3075" s="7">
        <f ca="1">Q3074</f>
        <v>76.92307692307692</v>
      </c>
      <c r="S3075" s="7">
        <f ca="1">R3074</f>
        <v>51.282051282051285</v>
      </c>
      <c r="T3075" s="7">
        <f ca="1">S3074</f>
        <v>25.641025641025646</v>
      </c>
    </row>
    <row r="3076" spans="1:21" x14ac:dyDescent="0.3">
      <c r="A3076" t="s">
        <v>342</v>
      </c>
      <c r="C3076" s="23"/>
      <c r="D3076" s="23"/>
      <c r="E3076" s="23"/>
      <c r="S3076" s="7"/>
      <c r="T3076" s="7"/>
    </row>
    <row r="3077" spans="1:21" x14ac:dyDescent="0.3">
      <c r="A3077" t="s">
        <v>342</v>
      </c>
      <c r="C3077" s="23"/>
      <c r="D3077" s="23"/>
      <c r="E3077" s="23"/>
      <c r="S3077" s="7"/>
      <c r="T3077" s="7"/>
    </row>
    <row r="3078" spans="1:21" x14ac:dyDescent="0.3">
      <c r="A3078" t="s">
        <v>342</v>
      </c>
      <c r="C3078" s="11"/>
      <c r="D3078" s="11"/>
      <c r="E3078" s="11" t="s">
        <v>130</v>
      </c>
      <c r="Q3078" s="8">
        <f ca="1">SUM(Q3079:Q3082)</f>
        <v>110811.5140399316</v>
      </c>
      <c r="R3078" s="8">
        <f ca="1">SUM(R3079:R3082)</f>
        <v>14891.423871208321</v>
      </c>
      <c r="S3078" s="8">
        <f ca="1">SUM(S3079:S3082)</f>
        <v>11601.029719395763</v>
      </c>
      <c r="T3078" s="8">
        <f ca="1">SUM(T3079:T3082)</f>
        <v>11594.440940998758</v>
      </c>
    </row>
    <row r="3079" spans="1:21" x14ac:dyDescent="0.3">
      <c r="A3079" t="s">
        <v>342</v>
      </c>
      <c r="C3079" s="23"/>
      <c r="D3079" s="23"/>
      <c r="E3079" s="23" t="s">
        <v>120</v>
      </c>
      <c r="Q3079" s="7">
        <f t="shared" ref="Q3079:S3079" ca="1" si="193">Q3073*Q3061</f>
        <v>96496.150982141393</v>
      </c>
      <c r="R3079" s="7">
        <f t="shared" ca="1" si="193"/>
        <v>3294.389198502945</v>
      </c>
      <c r="S3079" s="7">
        <f t="shared" ca="1" si="193"/>
        <v>0</v>
      </c>
    </row>
    <row r="3080" spans="1:21" x14ac:dyDescent="0.3">
      <c r="A3080" t="s">
        <v>342</v>
      </c>
      <c r="C3080" s="24"/>
      <c r="D3080" s="24"/>
      <c r="E3080" s="24" t="s">
        <v>122</v>
      </c>
      <c r="Q3080" s="7">
        <f t="shared" ref="Q3080:S3080" ca="1" si="194">Q3074*Q3062</f>
        <v>14315.363057790204</v>
      </c>
      <c r="R3080" s="7">
        <f t="shared" ca="1" si="194"/>
        <v>144.74422647321219</v>
      </c>
      <c r="S3080" s="7">
        <f t="shared" ca="1" si="194"/>
        <v>32.943891985029445</v>
      </c>
      <c r="T3080" s="7">
        <f>T3074*T3062</f>
        <v>0</v>
      </c>
    </row>
    <row r="3081" spans="1:21" x14ac:dyDescent="0.3">
      <c r="A3081" t="s">
        <v>342</v>
      </c>
      <c r="C3081" s="23"/>
      <c r="D3081" s="23"/>
      <c r="E3081" s="23" t="s">
        <v>121</v>
      </c>
      <c r="R3081" s="7">
        <f ca="1">R3075*R3063</f>
        <v>11452.290446232164</v>
      </c>
      <c r="S3081" s="7">
        <f ca="1">S3075*S3063</f>
        <v>115.79538117856976</v>
      </c>
      <c r="T3081" s="7">
        <f ca="1">T3075*T3063</f>
        <v>26.35511358802356</v>
      </c>
    </row>
    <row r="3082" spans="1:21" x14ac:dyDescent="0.3">
      <c r="A3082" t="s">
        <v>342</v>
      </c>
      <c r="C3082" s="23"/>
      <c r="D3082" s="23"/>
      <c r="E3082" s="23" t="s">
        <v>299</v>
      </c>
      <c r="S3082" s="8">
        <f ca="1">R3081</f>
        <v>11452.290446232164</v>
      </c>
      <c r="T3082" s="8">
        <f ca="1">S3082+S3081</f>
        <v>11568.085827410734</v>
      </c>
      <c r="U3082" s="8">
        <f ca="1">T3082+T3081</f>
        <v>11594.440940998758</v>
      </c>
    </row>
    <row r="3083" spans="1:21" x14ac:dyDescent="0.3">
      <c r="A3083" t="s">
        <v>342</v>
      </c>
      <c r="C3083" s="23"/>
      <c r="D3083" s="23"/>
      <c r="E3083" s="23"/>
    </row>
    <row r="3084" spans="1:21" x14ac:dyDescent="0.3">
      <c r="A3084" t="s">
        <v>342</v>
      </c>
      <c r="C3084" s="105"/>
      <c r="D3084" s="105"/>
      <c r="E3084" s="105" t="s">
        <v>300</v>
      </c>
      <c r="O3084" s="8"/>
      <c r="P3084" s="8">
        <f ca="1">U3082</f>
        <v>11594.440940998758</v>
      </c>
    </row>
    <row r="3085" spans="1:21" x14ac:dyDescent="0.3">
      <c r="A3085" t="s">
        <v>342</v>
      </c>
      <c r="C3085" s="23"/>
      <c r="D3085" s="23"/>
      <c r="E3085" s="23"/>
    </row>
    <row r="3086" spans="1:21" x14ac:dyDescent="0.3">
      <c r="A3086" t="s">
        <v>342</v>
      </c>
      <c r="C3086" s="11"/>
      <c r="D3086" s="11"/>
      <c r="E3086" s="11" t="s">
        <v>140</v>
      </c>
      <c r="Q3086" s="8">
        <f ca="1">SUM(Q3088:Q3091)</f>
        <v>139919.418924105</v>
      </c>
      <c r="R3086" s="8">
        <f ca="1">SUM(R3088:R3091)</f>
        <v>4248.7467356889574</v>
      </c>
      <c r="S3086" s="8">
        <f ca="1">SUM(S3088:S3091)</f>
        <v>3290.3941518125571</v>
      </c>
      <c r="T3086" s="8">
        <f ca="1">SUM(T3088:T3091)</f>
        <v>6.5887783970058864</v>
      </c>
    </row>
    <row r="3087" spans="1:21" x14ac:dyDescent="0.3">
      <c r="A3087" t="s">
        <v>342</v>
      </c>
      <c r="C3087" s="11"/>
      <c r="D3087" s="11"/>
      <c r="E3087" s="11"/>
      <c r="Q3087" s="8"/>
      <c r="R3087" s="8"/>
      <c r="S3087" s="8"/>
      <c r="T3087" s="8"/>
    </row>
    <row r="3088" spans="1:21" x14ac:dyDescent="0.3">
      <c r="A3088" t="s">
        <v>342</v>
      </c>
      <c r="E3088" t="s">
        <v>131</v>
      </c>
      <c r="G3088" s="23" t="s">
        <v>120</v>
      </c>
      <c r="Q3088" s="6">
        <f ca="1">Q3097*Q3042</f>
        <v>137507.01514955147</v>
      </c>
    </row>
    <row r="3089" spans="1:46" x14ac:dyDescent="0.3">
      <c r="A3089" t="s">
        <v>342</v>
      </c>
      <c r="G3089" s="23"/>
      <c r="Q3089" s="6"/>
    </row>
    <row r="3090" spans="1:46" x14ac:dyDescent="0.3">
      <c r="A3090" t="s">
        <v>342</v>
      </c>
      <c r="E3090" t="s">
        <v>200</v>
      </c>
      <c r="G3090" s="23" t="s">
        <v>120</v>
      </c>
      <c r="Q3090" s="6">
        <f ca="1">Q3099*Q3041</f>
        <v>2412.4037745535366</v>
      </c>
      <c r="R3090" s="27">
        <f ca="1">R3069*R3041</f>
        <v>2340.0316613169302</v>
      </c>
      <c r="S3090" s="27">
        <f ca="1">S3069*S3041</f>
        <v>3261.4453065179146</v>
      </c>
      <c r="T3090" s="27">
        <f>T3069*T3041</f>
        <v>0</v>
      </c>
    </row>
    <row r="3091" spans="1:46" x14ac:dyDescent="0.3">
      <c r="A3091" t="s">
        <v>342</v>
      </c>
      <c r="E3091" t="s">
        <v>200</v>
      </c>
      <c r="G3091" s="24" t="s">
        <v>122</v>
      </c>
      <c r="Q3091" s="6"/>
      <c r="R3091" s="27">
        <f ca="1">R3070*(Q3041+R3041)</f>
        <v>1908.7150743720267</v>
      </c>
      <c r="S3091" s="27">
        <f ca="1">S3070*(R3041+S3041)</f>
        <v>28.948845294642428</v>
      </c>
      <c r="T3091" s="27">
        <f ca="1">T3070*(S3041+T3041)</f>
        <v>6.5887783970058864</v>
      </c>
    </row>
    <row r="3092" spans="1:46" x14ac:dyDescent="0.3">
      <c r="A3092" t="s">
        <v>342</v>
      </c>
    </row>
    <row r="3093" spans="1:46" x14ac:dyDescent="0.3">
      <c r="A3093" t="s">
        <v>342</v>
      </c>
      <c r="C3093" s="11"/>
      <c r="D3093" s="11"/>
      <c r="E3093" s="11" t="s">
        <v>283</v>
      </c>
      <c r="Q3093" s="8">
        <f ca="1">SUM(Q3090:T3091)</f>
        <v>9958.1334404520567</v>
      </c>
    </row>
    <row r="3094" spans="1:46" x14ac:dyDescent="0.3">
      <c r="A3094" t="s">
        <v>342</v>
      </c>
    </row>
    <row r="3095" spans="1:46" x14ac:dyDescent="0.3">
      <c r="A3095" t="s">
        <v>342</v>
      </c>
      <c r="E3095" t="s">
        <v>202</v>
      </c>
      <c r="Q3095" s="28">
        <f ca="1">Q3097*(R3041+S3041)</f>
        <v>91671.343433034301</v>
      </c>
    </row>
    <row r="3096" spans="1:46" x14ac:dyDescent="0.3">
      <c r="A3096" t="s">
        <v>342</v>
      </c>
    </row>
    <row r="3097" spans="1:46" x14ac:dyDescent="0.3">
      <c r="A3097" t="s">
        <v>342</v>
      </c>
      <c r="B3097" t="str">
        <f>C3008</f>
        <v>IL 8/1.1.1.1.1.1.1</v>
      </c>
      <c r="C3097" t="str">
        <f>C3017</f>
        <v>IL 9/1.1.1.1.1.1.1.1</v>
      </c>
      <c r="D3097" t="s">
        <v>359</v>
      </c>
      <c r="E3097" s="72" t="s">
        <v>132</v>
      </c>
      <c r="Q3097" s="73">
        <f ca="1">Q3061*P3043</f>
        <v>1787.591196944169</v>
      </c>
    </row>
    <row r="3098" spans="1:46" x14ac:dyDescent="0.3">
      <c r="A3098" t="s">
        <v>342</v>
      </c>
    </row>
    <row r="3099" spans="1:46" x14ac:dyDescent="0.3">
      <c r="A3099" t="s">
        <v>342</v>
      </c>
      <c r="E3099" t="s">
        <v>201</v>
      </c>
      <c r="P3099" s="7"/>
      <c r="Q3099" s="7">
        <f ca="1">Q3061*P3044</f>
        <v>94.083747207587933</v>
      </c>
    </row>
    <row r="3104" spans="1:46" x14ac:dyDescent="0.3">
      <c r="A3104" t="s">
        <v>343</v>
      </c>
      <c r="E3104" s="152" t="s">
        <v>359</v>
      </c>
      <c r="F3104" s="153"/>
      <c r="G3104" s="153"/>
      <c r="H3104" s="153"/>
      <c r="I3104" s="153"/>
      <c r="J3104" s="153"/>
      <c r="K3104" s="153"/>
      <c r="L3104" s="153"/>
      <c r="M3104" s="153"/>
      <c r="N3104" s="153"/>
      <c r="O3104" s="153"/>
      <c r="P3104" s="153"/>
      <c r="Q3104" s="153"/>
      <c r="R3104" s="153"/>
      <c r="S3104" s="153"/>
      <c r="T3104" s="153"/>
      <c r="U3104" s="153"/>
      <c r="V3104" s="153"/>
      <c r="W3104" s="153"/>
      <c r="X3104" s="153"/>
      <c r="Y3104" s="154"/>
      <c r="Z3104" s="152"/>
      <c r="AA3104" s="153"/>
      <c r="AB3104" s="153"/>
      <c r="AC3104" s="153"/>
      <c r="AD3104" s="153"/>
      <c r="AE3104" s="153"/>
      <c r="AF3104" s="153"/>
      <c r="AG3104" s="153"/>
      <c r="AH3104" s="153"/>
      <c r="AI3104" s="153"/>
      <c r="AJ3104" s="153"/>
      <c r="AK3104" s="153"/>
      <c r="AL3104" s="153"/>
      <c r="AM3104" s="153"/>
      <c r="AN3104" s="153"/>
      <c r="AO3104" s="153"/>
      <c r="AP3104" s="153"/>
      <c r="AQ3104" s="153"/>
      <c r="AR3104" s="153"/>
      <c r="AS3104" s="153"/>
      <c r="AT3104" s="154"/>
    </row>
    <row r="3105" spans="1:21" x14ac:dyDescent="0.3">
      <c r="A3105" t="s">
        <v>343</v>
      </c>
    </row>
    <row r="3106" spans="1:21" x14ac:dyDescent="0.3">
      <c r="A3106" t="s">
        <v>343</v>
      </c>
      <c r="B3106" t="str">
        <f>C3097</f>
        <v>IL 9/1.1.1.1.1.1.1.1</v>
      </c>
      <c r="C3106" t="str">
        <f>D3097</f>
        <v>IL 10/1.1.1.1.1.1.1.1.1</v>
      </c>
      <c r="E3106" t="s">
        <v>197</v>
      </c>
      <c r="O3106" s="83"/>
      <c r="P3106" s="83"/>
      <c r="Q3106" s="83">
        <f ca="1">Q3097</f>
        <v>1787.591196944169</v>
      </c>
    </row>
    <row r="3107" spans="1:21" x14ac:dyDescent="0.3">
      <c r="A3107" t="s">
        <v>343</v>
      </c>
      <c r="E3107" t="s">
        <v>206</v>
      </c>
      <c r="O3107" s="7"/>
      <c r="P3107" s="7"/>
      <c r="Q3107" s="7">
        <f ca="1">Q3109*Q3106</f>
        <v>1787.591196944169</v>
      </c>
      <c r="T3107" s="77"/>
    </row>
    <row r="3108" spans="1:21" x14ac:dyDescent="0.3">
      <c r="A3108" t="s">
        <v>343</v>
      </c>
      <c r="O3108" s="7"/>
      <c r="P3108" s="7"/>
      <c r="Q3108" s="7"/>
      <c r="R3108" s="7">
        <f ca="1">Q3097</f>
        <v>1787.591196944169</v>
      </c>
      <c r="T3108" s="77"/>
    </row>
    <row r="3109" spans="1:21" x14ac:dyDescent="0.3">
      <c r="A3109" t="s">
        <v>343</v>
      </c>
      <c r="C3109" s="11"/>
      <c r="D3109" s="11"/>
      <c r="E3109" s="11" t="s">
        <v>134</v>
      </c>
      <c r="F3109" s="11"/>
      <c r="G3109" s="11"/>
      <c r="O3109" s="104"/>
      <c r="P3109" s="104"/>
      <c r="Q3109" s="104">
        <f>Q3110*Q3111*Q3112*Q3113</f>
        <v>1</v>
      </c>
      <c r="R3109" s="7">
        <f>R3110*R3111*R3112*R3113</f>
        <v>0</v>
      </c>
      <c r="S3109" s="11"/>
      <c r="U3109" s="11"/>
    </row>
    <row r="3110" spans="1:21" x14ac:dyDescent="0.3">
      <c r="A3110" t="s">
        <v>343</v>
      </c>
      <c r="E3110" t="s">
        <v>35</v>
      </c>
      <c r="O3110" s="89"/>
      <c r="P3110" s="89"/>
      <c r="Q3110" s="89">
        <f>SUMIFS('Summary500-600'!$C$163:$C$264,'Summary500-600'!$A$163:$A$264,$A3110,'Summary500-600'!$B$163:$B$264,$E3110)</f>
        <v>1</v>
      </c>
    </row>
    <row r="3111" spans="1:21" x14ac:dyDescent="0.3">
      <c r="A3111" t="s">
        <v>343</v>
      </c>
      <c r="E3111" t="s">
        <v>36</v>
      </c>
      <c r="O3111" s="89"/>
      <c r="P3111" s="89"/>
      <c r="Q3111" s="89">
        <f>SUMIFS('Summary500-600'!$C$163:$C$264,'Summary500-600'!$A$163:$A$264,$A3111,'Summary500-600'!$B$163:$B$264,$E3111)</f>
        <v>1</v>
      </c>
    </row>
    <row r="3112" spans="1:21" x14ac:dyDescent="0.3">
      <c r="A3112" t="s">
        <v>343</v>
      </c>
      <c r="E3112" t="s">
        <v>142</v>
      </c>
      <c r="O3112" s="89"/>
      <c r="P3112" s="89"/>
      <c r="Q3112" s="89">
        <f>SUMIFS('Summary500-600'!$C$163:$C$264,'Summary500-600'!$A$163:$A$264,$A3112,'Summary500-600'!$B$163:$B$264,$E3112)</f>
        <v>1</v>
      </c>
    </row>
    <row r="3113" spans="1:21" x14ac:dyDescent="0.3">
      <c r="A3113" t="s">
        <v>343</v>
      </c>
      <c r="E3113" t="s">
        <v>37</v>
      </c>
      <c r="O3113" s="89"/>
      <c r="P3113" s="89"/>
      <c r="Q3113" s="89">
        <f>SUMIFS('Summary500-600'!$C$163:$C$264,'Summary500-600'!$A$163:$A$264,$A3113,'Summary500-600'!$B$163:$B$264,$E3113)</f>
        <v>1</v>
      </c>
    </row>
    <row r="3114" spans="1:21" x14ac:dyDescent="0.3">
      <c r="A3114" t="s">
        <v>343</v>
      </c>
    </row>
    <row r="3115" spans="1:21" x14ac:dyDescent="0.3">
      <c r="A3115" t="s">
        <v>343</v>
      </c>
    </row>
    <row r="3116" spans="1:21" x14ac:dyDescent="0.3">
      <c r="A3116" t="s">
        <v>343</v>
      </c>
      <c r="E3116" t="s">
        <v>125</v>
      </c>
      <c r="O3116" s="83"/>
      <c r="P3116" s="83"/>
      <c r="Q3116" s="83">
        <f ca="1">OFFSET($E$30,MATCH($A3116,$E$30:$E$45,0)-1,1)</f>
        <v>64.102564102564102</v>
      </c>
    </row>
    <row r="3117" spans="1:21" x14ac:dyDescent="0.3">
      <c r="A3117" t="s">
        <v>343</v>
      </c>
      <c r="E3117" t="s">
        <v>135</v>
      </c>
      <c r="O3117" s="82"/>
      <c r="P3117" s="82"/>
      <c r="Q3117" s="82">
        <f ca="1">Q3116</f>
        <v>64.102564102564102</v>
      </c>
    </row>
    <row r="3118" spans="1:21" x14ac:dyDescent="0.3">
      <c r="A3118" t="s">
        <v>343</v>
      </c>
    </row>
    <row r="3119" spans="1:21" x14ac:dyDescent="0.3">
      <c r="A3119" t="s">
        <v>343</v>
      </c>
      <c r="E3119" t="s">
        <v>126</v>
      </c>
      <c r="O3119" s="88"/>
      <c r="P3119" s="88"/>
      <c r="Q3119" s="88">
        <f>$H$52</f>
        <v>0.2</v>
      </c>
    </row>
    <row r="3120" spans="1:21" x14ac:dyDescent="0.3">
      <c r="A3120" t="s">
        <v>343</v>
      </c>
      <c r="E3120" t="s">
        <v>117</v>
      </c>
      <c r="O3120" s="7"/>
      <c r="P3120" s="7"/>
      <c r="Q3120" s="7">
        <f ca="1">Q3119*Q3116</f>
        <v>12.820512820512821</v>
      </c>
    </row>
    <row r="3121" spans="1:22" x14ac:dyDescent="0.3">
      <c r="A3121" t="s">
        <v>343</v>
      </c>
    </row>
    <row r="3122" spans="1:22" x14ac:dyDescent="0.3">
      <c r="A3122" t="s">
        <v>343</v>
      </c>
      <c r="E3122" t="s">
        <v>118</v>
      </c>
      <c r="O3122" s="7"/>
      <c r="P3122" s="7"/>
      <c r="Q3122" s="7">
        <f ca="1">Q3117</f>
        <v>64.102564102564102</v>
      </c>
    </row>
    <row r="3123" spans="1:22" x14ac:dyDescent="0.3">
      <c r="A3123" t="s">
        <v>343</v>
      </c>
      <c r="E3123" t="s">
        <v>106</v>
      </c>
      <c r="O3123" s="7"/>
      <c r="P3123" s="7"/>
      <c r="Q3123" s="7">
        <f ca="1">Q3116*(1+Q3119)</f>
        <v>76.92307692307692</v>
      </c>
    </row>
    <row r="3124" spans="1:22" x14ac:dyDescent="0.3">
      <c r="A3124" t="s">
        <v>343</v>
      </c>
      <c r="O3124" s="7"/>
      <c r="P3124" s="7"/>
      <c r="Q3124" s="7"/>
    </row>
    <row r="3125" spans="1:22" x14ac:dyDescent="0.3">
      <c r="A3125" t="s">
        <v>343</v>
      </c>
      <c r="E3125" t="s">
        <v>136</v>
      </c>
      <c r="O3125" s="7"/>
      <c r="P3125" s="7"/>
      <c r="Q3125" s="7">
        <f ca="1">Q3122*Q3107</f>
        <v>114589.17929129288</v>
      </c>
    </row>
    <row r="3126" spans="1:22" x14ac:dyDescent="0.3">
      <c r="A3126" t="s">
        <v>343</v>
      </c>
      <c r="E3126" t="s">
        <v>119</v>
      </c>
      <c r="O3126" s="7"/>
      <c r="P3126" s="7"/>
      <c r="Q3126" s="7">
        <f ca="1">Q3123*Q3107</f>
        <v>137507.01514955147</v>
      </c>
    </row>
    <row r="3127" spans="1:22" x14ac:dyDescent="0.3">
      <c r="A3127" t="s">
        <v>343</v>
      </c>
      <c r="O3127" s="7"/>
      <c r="P3127" s="7"/>
      <c r="Q3127" s="7"/>
    </row>
    <row r="3128" spans="1:22" x14ac:dyDescent="0.3">
      <c r="A3128" t="s">
        <v>343</v>
      </c>
      <c r="E3128" t="s">
        <v>302</v>
      </c>
      <c r="O3128" s="6"/>
      <c r="P3128" s="6"/>
      <c r="Q3128" s="6">
        <f ca="1">Q3120*Q3107</f>
        <v>22917.835858258579</v>
      </c>
    </row>
    <row r="3129" spans="1:22" x14ac:dyDescent="0.3">
      <c r="A3129" t="s">
        <v>343</v>
      </c>
      <c r="O3129" s="7"/>
      <c r="P3129" s="7"/>
      <c r="Q3129" s="7"/>
    </row>
    <row r="3130" spans="1:22" x14ac:dyDescent="0.3">
      <c r="A3130" t="s">
        <v>343</v>
      </c>
      <c r="E3130" t="s">
        <v>127</v>
      </c>
      <c r="R3130" s="7">
        <f ca="1">Q3123/3</f>
        <v>25.641025641025639</v>
      </c>
      <c r="S3130" s="7">
        <f ca="1">Q3123/3</f>
        <v>25.641025641025639</v>
      </c>
      <c r="T3130" s="7">
        <f ca="1">Q3123/3</f>
        <v>25.641025641025639</v>
      </c>
    </row>
    <row r="3131" spans="1:22" x14ac:dyDescent="0.3">
      <c r="A3131" t="s">
        <v>343</v>
      </c>
      <c r="R3131" s="7">
        <f ca="1">Q3123</f>
        <v>76.92307692307692</v>
      </c>
    </row>
    <row r="3132" spans="1:22" s="103" customFormat="1" x14ac:dyDescent="0.3">
      <c r="A3132" t="s">
        <v>343</v>
      </c>
      <c r="E3132" s="100" t="s">
        <v>128</v>
      </c>
      <c r="O3132" s="139"/>
      <c r="P3132" s="139"/>
      <c r="Q3132" s="139">
        <f ca="1">OFFSET('Summary500-600'!$B$38,MATCH($A3132,'Summary500-600'!$B$38:$B$52,0)-1,1)</f>
        <v>0.95</v>
      </c>
    </row>
    <row r="3133" spans="1:22" s="103" customFormat="1" x14ac:dyDescent="0.3">
      <c r="A3133" t="s">
        <v>343</v>
      </c>
      <c r="E3133" s="103" t="s">
        <v>129</v>
      </c>
      <c r="O3133" s="79"/>
      <c r="P3133" s="79"/>
      <c r="Q3133" s="79">
        <f ca="1">1-Q3132</f>
        <v>5.0000000000000044E-2</v>
      </c>
    </row>
    <row r="3134" spans="1:22" x14ac:dyDescent="0.3">
      <c r="A3134" t="s">
        <v>343</v>
      </c>
    </row>
    <row r="3135" spans="1:22" x14ac:dyDescent="0.3">
      <c r="A3135" t="s">
        <v>343</v>
      </c>
      <c r="C3135" s="71"/>
      <c r="D3135" s="71"/>
      <c r="E3135" s="71" t="s">
        <v>16</v>
      </c>
    </row>
    <row r="3136" spans="1:22" x14ac:dyDescent="0.3">
      <c r="A3136" t="s">
        <v>343</v>
      </c>
      <c r="E3136" t="s">
        <v>17</v>
      </c>
      <c r="R3136" s="74">
        <f>'Summary500-600'!$C$107</f>
        <v>0.09</v>
      </c>
      <c r="S3136" s="74">
        <f>'Summary500-600'!$C$108</f>
        <v>0.03</v>
      </c>
      <c r="T3136" s="74">
        <f>'Summary500-600'!$C$109</f>
        <v>0.01</v>
      </c>
      <c r="U3136" s="75"/>
      <c r="V3136" s="75"/>
    </row>
    <row r="3137" spans="1:22" x14ac:dyDescent="0.3">
      <c r="A3137" t="s">
        <v>343</v>
      </c>
      <c r="E3137" t="s">
        <v>18</v>
      </c>
      <c r="G3137" s="75"/>
      <c r="S3137" s="74">
        <f>'Summary500-600'!$C$110</f>
        <v>0.8</v>
      </c>
      <c r="T3137" s="76">
        <f>S3137</f>
        <v>0.8</v>
      </c>
      <c r="U3137" s="76">
        <f>T3137</f>
        <v>0.8</v>
      </c>
      <c r="V3137" s="75"/>
    </row>
    <row r="3138" spans="1:22" x14ac:dyDescent="0.3">
      <c r="A3138" t="s">
        <v>343</v>
      </c>
      <c r="E3138" t="s">
        <v>19</v>
      </c>
      <c r="G3138" s="75"/>
      <c r="S3138" s="75"/>
      <c r="T3138" s="74">
        <f>'Summary500-600'!$C$104</f>
        <v>1</v>
      </c>
      <c r="U3138" s="74">
        <f>T3138</f>
        <v>1</v>
      </c>
      <c r="V3138" s="74">
        <f>U3138</f>
        <v>1</v>
      </c>
    </row>
    <row r="3139" spans="1:22" x14ac:dyDescent="0.3">
      <c r="A3139" t="s">
        <v>343</v>
      </c>
      <c r="E3139" t="s">
        <v>20</v>
      </c>
      <c r="T3139" s="21"/>
    </row>
    <row r="3140" spans="1:22" x14ac:dyDescent="0.3">
      <c r="A3140" t="s">
        <v>343</v>
      </c>
      <c r="T3140" s="21"/>
    </row>
    <row r="3141" spans="1:22" x14ac:dyDescent="0.3">
      <c r="A3141" t="s">
        <v>343</v>
      </c>
      <c r="C3141" s="11"/>
      <c r="D3141" s="11"/>
      <c r="E3141" s="11" t="s">
        <v>196</v>
      </c>
      <c r="R3141" s="90">
        <f ca="1">SUM(R3142:R3145)</f>
        <v>0.13550000000000004</v>
      </c>
      <c r="S3141" s="90">
        <f ca="1">SUM(S3142:S3145)</f>
        <v>0.13550000000000001</v>
      </c>
      <c r="T3141" s="90">
        <f ca="1">SUM(T3142:T3145)</f>
        <v>7.3713349999999997E-2</v>
      </c>
      <c r="U3141" s="90">
        <f ca="1">SUM(U3142:U3145)</f>
        <v>7.3589079999999987E-2</v>
      </c>
    </row>
    <row r="3142" spans="1:22" x14ac:dyDescent="0.3">
      <c r="A3142" t="s">
        <v>343</v>
      </c>
      <c r="E3142" t="s">
        <v>17</v>
      </c>
      <c r="R3142" s="22">
        <f ca="1">(1-R3136)*Q3133</f>
        <v>4.550000000000004E-2</v>
      </c>
      <c r="S3142" s="22">
        <f ca="1">R3142*(1-S3136)+R3143*(1-S3137)</f>
        <v>6.213500000000003E-2</v>
      </c>
    </row>
    <row r="3143" spans="1:22" x14ac:dyDescent="0.3">
      <c r="A3143" t="s">
        <v>343</v>
      </c>
      <c r="E3143" t="s">
        <v>18</v>
      </c>
      <c r="R3143" s="22">
        <f>R3136</f>
        <v>0.09</v>
      </c>
      <c r="S3143" s="22">
        <f ca="1">R3142*S3136</f>
        <v>1.3650000000000012E-3</v>
      </c>
      <c r="T3143" s="22">
        <f ca="1">S3142*T3136</f>
        <v>6.2135000000000033E-4</v>
      </c>
      <c r="V3143" s="22"/>
    </row>
    <row r="3144" spans="1:22" x14ac:dyDescent="0.3">
      <c r="A3144" t="s">
        <v>343</v>
      </c>
      <c r="E3144" t="s">
        <v>19</v>
      </c>
      <c r="S3144" s="22">
        <f>R3143*S3137</f>
        <v>7.1999999999999995E-2</v>
      </c>
      <c r="T3144" s="22">
        <f ca="1">S3143*T3137+S3144</f>
        <v>7.309199999999999E-2</v>
      </c>
      <c r="U3144" s="22">
        <f ca="1">T3143*U3137+T3144</f>
        <v>7.3589079999999987E-2</v>
      </c>
    </row>
    <row r="3145" spans="1:22" x14ac:dyDescent="0.3">
      <c r="A3145" t="s">
        <v>343</v>
      </c>
      <c r="S3145" s="22"/>
      <c r="T3145" s="22"/>
    </row>
    <row r="3146" spans="1:22" x14ac:dyDescent="0.3">
      <c r="A3146" t="s">
        <v>343</v>
      </c>
      <c r="E3146" t="s">
        <v>195</v>
      </c>
      <c r="R3146" s="22">
        <f ca="1">(1-R3136)*Q3132</f>
        <v>0.86449999999999994</v>
      </c>
      <c r="T3146" s="29">
        <f ca="1">S3142*(1-T3136)+S3143*(1-T3137)+S3144*(1-T3138)</f>
        <v>6.1786650000000033E-2</v>
      </c>
      <c r="U3146" s="29">
        <f ca="1">T3143*(1-U3137)+T3146</f>
        <v>6.1910920000000036E-2</v>
      </c>
      <c r="V3146" s="22"/>
    </row>
    <row r="3147" spans="1:22" x14ac:dyDescent="0.3">
      <c r="A3147" t="s">
        <v>343</v>
      </c>
      <c r="R3147" s="22"/>
      <c r="T3147" s="29"/>
      <c r="U3147" s="29"/>
      <c r="V3147" s="22"/>
    </row>
    <row r="3148" spans="1:22" x14ac:dyDescent="0.3">
      <c r="A3148" t="s">
        <v>343</v>
      </c>
      <c r="R3148" s="25" t="s">
        <v>32</v>
      </c>
    </row>
    <row r="3149" spans="1:22" x14ac:dyDescent="0.3">
      <c r="A3149" t="s">
        <v>343</v>
      </c>
      <c r="C3149" s="11"/>
      <c r="D3149" s="11"/>
      <c r="E3149" s="11" t="s">
        <v>124</v>
      </c>
      <c r="R3149" s="8">
        <f ca="1">SUM(R3150:R3153)</f>
        <v>1787.591196944169</v>
      </c>
      <c r="S3149" s="8">
        <f ca="1">SUM(S3150:S3153)</f>
        <v>242.21860718593496</v>
      </c>
      <c r="T3149" s="8">
        <f ca="1">SUM(T3150:T3153)</f>
        <v>131.76933555726447</v>
      </c>
    </row>
    <row r="3150" spans="1:22" x14ac:dyDescent="0.3">
      <c r="A3150" t="s">
        <v>343</v>
      </c>
      <c r="C3150" s="23"/>
      <c r="D3150" s="23"/>
      <c r="E3150" s="23" t="s">
        <v>120</v>
      </c>
      <c r="R3150" s="7">
        <f ca="1">Q3107*(1-R3136)</f>
        <v>1626.7079892191939</v>
      </c>
      <c r="S3150" s="82">
        <f ca="1">R3188*(1-S3136)+R3151*(1-S3137)</f>
        <v>111.071979022126</v>
      </c>
    </row>
    <row r="3151" spans="1:22" x14ac:dyDescent="0.3">
      <c r="A3151" t="s">
        <v>343</v>
      </c>
      <c r="C3151" s="24"/>
      <c r="D3151" s="24"/>
      <c r="E3151" s="24" t="s">
        <v>122</v>
      </c>
      <c r="R3151" s="7">
        <f ca="1">Q3107*R3136</f>
        <v>160.88320772497522</v>
      </c>
      <c r="S3151" s="7">
        <f ca="1">R3188*S3136</f>
        <v>2.4400619838287927</v>
      </c>
      <c r="T3151" s="7">
        <f ca="1">S3150*T3136</f>
        <v>1.11071979022126</v>
      </c>
      <c r="U3151" s="7">
        <f>T3150*U3136</f>
        <v>0</v>
      </c>
    </row>
    <row r="3152" spans="1:22" x14ac:dyDescent="0.3">
      <c r="A3152" t="s">
        <v>343</v>
      </c>
      <c r="C3152" s="23"/>
      <c r="D3152" s="23"/>
      <c r="E3152" s="23" t="s">
        <v>121</v>
      </c>
      <c r="S3152" s="7">
        <f ca="1">R3151*S3137</f>
        <v>128.70656617998017</v>
      </c>
      <c r="T3152" s="7">
        <f ca="1">S3151*T3137</f>
        <v>1.9520495870630343</v>
      </c>
      <c r="U3152" s="7">
        <f ca="1">T3151*U3137</f>
        <v>0.88857583217700808</v>
      </c>
    </row>
    <row r="3153" spans="1:22" x14ac:dyDescent="0.3">
      <c r="A3153" t="s">
        <v>343</v>
      </c>
      <c r="C3153" s="23"/>
      <c r="D3153" s="23"/>
      <c r="E3153" s="23" t="s">
        <v>138</v>
      </c>
      <c r="S3153" s="7"/>
      <c r="T3153" s="7">
        <f ca="1">S3152*T3138</f>
        <v>128.70656617998017</v>
      </c>
      <c r="U3153" s="7">
        <f ca="1">T3152*U3138+T3153</f>
        <v>130.65861576704322</v>
      </c>
      <c r="V3153" s="7">
        <f ca="1">U3152*V3138+U3153</f>
        <v>131.54719159922021</v>
      </c>
    </row>
    <row r="3154" spans="1:22" x14ac:dyDescent="0.3">
      <c r="A3154" t="s">
        <v>343</v>
      </c>
      <c r="C3154" s="23"/>
      <c r="D3154" s="23"/>
      <c r="E3154" s="23"/>
      <c r="S3154" s="7"/>
    </row>
    <row r="3155" spans="1:22" x14ac:dyDescent="0.3">
      <c r="A3155" t="s">
        <v>343</v>
      </c>
      <c r="C3155" s="23"/>
      <c r="D3155" s="23"/>
      <c r="E3155" s="23" t="s">
        <v>137</v>
      </c>
      <c r="S3155" s="7"/>
      <c r="T3155" s="7">
        <f ca="1">S3150*(1-T3136)+S3151*(1-T3137)+S3152*(1-T3138)</f>
        <v>110.44927162867049</v>
      </c>
      <c r="U3155" s="7">
        <f ca="1">T3151*(1-U3137)+T3155</f>
        <v>110.67141558671474</v>
      </c>
      <c r="V3155" s="7">
        <f ca="1">U3152*(1-V3138)+U3155</f>
        <v>110.67141558671474</v>
      </c>
    </row>
    <row r="3156" spans="1:22" x14ac:dyDescent="0.3">
      <c r="A3156" t="s">
        <v>343</v>
      </c>
      <c r="C3156" s="23"/>
      <c r="D3156" s="23"/>
      <c r="E3156" s="23"/>
      <c r="S3156" s="7"/>
    </row>
    <row r="3157" spans="1:22" x14ac:dyDescent="0.3">
      <c r="A3157" t="s">
        <v>343</v>
      </c>
      <c r="C3157" s="11"/>
      <c r="D3157" s="11"/>
      <c r="E3157" s="11" t="s">
        <v>139</v>
      </c>
      <c r="R3157" s="8">
        <f ca="1">SUM(R3158:R3159)</f>
        <v>1626.7079892191939</v>
      </c>
      <c r="S3157" s="8">
        <f ca="1">SUM(S3158:S3159)</f>
        <v>111.071979022126</v>
      </c>
      <c r="T3157" s="8">
        <f ca="1">SUM(T3158:T3159)</f>
        <v>110.44927162867049</v>
      </c>
      <c r="U3157" s="8">
        <f ca="1">SUM(U3158:U3159)</f>
        <v>0.22214395804425194</v>
      </c>
    </row>
    <row r="3158" spans="1:22" x14ac:dyDescent="0.3">
      <c r="A3158" t="s">
        <v>343</v>
      </c>
      <c r="C3158" s="23"/>
      <c r="D3158" s="23"/>
      <c r="E3158" s="23" t="s">
        <v>120</v>
      </c>
      <c r="R3158" s="7">
        <f ca="1">R3150</f>
        <v>1626.7079892191939</v>
      </c>
      <c r="S3158" s="7">
        <f ca="1">R3188*(1-S3136)</f>
        <v>78.895337477130965</v>
      </c>
      <c r="T3158" s="7">
        <f ca="1">S3150*(1-T3136)</f>
        <v>109.96125923190473</v>
      </c>
    </row>
    <row r="3159" spans="1:22" x14ac:dyDescent="0.3">
      <c r="A3159" t="s">
        <v>343</v>
      </c>
      <c r="C3159" s="24"/>
      <c r="D3159" s="24"/>
      <c r="E3159" s="24" t="s">
        <v>122</v>
      </c>
      <c r="S3159" s="7">
        <f ca="1">R3151*(1-S3137)</f>
        <v>32.176641544995036</v>
      </c>
      <c r="T3159" s="7">
        <f ca="1">S3151*(1-T3137)</f>
        <v>0.48801239676575842</v>
      </c>
      <c r="U3159" s="7">
        <f ca="1">T3151*(1-U3137)</f>
        <v>0.22214395804425194</v>
      </c>
    </row>
    <row r="3160" spans="1:22" x14ac:dyDescent="0.3">
      <c r="A3160" t="s">
        <v>343</v>
      </c>
      <c r="C3160" s="23"/>
      <c r="D3160" s="23"/>
      <c r="E3160" s="23"/>
      <c r="S3160" s="7"/>
      <c r="T3160" s="7">
        <f ca="1">S3152*(1-T3138)</f>
        <v>0</v>
      </c>
      <c r="U3160" s="7">
        <f ca="1">T3152*(1-U3138)</f>
        <v>0</v>
      </c>
    </row>
    <row r="3161" spans="1:22" x14ac:dyDescent="0.3">
      <c r="A3161" t="s">
        <v>343</v>
      </c>
      <c r="C3161" s="81"/>
      <c r="D3161" s="81"/>
      <c r="E3161" s="81" t="s">
        <v>123</v>
      </c>
    </row>
    <row r="3162" spans="1:22" x14ac:dyDescent="0.3">
      <c r="A3162" t="s">
        <v>343</v>
      </c>
      <c r="C3162" s="23"/>
      <c r="D3162" s="23"/>
      <c r="E3162" s="23" t="s">
        <v>120</v>
      </c>
      <c r="R3162" s="7">
        <f ca="1">Q3123-R3130</f>
        <v>51.282051282051285</v>
      </c>
      <c r="S3162" s="7">
        <f ca="1">R3162-S3130</f>
        <v>25.641025641025646</v>
      </c>
      <c r="T3162" s="7">
        <f ca="1">S3162-T3130</f>
        <v>0</v>
      </c>
    </row>
    <row r="3163" spans="1:22" x14ac:dyDescent="0.3">
      <c r="A3163" t="s">
        <v>343</v>
      </c>
      <c r="C3163" s="24"/>
      <c r="D3163" s="24"/>
      <c r="E3163" s="24" t="s">
        <v>122</v>
      </c>
      <c r="R3163" s="7">
        <f ca="1">Q3123</f>
        <v>76.92307692307692</v>
      </c>
      <c r="S3163" s="7">
        <f ca="1">R3162</f>
        <v>51.282051282051285</v>
      </c>
      <c r="T3163" s="7">
        <f ca="1">S3162</f>
        <v>25.641025641025646</v>
      </c>
    </row>
    <row r="3164" spans="1:22" x14ac:dyDescent="0.3">
      <c r="A3164" t="s">
        <v>343</v>
      </c>
      <c r="C3164" s="23"/>
      <c r="D3164" s="23"/>
      <c r="E3164" s="23" t="s">
        <v>121</v>
      </c>
      <c r="S3164" s="7">
        <f ca="1">R3163</f>
        <v>76.92307692307692</v>
      </c>
      <c r="T3164" s="7">
        <f ca="1">S3163</f>
        <v>51.282051282051285</v>
      </c>
      <c r="U3164" s="7">
        <f ca="1">T3163</f>
        <v>25.641025641025646</v>
      </c>
    </row>
    <row r="3165" spans="1:22" x14ac:dyDescent="0.3">
      <c r="A3165" t="s">
        <v>343</v>
      </c>
      <c r="C3165" s="23"/>
      <c r="D3165" s="23"/>
      <c r="E3165" s="23"/>
      <c r="T3165" s="7"/>
      <c r="U3165" s="7"/>
    </row>
    <row r="3166" spans="1:22" x14ac:dyDescent="0.3">
      <c r="A3166" t="s">
        <v>343</v>
      </c>
      <c r="C3166" s="23"/>
      <c r="D3166" s="23"/>
      <c r="E3166" s="23"/>
      <c r="T3166" s="7"/>
      <c r="U3166" s="7"/>
    </row>
    <row r="3167" spans="1:22" x14ac:dyDescent="0.3">
      <c r="A3167" t="s">
        <v>343</v>
      </c>
      <c r="C3167" s="11"/>
      <c r="D3167" s="11"/>
      <c r="E3167" s="11" t="s">
        <v>130</v>
      </c>
      <c r="R3167" s="8">
        <f ca="1">SUM(R3168:R3171)</f>
        <v>95796.553887520859</v>
      </c>
      <c r="S3167" s="8">
        <f ca="1">SUM(S3168:S3171)</f>
        <v>12873.635936659593</v>
      </c>
      <c r="T3167" s="8">
        <f ca="1">SUM(T3168:T3171)</f>
        <v>10029.090192417636</v>
      </c>
      <c r="U3167" s="8">
        <f ca="1">SUM(U3168:U3171)</f>
        <v>10023.394193493425</v>
      </c>
    </row>
    <row r="3168" spans="1:22" x14ac:dyDescent="0.3">
      <c r="A3168" t="s">
        <v>343</v>
      </c>
      <c r="C3168" s="23"/>
      <c r="D3168" s="23"/>
      <c r="E3168" s="23" t="s">
        <v>120</v>
      </c>
      <c r="R3168" s="7">
        <f t="shared" ref="R3168:T3168" ca="1" si="195">R3162*R3150</f>
        <v>83420.922524061229</v>
      </c>
      <c r="S3168" s="7">
        <f t="shared" ca="1" si="195"/>
        <v>2847.9994621057954</v>
      </c>
      <c r="T3168" s="7">
        <f t="shared" ca="1" si="195"/>
        <v>0</v>
      </c>
    </row>
    <row r="3169" spans="1:22" x14ac:dyDescent="0.3">
      <c r="A3169" t="s">
        <v>343</v>
      </c>
      <c r="C3169" s="24"/>
      <c r="D3169" s="24"/>
      <c r="E3169" s="24" t="s">
        <v>122</v>
      </c>
      <c r="R3169" s="7">
        <f t="shared" ref="R3169:T3169" ca="1" si="196">R3163*R3151</f>
        <v>12375.631363459632</v>
      </c>
      <c r="S3169" s="7">
        <f t="shared" ca="1" si="196"/>
        <v>125.13138378609194</v>
      </c>
      <c r="T3169" s="7">
        <f t="shared" ca="1" si="196"/>
        <v>28.479994621057955</v>
      </c>
      <c r="U3169" s="7">
        <f>U3163*U3151</f>
        <v>0</v>
      </c>
    </row>
    <row r="3170" spans="1:22" x14ac:dyDescent="0.3">
      <c r="A3170" t="s">
        <v>343</v>
      </c>
      <c r="C3170" s="23"/>
      <c r="D3170" s="23"/>
      <c r="E3170" s="23" t="s">
        <v>121</v>
      </c>
      <c r="S3170" s="7">
        <f ca="1">S3164*S3152</f>
        <v>9900.505090767705</v>
      </c>
      <c r="T3170" s="7">
        <f ca="1">T3164*T3152</f>
        <v>100.10510702887356</v>
      </c>
      <c r="U3170" s="7">
        <f ca="1">U3164*U3152</f>
        <v>22.783995696846365</v>
      </c>
    </row>
    <row r="3171" spans="1:22" x14ac:dyDescent="0.3">
      <c r="A3171" t="s">
        <v>343</v>
      </c>
      <c r="C3171" s="23"/>
      <c r="D3171" s="23"/>
      <c r="E3171" s="23" t="s">
        <v>299</v>
      </c>
      <c r="T3171" s="8">
        <f ca="1">S3170</f>
        <v>9900.505090767705</v>
      </c>
      <c r="U3171" s="8">
        <f ca="1">T3171+T3170</f>
        <v>10000.610197796579</v>
      </c>
      <c r="V3171" s="8">
        <f ca="1">U3171+U3170</f>
        <v>10023.394193493425</v>
      </c>
    </row>
    <row r="3172" spans="1:22" x14ac:dyDescent="0.3">
      <c r="A3172" t="s">
        <v>343</v>
      </c>
      <c r="C3172" s="23"/>
      <c r="D3172" s="23"/>
      <c r="E3172" s="23"/>
    </row>
    <row r="3173" spans="1:22" x14ac:dyDescent="0.3">
      <c r="A3173" t="s">
        <v>343</v>
      </c>
      <c r="C3173" s="105"/>
      <c r="D3173" s="105"/>
      <c r="E3173" s="105" t="s">
        <v>300</v>
      </c>
      <c r="O3173" s="8"/>
      <c r="P3173" s="8"/>
      <c r="Q3173" s="8">
        <f ca="1">V3171</f>
        <v>10023.394193493425</v>
      </c>
    </row>
    <row r="3174" spans="1:22" x14ac:dyDescent="0.3">
      <c r="A3174" t="s">
        <v>343</v>
      </c>
      <c r="C3174" s="23"/>
      <c r="D3174" s="23"/>
      <c r="E3174" s="23"/>
    </row>
    <row r="3175" spans="1:22" x14ac:dyDescent="0.3">
      <c r="A3175" t="s">
        <v>343</v>
      </c>
      <c r="C3175" s="11"/>
      <c r="D3175" s="11"/>
      <c r="E3175" s="11" t="s">
        <v>140</v>
      </c>
      <c r="R3175" s="8">
        <f ca="1">SUM(R3177:R3180)</f>
        <v>120960.33765988877</v>
      </c>
      <c r="S3175" s="8">
        <f ca="1">SUM(S3177:S3180)</f>
        <v>3673.0415530031032</v>
      </c>
      <c r="T3175" s="8">
        <f ca="1">SUM(T3177:T3180)</f>
        <v>2844.5457442419552</v>
      </c>
      <c r="U3175" s="8">
        <f ca="1">SUM(U3177:U3180)</f>
        <v>5.6959989242115876</v>
      </c>
    </row>
    <row r="3176" spans="1:22" x14ac:dyDescent="0.3">
      <c r="A3176" t="s">
        <v>343</v>
      </c>
      <c r="C3176" s="11"/>
      <c r="D3176" s="11"/>
      <c r="E3176" s="11"/>
      <c r="R3176" s="8"/>
      <c r="S3176" s="8"/>
      <c r="T3176" s="8"/>
      <c r="U3176" s="8"/>
    </row>
    <row r="3177" spans="1:22" x14ac:dyDescent="0.3">
      <c r="A3177" t="s">
        <v>343</v>
      </c>
      <c r="E3177" t="s">
        <v>131</v>
      </c>
      <c r="G3177" s="23" t="s">
        <v>120</v>
      </c>
      <c r="R3177" s="6">
        <f ca="1">R3186*R3131</f>
        <v>118874.81459678724</v>
      </c>
    </row>
    <row r="3178" spans="1:22" x14ac:dyDescent="0.3">
      <c r="A3178" t="s">
        <v>343</v>
      </c>
      <c r="G3178" s="23"/>
      <c r="R3178" s="6"/>
    </row>
    <row r="3179" spans="1:22" x14ac:dyDescent="0.3">
      <c r="A3179" t="s">
        <v>343</v>
      </c>
      <c r="E3179" t="s">
        <v>200</v>
      </c>
      <c r="G3179" s="23" t="s">
        <v>120</v>
      </c>
      <c r="R3179" s="6">
        <f ca="1">R3188*R3130</f>
        <v>2085.523063101532</v>
      </c>
      <c r="S3179" s="27">
        <f ca="1">S3158*S3130</f>
        <v>2022.9573712084862</v>
      </c>
      <c r="T3179" s="27">
        <f ca="1">T3158*T3130</f>
        <v>2819.5194674847367</v>
      </c>
      <c r="U3179" s="27">
        <f>U3158*U3130</f>
        <v>0</v>
      </c>
    </row>
    <row r="3180" spans="1:22" x14ac:dyDescent="0.3">
      <c r="A3180" t="s">
        <v>343</v>
      </c>
      <c r="E3180" t="s">
        <v>200</v>
      </c>
      <c r="G3180" s="24" t="s">
        <v>122</v>
      </c>
      <c r="R3180" s="6"/>
      <c r="S3180" s="27">
        <f ca="1">S3159*(R3130+S3130)</f>
        <v>1650.0841817946171</v>
      </c>
      <c r="T3180" s="27">
        <f ca="1">T3159*(S3130+T3130)</f>
        <v>25.02627675721838</v>
      </c>
      <c r="U3180" s="27">
        <f ca="1">U3159*(T3130+U3130)</f>
        <v>5.6959989242115876</v>
      </c>
    </row>
    <row r="3181" spans="1:22" x14ac:dyDescent="0.3">
      <c r="A3181" t="s">
        <v>343</v>
      </c>
    </row>
    <row r="3182" spans="1:22" x14ac:dyDescent="0.3">
      <c r="A3182" t="s">
        <v>343</v>
      </c>
      <c r="C3182" s="11"/>
      <c r="D3182" s="11"/>
      <c r="E3182" s="11" t="s">
        <v>283</v>
      </c>
      <c r="R3182" s="8">
        <f ca="1">SUM(R3179:U3180)</f>
        <v>8608.8063592708022</v>
      </c>
    </row>
    <row r="3183" spans="1:22" x14ac:dyDescent="0.3">
      <c r="A3183" t="s">
        <v>343</v>
      </c>
    </row>
    <row r="3184" spans="1:22" x14ac:dyDescent="0.3">
      <c r="A3184" t="s">
        <v>343</v>
      </c>
      <c r="E3184" t="s">
        <v>202</v>
      </c>
      <c r="R3184" s="28">
        <f ca="1">R3186*(S3130+T3130)</f>
        <v>79249.876397858156</v>
      </c>
    </row>
    <row r="3185" spans="1:46" x14ac:dyDescent="0.3">
      <c r="A3185" t="s">
        <v>343</v>
      </c>
    </row>
    <row r="3186" spans="1:46" x14ac:dyDescent="0.3">
      <c r="A3186" t="s">
        <v>343</v>
      </c>
      <c r="B3186" t="str">
        <f>C3097</f>
        <v>IL 9/1.1.1.1.1.1.1.1</v>
      </c>
      <c r="C3186" t="str">
        <f>C3106</f>
        <v>IL 10/1.1.1.1.1.1.1.1.1</v>
      </c>
      <c r="D3186" t="s">
        <v>360</v>
      </c>
      <c r="E3186" s="72" t="s">
        <v>132</v>
      </c>
      <c r="R3186" s="73">
        <f ca="1">R3150*Q3132</f>
        <v>1545.3725897582342</v>
      </c>
    </row>
    <row r="3187" spans="1:46" x14ac:dyDescent="0.3">
      <c r="A3187" t="s">
        <v>343</v>
      </c>
    </row>
    <row r="3188" spans="1:46" x14ac:dyDescent="0.3">
      <c r="A3188" t="s">
        <v>343</v>
      </c>
      <c r="E3188" t="s">
        <v>201</v>
      </c>
      <c r="P3188" s="7"/>
      <c r="Q3188" s="7"/>
      <c r="R3188" s="7">
        <f ca="1">R3150*Q3133</f>
        <v>81.335399460959763</v>
      </c>
    </row>
    <row r="3193" spans="1:46" x14ac:dyDescent="0.3">
      <c r="A3193" t="s">
        <v>344</v>
      </c>
      <c r="E3193" s="152" t="s">
        <v>360</v>
      </c>
      <c r="F3193" s="153"/>
      <c r="G3193" s="153"/>
      <c r="H3193" s="153"/>
      <c r="I3193" s="153"/>
      <c r="J3193" s="153"/>
      <c r="K3193" s="153"/>
      <c r="L3193" s="153"/>
      <c r="M3193" s="153"/>
      <c r="N3193" s="153"/>
      <c r="O3193" s="153"/>
      <c r="P3193" s="153"/>
      <c r="Q3193" s="153"/>
      <c r="R3193" s="153"/>
      <c r="S3193" s="153"/>
      <c r="T3193" s="153"/>
      <c r="U3193" s="153"/>
      <c r="V3193" s="153"/>
      <c r="W3193" s="153"/>
      <c r="X3193" s="153"/>
      <c r="Y3193" s="154"/>
      <c r="Z3193" s="152"/>
      <c r="AA3193" s="153"/>
      <c r="AB3193" s="153"/>
      <c r="AC3193" s="153"/>
      <c r="AD3193" s="153"/>
      <c r="AE3193" s="153"/>
      <c r="AF3193" s="153"/>
      <c r="AG3193" s="153"/>
      <c r="AH3193" s="153"/>
      <c r="AI3193" s="153"/>
      <c r="AJ3193" s="153"/>
      <c r="AK3193" s="153"/>
      <c r="AL3193" s="153"/>
      <c r="AM3193" s="153"/>
      <c r="AN3193" s="153"/>
      <c r="AO3193" s="153"/>
      <c r="AP3193" s="153"/>
      <c r="AQ3193" s="153"/>
      <c r="AR3193" s="153"/>
      <c r="AS3193" s="153"/>
      <c r="AT3193" s="154"/>
    </row>
    <row r="3194" spans="1:46" x14ac:dyDescent="0.3">
      <c r="A3194" t="s">
        <v>344</v>
      </c>
    </row>
    <row r="3195" spans="1:46" x14ac:dyDescent="0.3">
      <c r="A3195" t="s">
        <v>344</v>
      </c>
      <c r="B3195" t="str">
        <f>C3186</f>
        <v>IL 10/1.1.1.1.1.1.1.1.1</v>
      </c>
      <c r="C3195" t="str">
        <f>D3186</f>
        <v>IL 11/1.1.1.1.1.1.1.1.1.1</v>
      </c>
      <c r="E3195" t="s">
        <v>197</v>
      </c>
      <c r="O3195" s="83"/>
      <c r="P3195" s="83"/>
      <c r="Q3195" s="83"/>
      <c r="R3195" s="83">
        <f ca="1">R3186</f>
        <v>1545.3725897582342</v>
      </c>
    </row>
    <row r="3196" spans="1:46" x14ac:dyDescent="0.3">
      <c r="A3196" t="s">
        <v>344</v>
      </c>
      <c r="E3196" t="s">
        <v>206</v>
      </c>
      <c r="O3196" s="7"/>
      <c r="P3196" s="7"/>
      <c r="Q3196" s="7"/>
      <c r="R3196" s="7">
        <f ca="1">R3198*R3195</f>
        <v>1545.3725897582342</v>
      </c>
      <c r="U3196" s="77"/>
    </row>
    <row r="3197" spans="1:46" x14ac:dyDescent="0.3">
      <c r="A3197" t="s">
        <v>344</v>
      </c>
      <c r="O3197" s="7"/>
      <c r="P3197" s="7"/>
      <c r="Q3197" s="7"/>
      <c r="R3197" s="7"/>
      <c r="S3197" s="7">
        <f ca="1">R3186</f>
        <v>1545.3725897582342</v>
      </c>
      <c r="U3197" s="77"/>
    </row>
    <row r="3198" spans="1:46" x14ac:dyDescent="0.3">
      <c r="A3198" t="s">
        <v>344</v>
      </c>
      <c r="C3198" s="11"/>
      <c r="D3198" s="11"/>
      <c r="E3198" s="11" t="s">
        <v>134</v>
      </c>
      <c r="F3198" s="11"/>
      <c r="G3198" s="11"/>
      <c r="O3198" s="104"/>
      <c r="P3198" s="104"/>
      <c r="Q3198" s="104"/>
      <c r="R3198" s="104">
        <f>R3199*R3200*R3201*R3202</f>
        <v>1</v>
      </c>
      <c r="S3198" s="7">
        <f>S3199*S3200*S3201*S3202</f>
        <v>0</v>
      </c>
      <c r="T3198" s="11"/>
      <c r="V3198" s="11"/>
    </row>
    <row r="3199" spans="1:46" x14ac:dyDescent="0.3">
      <c r="A3199" t="s">
        <v>344</v>
      </c>
      <c r="E3199" t="s">
        <v>35</v>
      </c>
      <c r="O3199" s="89"/>
      <c r="P3199" s="89"/>
      <c r="Q3199" s="89"/>
      <c r="R3199" s="89">
        <f>SUMIFS('Summary500-600'!$C$163:$C$264,'Summary500-600'!$A$163:$A$264,$A3199,'Summary500-600'!$B$163:$B$264,$E3199)</f>
        <v>1</v>
      </c>
    </row>
    <row r="3200" spans="1:46" x14ac:dyDescent="0.3">
      <c r="A3200" t="s">
        <v>344</v>
      </c>
      <c r="E3200" t="s">
        <v>36</v>
      </c>
      <c r="O3200" s="89"/>
      <c r="P3200" s="89"/>
      <c r="Q3200" s="89"/>
      <c r="R3200" s="89">
        <f>SUMIFS('Summary500-600'!$C$163:$C$264,'Summary500-600'!$A$163:$A$264,$A3200,'Summary500-600'!$B$163:$B$264,$E3200)</f>
        <v>1</v>
      </c>
    </row>
    <row r="3201" spans="1:18" x14ac:dyDescent="0.3">
      <c r="A3201" t="s">
        <v>344</v>
      </c>
      <c r="E3201" t="s">
        <v>142</v>
      </c>
      <c r="O3201" s="89"/>
      <c r="P3201" s="89"/>
      <c r="Q3201" s="89"/>
      <c r="R3201" s="89">
        <f>SUMIFS('Summary500-600'!$C$163:$C$264,'Summary500-600'!$A$163:$A$264,$A3201,'Summary500-600'!$B$163:$B$264,$E3201)</f>
        <v>1</v>
      </c>
    </row>
    <row r="3202" spans="1:18" x14ac:dyDescent="0.3">
      <c r="A3202" t="s">
        <v>344</v>
      </c>
      <c r="E3202" t="s">
        <v>37</v>
      </c>
      <c r="O3202" s="89"/>
      <c r="P3202" s="89"/>
      <c r="Q3202" s="89"/>
      <c r="R3202" s="89">
        <f>SUMIFS('Summary500-600'!$C$163:$C$264,'Summary500-600'!$A$163:$A$264,$A3202,'Summary500-600'!$B$163:$B$264,$E3202)</f>
        <v>1</v>
      </c>
    </row>
    <row r="3203" spans="1:18" x14ac:dyDescent="0.3">
      <c r="A3203" t="s">
        <v>344</v>
      </c>
    </row>
    <row r="3204" spans="1:18" x14ac:dyDescent="0.3">
      <c r="A3204" t="s">
        <v>344</v>
      </c>
    </row>
    <row r="3205" spans="1:18" x14ac:dyDescent="0.3">
      <c r="A3205" t="s">
        <v>344</v>
      </c>
      <c r="E3205" t="s">
        <v>125</v>
      </c>
      <c r="O3205" s="83"/>
      <c r="P3205" s="83"/>
      <c r="Q3205" s="83"/>
      <c r="R3205" s="83">
        <f ca="1">OFFSET($E$30,MATCH($A3205,$E$30:$E$45,0)-1,1)</f>
        <v>96.15384615384616</v>
      </c>
    </row>
    <row r="3206" spans="1:18" x14ac:dyDescent="0.3">
      <c r="A3206" t="s">
        <v>344</v>
      </c>
      <c r="E3206" t="s">
        <v>135</v>
      </c>
      <c r="O3206" s="82"/>
      <c r="P3206" s="82"/>
      <c r="Q3206" s="82"/>
      <c r="R3206" s="82">
        <f ca="1">R3205</f>
        <v>96.15384615384616</v>
      </c>
    </row>
    <row r="3207" spans="1:18" x14ac:dyDescent="0.3">
      <c r="A3207" t="s">
        <v>344</v>
      </c>
    </row>
    <row r="3208" spans="1:18" x14ac:dyDescent="0.3">
      <c r="A3208" t="s">
        <v>344</v>
      </c>
      <c r="E3208" t="s">
        <v>126</v>
      </c>
      <c r="O3208" s="88"/>
      <c r="P3208" s="88"/>
      <c r="Q3208" s="88"/>
      <c r="R3208" s="88">
        <f>$H$52</f>
        <v>0.2</v>
      </c>
    </row>
    <row r="3209" spans="1:18" x14ac:dyDescent="0.3">
      <c r="A3209" t="s">
        <v>344</v>
      </c>
      <c r="E3209" t="s">
        <v>117</v>
      </c>
      <c r="O3209" s="7"/>
      <c r="P3209" s="7"/>
      <c r="Q3209" s="7"/>
      <c r="R3209" s="7">
        <f ca="1">R3208*R3205</f>
        <v>19.230769230769234</v>
      </c>
    </row>
    <row r="3210" spans="1:18" x14ac:dyDescent="0.3">
      <c r="A3210" t="s">
        <v>344</v>
      </c>
    </row>
    <row r="3211" spans="1:18" x14ac:dyDescent="0.3">
      <c r="A3211" t="s">
        <v>344</v>
      </c>
      <c r="E3211" t="s">
        <v>118</v>
      </c>
      <c r="O3211" s="7"/>
      <c r="P3211" s="7"/>
      <c r="Q3211" s="7"/>
      <c r="R3211" s="7">
        <f ca="1">R3206</f>
        <v>96.15384615384616</v>
      </c>
    </row>
    <row r="3212" spans="1:18" x14ac:dyDescent="0.3">
      <c r="A3212" t="s">
        <v>344</v>
      </c>
      <c r="E3212" t="s">
        <v>106</v>
      </c>
      <c r="O3212" s="7"/>
      <c r="P3212" s="7"/>
      <c r="Q3212" s="7"/>
      <c r="R3212" s="7">
        <f ca="1">R3205*(1+R3208)</f>
        <v>115.38461538461539</v>
      </c>
    </row>
    <row r="3213" spans="1:18" x14ac:dyDescent="0.3">
      <c r="A3213" t="s">
        <v>344</v>
      </c>
      <c r="O3213" s="7"/>
      <c r="P3213" s="7"/>
      <c r="Q3213" s="7"/>
      <c r="R3213" s="7"/>
    </row>
    <row r="3214" spans="1:18" x14ac:dyDescent="0.3">
      <c r="A3214" t="s">
        <v>344</v>
      </c>
      <c r="E3214" t="s">
        <v>136</v>
      </c>
      <c r="O3214" s="7"/>
      <c r="P3214" s="7"/>
      <c r="Q3214" s="7"/>
      <c r="R3214" s="7">
        <f ca="1">R3211*R3196</f>
        <v>148593.51824598407</v>
      </c>
    </row>
    <row r="3215" spans="1:18" x14ac:dyDescent="0.3">
      <c r="A3215" t="s">
        <v>344</v>
      </c>
      <c r="E3215" t="s">
        <v>119</v>
      </c>
      <c r="O3215" s="7"/>
      <c r="P3215" s="7"/>
      <c r="Q3215" s="7"/>
      <c r="R3215" s="7">
        <f ca="1">R3212*R3196</f>
        <v>178312.22189518088</v>
      </c>
    </row>
    <row r="3216" spans="1:18" x14ac:dyDescent="0.3">
      <c r="A3216" t="s">
        <v>344</v>
      </c>
      <c r="O3216" s="7"/>
      <c r="P3216" s="7"/>
      <c r="Q3216" s="7"/>
      <c r="R3216" s="7"/>
    </row>
    <row r="3217" spans="1:23" x14ac:dyDescent="0.3">
      <c r="A3217" t="s">
        <v>344</v>
      </c>
      <c r="E3217" t="s">
        <v>302</v>
      </c>
      <c r="O3217" s="6"/>
      <c r="P3217" s="6"/>
      <c r="Q3217" s="6"/>
      <c r="R3217" s="6">
        <f ca="1">R3209*R3196</f>
        <v>29718.703649196817</v>
      </c>
    </row>
    <row r="3218" spans="1:23" x14ac:dyDescent="0.3">
      <c r="A3218" t="s">
        <v>344</v>
      </c>
      <c r="O3218" s="7"/>
      <c r="P3218" s="7"/>
      <c r="Q3218" s="7"/>
      <c r="R3218" s="7"/>
    </row>
    <row r="3219" spans="1:23" x14ac:dyDescent="0.3">
      <c r="A3219" t="s">
        <v>344</v>
      </c>
      <c r="E3219" t="s">
        <v>127</v>
      </c>
      <c r="S3219" s="7">
        <f ca="1">R3212/3</f>
        <v>38.46153846153846</v>
      </c>
      <c r="T3219" s="7">
        <f ca="1">R3212/3</f>
        <v>38.46153846153846</v>
      </c>
      <c r="U3219" s="7">
        <f ca="1">R3212/3</f>
        <v>38.46153846153846</v>
      </c>
    </row>
    <row r="3220" spans="1:23" x14ac:dyDescent="0.3">
      <c r="A3220" t="s">
        <v>344</v>
      </c>
      <c r="S3220" s="7">
        <f ca="1">R3212</f>
        <v>115.38461538461539</v>
      </c>
    </row>
    <row r="3221" spans="1:23" s="103" customFormat="1" x14ac:dyDescent="0.3">
      <c r="A3221" t="s">
        <v>344</v>
      </c>
      <c r="E3221" s="100" t="s">
        <v>128</v>
      </c>
      <c r="O3221" s="139"/>
      <c r="P3221" s="139"/>
      <c r="Q3221" s="139"/>
      <c r="R3221" s="139">
        <f ca="1">OFFSET('Summary500-600'!$B$38,MATCH($A3221,'Summary500-600'!$B$38:$B$52,0)-1,1)</f>
        <v>0.95</v>
      </c>
    </row>
    <row r="3222" spans="1:23" s="103" customFormat="1" x14ac:dyDescent="0.3">
      <c r="A3222" t="s">
        <v>344</v>
      </c>
      <c r="E3222" s="103" t="s">
        <v>129</v>
      </c>
      <c r="O3222" s="79"/>
      <c r="P3222" s="79"/>
      <c r="Q3222" s="79"/>
      <c r="R3222" s="79">
        <f ca="1">1-R3221</f>
        <v>5.0000000000000044E-2</v>
      </c>
    </row>
    <row r="3223" spans="1:23" x14ac:dyDescent="0.3">
      <c r="A3223" t="s">
        <v>344</v>
      </c>
    </row>
    <row r="3224" spans="1:23" x14ac:dyDescent="0.3">
      <c r="A3224" t="s">
        <v>344</v>
      </c>
      <c r="C3224" s="71"/>
      <c r="D3224" s="71"/>
      <c r="E3224" s="71" t="s">
        <v>16</v>
      </c>
    </row>
    <row r="3225" spans="1:23" x14ac:dyDescent="0.3">
      <c r="A3225" t="s">
        <v>344</v>
      </c>
      <c r="E3225" t="s">
        <v>17</v>
      </c>
      <c r="S3225" s="74">
        <f>'Summary500-600'!$C$107</f>
        <v>0.09</v>
      </c>
      <c r="T3225" s="74">
        <f>'Summary500-600'!$C$108</f>
        <v>0.03</v>
      </c>
      <c r="U3225" s="74">
        <f>'Summary500-600'!$C$109</f>
        <v>0.01</v>
      </c>
      <c r="V3225" s="75"/>
      <c r="W3225" s="75"/>
    </row>
    <row r="3226" spans="1:23" x14ac:dyDescent="0.3">
      <c r="A3226" t="s">
        <v>344</v>
      </c>
      <c r="E3226" t="s">
        <v>18</v>
      </c>
      <c r="G3226" s="75"/>
      <c r="T3226" s="74">
        <f>'Summary500-600'!$C$110</f>
        <v>0.8</v>
      </c>
      <c r="U3226" s="76">
        <f>T3226</f>
        <v>0.8</v>
      </c>
      <c r="V3226" s="76">
        <f>U3226</f>
        <v>0.8</v>
      </c>
      <c r="W3226" s="75"/>
    </row>
    <row r="3227" spans="1:23" x14ac:dyDescent="0.3">
      <c r="A3227" t="s">
        <v>344</v>
      </c>
      <c r="E3227" t="s">
        <v>19</v>
      </c>
      <c r="G3227" s="75"/>
      <c r="T3227" s="75"/>
      <c r="U3227" s="74">
        <f>'Summary500-600'!$C$104</f>
        <v>1</v>
      </c>
      <c r="V3227" s="74">
        <f>U3227</f>
        <v>1</v>
      </c>
      <c r="W3227" s="74">
        <f>V3227</f>
        <v>1</v>
      </c>
    </row>
    <row r="3228" spans="1:23" x14ac:dyDescent="0.3">
      <c r="A3228" t="s">
        <v>344</v>
      </c>
      <c r="E3228" t="s">
        <v>20</v>
      </c>
      <c r="U3228" s="21"/>
    </row>
    <row r="3229" spans="1:23" x14ac:dyDescent="0.3">
      <c r="A3229" t="s">
        <v>344</v>
      </c>
      <c r="U3229" s="21"/>
    </row>
    <row r="3230" spans="1:23" x14ac:dyDescent="0.3">
      <c r="A3230" t="s">
        <v>344</v>
      </c>
      <c r="C3230" s="11"/>
      <c r="D3230" s="11"/>
      <c r="E3230" s="11" t="s">
        <v>196</v>
      </c>
      <c r="S3230" s="90">
        <f ca="1">SUM(S3231:S3234)</f>
        <v>0.13550000000000004</v>
      </c>
      <c r="T3230" s="90">
        <f ca="1">SUM(T3231:T3234)</f>
        <v>0.13550000000000001</v>
      </c>
      <c r="U3230" s="90">
        <f ca="1">SUM(U3231:U3234)</f>
        <v>7.3713349999999997E-2</v>
      </c>
      <c r="V3230" s="90">
        <f ca="1">SUM(V3231:V3234)</f>
        <v>7.3589079999999987E-2</v>
      </c>
    </row>
    <row r="3231" spans="1:23" x14ac:dyDescent="0.3">
      <c r="A3231" t="s">
        <v>344</v>
      </c>
      <c r="E3231" t="s">
        <v>17</v>
      </c>
      <c r="S3231" s="22">
        <f ca="1">(1-S3225)*R3222</f>
        <v>4.550000000000004E-2</v>
      </c>
      <c r="T3231" s="22">
        <f ca="1">S3231*(1-T3225)+S3232*(1-T3226)</f>
        <v>6.213500000000003E-2</v>
      </c>
    </row>
    <row r="3232" spans="1:23" x14ac:dyDescent="0.3">
      <c r="A3232" t="s">
        <v>344</v>
      </c>
      <c r="E3232" t="s">
        <v>18</v>
      </c>
      <c r="S3232" s="22">
        <f>S3225</f>
        <v>0.09</v>
      </c>
      <c r="T3232" s="22">
        <f ca="1">S3231*T3225</f>
        <v>1.3650000000000012E-3</v>
      </c>
      <c r="U3232" s="22">
        <f ca="1">T3231*U3225</f>
        <v>6.2135000000000033E-4</v>
      </c>
      <c r="W3232" s="22"/>
    </row>
    <row r="3233" spans="1:23" x14ac:dyDescent="0.3">
      <c r="A3233" t="s">
        <v>344</v>
      </c>
      <c r="E3233" t="s">
        <v>19</v>
      </c>
      <c r="T3233" s="22">
        <f>S3232*T3226</f>
        <v>7.1999999999999995E-2</v>
      </c>
      <c r="U3233" s="22">
        <f ca="1">T3232*U3226+T3233</f>
        <v>7.309199999999999E-2</v>
      </c>
      <c r="V3233" s="22">
        <f ca="1">U3232*V3226+U3233</f>
        <v>7.3589079999999987E-2</v>
      </c>
    </row>
    <row r="3234" spans="1:23" x14ac:dyDescent="0.3">
      <c r="A3234" t="s">
        <v>344</v>
      </c>
      <c r="T3234" s="22"/>
      <c r="U3234" s="22"/>
    </row>
    <row r="3235" spans="1:23" x14ac:dyDescent="0.3">
      <c r="A3235" t="s">
        <v>344</v>
      </c>
      <c r="E3235" t="s">
        <v>195</v>
      </c>
      <c r="S3235" s="22">
        <f ca="1">(1-S3225)*R3221</f>
        <v>0.86449999999999994</v>
      </c>
      <c r="U3235" s="29">
        <f ca="1">T3231*(1-U3225)+T3232*(1-U3226)+T3233*(1-U3227)</f>
        <v>6.1786650000000033E-2</v>
      </c>
      <c r="V3235" s="29">
        <f ca="1">U3232*(1-V3226)+U3235</f>
        <v>6.1910920000000036E-2</v>
      </c>
      <c r="W3235" s="22"/>
    </row>
    <row r="3236" spans="1:23" x14ac:dyDescent="0.3">
      <c r="A3236" t="s">
        <v>344</v>
      </c>
      <c r="S3236" s="22"/>
      <c r="U3236" s="29"/>
      <c r="V3236" s="29"/>
      <c r="W3236" s="22"/>
    </row>
    <row r="3237" spans="1:23" x14ac:dyDescent="0.3">
      <c r="A3237" t="s">
        <v>344</v>
      </c>
      <c r="S3237" s="25" t="s">
        <v>32</v>
      </c>
    </row>
    <row r="3238" spans="1:23" x14ac:dyDescent="0.3">
      <c r="A3238" t="s">
        <v>344</v>
      </c>
      <c r="C3238" s="11"/>
      <c r="D3238" s="11"/>
      <c r="E3238" s="11" t="s">
        <v>124</v>
      </c>
      <c r="S3238" s="8">
        <f ca="1">SUM(S3239:S3242)</f>
        <v>1545.3725897582342</v>
      </c>
      <c r="T3238" s="8">
        <f ca="1">SUM(T3239:T3242)</f>
        <v>209.39798591224076</v>
      </c>
      <c r="U3238" s="8">
        <f ca="1">SUM(U3239:U3242)</f>
        <v>113.91459058925513</v>
      </c>
    </row>
    <row r="3239" spans="1:23" x14ac:dyDescent="0.3">
      <c r="A3239" t="s">
        <v>344</v>
      </c>
      <c r="C3239" s="23"/>
      <c r="D3239" s="23"/>
      <c r="E3239" s="23" t="s">
        <v>120</v>
      </c>
      <c r="S3239" s="7">
        <f ca="1">R3196*(1-S3225)</f>
        <v>1406.2890566799931</v>
      </c>
      <c r="T3239" s="82">
        <f ca="1">S3277*(1-T3225)+S3240*(1-T3226)</f>
        <v>96.021725864627925</v>
      </c>
    </row>
    <row r="3240" spans="1:23" x14ac:dyDescent="0.3">
      <c r="A3240" t="s">
        <v>344</v>
      </c>
      <c r="C3240" s="24"/>
      <c r="D3240" s="24"/>
      <c r="E3240" s="24" t="s">
        <v>122</v>
      </c>
      <c r="S3240" s="7">
        <f ca="1">R3196*S3225</f>
        <v>139.08353307824106</v>
      </c>
      <c r="T3240" s="7">
        <f ca="1">S3277*T3225</f>
        <v>2.1094335850199917</v>
      </c>
      <c r="U3240" s="7">
        <f ca="1">T3239*U3225</f>
        <v>0.96021725864627927</v>
      </c>
      <c r="V3240" s="7">
        <f>U3239*V3225</f>
        <v>0</v>
      </c>
    </row>
    <row r="3241" spans="1:23" x14ac:dyDescent="0.3">
      <c r="A3241" t="s">
        <v>344</v>
      </c>
      <c r="C3241" s="23"/>
      <c r="D3241" s="23"/>
      <c r="E3241" s="23" t="s">
        <v>121</v>
      </c>
      <c r="T3241" s="7">
        <f ca="1">S3240*T3226</f>
        <v>111.26682646259286</v>
      </c>
      <c r="U3241" s="7">
        <f ca="1">T3240*U3226</f>
        <v>1.6875468680159935</v>
      </c>
      <c r="V3241" s="7">
        <f ca="1">U3240*V3226</f>
        <v>0.76817380691702342</v>
      </c>
    </row>
    <row r="3242" spans="1:23" x14ac:dyDescent="0.3">
      <c r="A3242" t="s">
        <v>344</v>
      </c>
      <c r="C3242" s="23"/>
      <c r="D3242" s="23"/>
      <c r="E3242" s="23" t="s">
        <v>138</v>
      </c>
      <c r="T3242" s="7"/>
      <c r="U3242" s="7">
        <f ca="1">T3241*U3227</f>
        <v>111.26682646259286</v>
      </c>
      <c r="V3242" s="7">
        <f ca="1">U3241*V3227+U3242</f>
        <v>112.95437333060886</v>
      </c>
      <c r="W3242" s="7">
        <f ca="1">V3241*W3227+V3242</f>
        <v>113.72254713752588</v>
      </c>
    </row>
    <row r="3243" spans="1:23" x14ac:dyDescent="0.3">
      <c r="A3243" t="s">
        <v>344</v>
      </c>
      <c r="C3243" s="23"/>
      <c r="D3243" s="23"/>
      <c r="E3243" s="23"/>
      <c r="T3243" s="7"/>
    </row>
    <row r="3244" spans="1:23" x14ac:dyDescent="0.3">
      <c r="A3244" t="s">
        <v>344</v>
      </c>
      <c r="C3244" s="23"/>
      <c r="D3244" s="23"/>
      <c r="E3244" s="23" t="s">
        <v>137</v>
      </c>
      <c r="T3244" s="7"/>
      <c r="U3244" s="7">
        <f ca="1">T3239*(1-U3225)+T3240*(1-U3226)+T3241*(1-U3227)</f>
        <v>95.483395322985643</v>
      </c>
      <c r="V3244" s="7">
        <f ca="1">U3240*(1-V3226)+U3244</f>
        <v>95.675438774714905</v>
      </c>
      <c r="W3244" s="7">
        <f ca="1">V3241*(1-W3227)+V3244</f>
        <v>95.675438774714905</v>
      </c>
    </row>
    <row r="3245" spans="1:23" x14ac:dyDescent="0.3">
      <c r="A3245" t="s">
        <v>344</v>
      </c>
      <c r="C3245" s="23"/>
      <c r="D3245" s="23"/>
      <c r="E3245" s="23"/>
      <c r="T3245" s="7"/>
    </row>
    <row r="3246" spans="1:23" x14ac:dyDescent="0.3">
      <c r="A3246" t="s">
        <v>344</v>
      </c>
      <c r="C3246" s="11"/>
      <c r="D3246" s="11"/>
      <c r="E3246" s="11" t="s">
        <v>139</v>
      </c>
      <c r="S3246" s="8">
        <f ca="1">SUM(S3247:S3248)</f>
        <v>1406.2890566799931</v>
      </c>
      <c r="T3246" s="8">
        <f ca="1">SUM(T3247:T3248)</f>
        <v>96.021725864627925</v>
      </c>
      <c r="U3246" s="8">
        <f ca="1">SUM(U3247:U3248)</f>
        <v>95.483395322985643</v>
      </c>
      <c r="V3246" s="8">
        <f ca="1">SUM(V3247:V3248)</f>
        <v>0.1920434517292558</v>
      </c>
    </row>
    <row r="3247" spans="1:23" x14ac:dyDescent="0.3">
      <c r="A3247" t="s">
        <v>344</v>
      </c>
      <c r="C3247" s="23"/>
      <c r="D3247" s="23"/>
      <c r="E3247" s="23" t="s">
        <v>120</v>
      </c>
      <c r="S3247" s="7">
        <f ca="1">S3239</f>
        <v>1406.2890566799931</v>
      </c>
      <c r="T3247" s="7">
        <f ca="1">S3277*(1-T3225)</f>
        <v>68.205019248979724</v>
      </c>
      <c r="U3247" s="7">
        <f ca="1">T3239*(1-U3225)</f>
        <v>95.061508605981643</v>
      </c>
    </row>
    <row r="3248" spans="1:23" x14ac:dyDescent="0.3">
      <c r="A3248" t="s">
        <v>344</v>
      </c>
      <c r="C3248" s="24"/>
      <c r="D3248" s="24"/>
      <c r="E3248" s="24" t="s">
        <v>122</v>
      </c>
      <c r="T3248" s="7">
        <f ca="1">S3240*(1-T3226)</f>
        <v>27.816706615648204</v>
      </c>
      <c r="U3248" s="7">
        <f ca="1">T3240*(1-U3226)</f>
        <v>0.42188671700399827</v>
      </c>
      <c r="V3248" s="7">
        <f ca="1">U3240*(1-V3226)</f>
        <v>0.1920434517292558</v>
      </c>
    </row>
    <row r="3249" spans="1:23" x14ac:dyDescent="0.3">
      <c r="A3249" t="s">
        <v>344</v>
      </c>
      <c r="C3249" s="23"/>
      <c r="D3249" s="23"/>
      <c r="E3249" s="23"/>
      <c r="T3249" s="7"/>
      <c r="U3249" s="7">
        <f ca="1">T3241*(1-U3227)</f>
        <v>0</v>
      </c>
      <c r="V3249" s="7">
        <f ca="1">U3241*(1-V3227)</f>
        <v>0</v>
      </c>
    </row>
    <row r="3250" spans="1:23" x14ac:dyDescent="0.3">
      <c r="A3250" t="s">
        <v>344</v>
      </c>
      <c r="C3250" s="81"/>
      <c r="D3250" s="81"/>
      <c r="E3250" s="81" t="s">
        <v>123</v>
      </c>
    </row>
    <row r="3251" spans="1:23" x14ac:dyDescent="0.3">
      <c r="A3251" t="s">
        <v>344</v>
      </c>
      <c r="C3251" s="23"/>
      <c r="D3251" s="23"/>
      <c r="E3251" s="23" t="s">
        <v>120</v>
      </c>
      <c r="S3251" s="7">
        <f ca="1">R3212-S3219</f>
        <v>76.923076923076934</v>
      </c>
      <c r="T3251" s="7">
        <f ca="1">S3251-T3219</f>
        <v>38.461538461538474</v>
      </c>
      <c r="U3251" s="7">
        <f ca="1">T3251-U3219</f>
        <v>0</v>
      </c>
    </row>
    <row r="3252" spans="1:23" x14ac:dyDescent="0.3">
      <c r="A3252" t="s">
        <v>344</v>
      </c>
      <c r="C3252" s="24"/>
      <c r="D3252" s="24"/>
      <c r="E3252" s="24" t="s">
        <v>122</v>
      </c>
      <c r="S3252" s="7">
        <f ca="1">R3212</f>
        <v>115.38461538461539</v>
      </c>
      <c r="T3252" s="7">
        <f ca="1">S3251</f>
        <v>76.923076923076934</v>
      </c>
      <c r="U3252" s="7">
        <f ca="1">T3251</f>
        <v>38.461538461538474</v>
      </c>
    </row>
    <row r="3253" spans="1:23" x14ac:dyDescent="0.3">
      <c r="A3253" t="s">
        <v>344</v>
      </c>
      <c r="C3253" s="23"/>
      <c r="D3253" s="23"/>
      <c r="E3253" s="23" t="s">
        <v>121</v>
      </c>
      <c r="T3253" s="7">
        <f ca="1">S3252</f>
        <v>115.38461538461539</v>
      </c>
      <c r="U3253" s="7">
        <f ca="1">T3252</f>
        <v>76.923076923076934</v>
      </c>
      <c r="V3253" s="7">
        <f ca="1">U3252</f>
        <v>38.461538461538474</v>
      </c>
    </row>
    <row r="3254" spans="1:23" x14ac:dyDescent="0.3">
      <c r="A3254" t="s">
        <v>344</v>
      </c>
      <c r="C3254" s="23"/>
      <c r="D3254" s="23"/>
      <c r="E3254" s="23"/>
      <c r="U3254" s="7"/>
      <c r="V3254" s="7"/>
    </row>
    <row r="3255" spans="1:23" x14ac:dyDescent="0.3">
      <c r="A3255" t="s">
        <v>344</v>
      </c>
      <c r="C3255" s="23"/>
      <c r="D3255" s="23"/>
      <c r="E3255" s="23"/>
      <c r="U3255" s="7"/>
      <c r="V3255" s="7"/>
    </row>
    <row r="3256" spans="1:23" x14ac:dyDescent="0.3">
      <c r="A3256" t="s">
        <v>344</v>
      </c>
      <c r="C3256" s="11"/>
      <c r="D3256" s="11"/>
      <c r="E3256" s="11" t="s">
        <v>130</v>
      </c>
      <c r="S3256" s="8">
        <f ca="1">SUM(S3257:S3260)</f>
        <v>124224.18125364269</v>
      </c>
      <c r="T3256" s="8">
        <f ca="1">SUM(T3257:T3260)</f>
        <v>16693.887400863328</v>
      </c>
      <c r="U3256" s="8">
        <f ca="1">SUM(U3257:U3260)</f>
        <v>13005.22270701757</v>
      </c>
      <c r="V3256" s="8">
        <f ca="1">SUM(V3257:V3260)</f>
        <v>12997.836420412599</v>
      </c>
    </row>
    <row r="3257" spans="1:23" x14ac:dyDescent="0.3">
      <c r="A3257" t="s">
        <v>344</v>
      </c>
      <c r="C3257" s="23"/>
      <c r="D3257" s="23"/>
      <c r="E3257" s="23" t="s">
        <v>120</v>
      </c>
      <c r="S3257" s="7">
        <f t="shared" ref="S3257:U3257" ca="1" si="197">S3251*S3239</f>
        <v>108176.0812830764</v>
      </c>
      <c r="T3257" s="7">
        <f t="shared" ca="1" si="197"/>
        <v>3693.1433024856906</v>
      </c>
      <c r="U3257" s="7">
        <f t="shared" ca="1" si="197"/>
        <v>0</v>
      </c>
    </row>
    <row r="3258" spans="1:23" x14ac:dyDescent="0.3">
      <c r="A3258" t="s">
        <v>344</v>
      </c>
      <c r="C3258" s="24"/>
      <c r="D3258" s="24"/>
      <c r="E3258" s="24" t="s">
        <v>122</v>
      </c>
      <c r="S3258" s="7">
        <f t="shared" ref="S3258:U3258" ca="1" si="198">S3252*S3240</f>
        <v>16048.099970566276</v>
      </c>
      <c r="T3258" s="7">
        <f t="shared" ca="1" si="198"/>
        <v>162.26412192461476</v>
      </c>
      <c r="U3258" s="7">
        <f t="shared" ca="1" si="198"/>
        <v>36.931433024856908</v>
      </c>
      <c r="V3258" s="7">
        <f>V3252*V3240</f>
        <v>0</v>
      </c>
    </row>
    <row r="3259" spans="1:23" x14ac:dyDescent="0.3">
      <c r="A3259" t="s">
        <v>344</v>
      </c>
      <c r="C3259" s="23"/>
      <c r="D3259" s="23"/>
      <c r="E3259" s="23" t="s">
        <v>121</v>
      </c>
      <c r="T3259" s="7">
        <f ca="1">T3253*T3241</f>
        <v>12838.479976453022</v>
      </c>
      <c r="U3259" s="7">
        <f ca="1">U3253*U3241</f>
        <v>129.81129753969182</v>
      </c>
      <c r="V3259" s="7">
        <f ca="1">V3253*V3241</f>
        <v>29.545146419885526</v>
      </c>
    </row>
    <row r="3260" spans="1:23" x14ac:dyDescent="0.3">
      <c r="A3260" t="s">
        <v>344</v>
      </c>
      <c r="C3260" s="23"/>
      <c r="D3260" s="23"/>
      <c r="E3260" s="23" t="s">
        <v>299</v>
      </c>
      <c r="U3260" s="8">
        <f ca="1">T3259</f>
        <v>12838.479976453022</v>
      </c>
      <c r="V3260" s="8">
        <f ca="1">U3260+U3259</f>
        <v>12968.291273992714</v>
      </c>
      <c r="W3260" s="8">
        <f ca="1">V3260+V3259</f>
        <v>12997.836420412599</v>
      </c>
    </row>
    <row r="3261" spans="1:23" x14ac:dyDescent="0.3">
      <c r="A3261" t="s">
        <v>344</v>
      </c>
      <c r="C3261" s="23"/>
      <c r="D3261" s="23"/>
      <c r="E3261" s="23"/>
    </row>
    <row r="3262" spans="1:23" x14ac:dyDescent="0.3">
      <c r="A3262" t="s">
        <v>344</v>
      </c>
      <c r="C3262" s="105"/>
      <c r="D3262" s="105"/>
      <c r="E3262" s="105" t="s">
        <v>300</v>
      </c>
      <c r="O3262" s="8"/>
      <c r="P3262" s="8"/>
      <c r="Q3262" s="8"/>
      <c r="R3262" s="8">
        <f ca="1">W3260</f>
        <v>12997.836420412599</v>
      </c>
    </row>
    <row r="3263" spans="1:23" x14ac:dyDescent="0.3">
      <c r="A3263" t="s">
        <v>344</v>
      </c>
      <c r="C3263" s="23"/>
      <c r="D3263" s="23"/>
      <c r="E3263" s="23"/>
    </row>
    <row r="3264" spans="1:23" x14ac:dyDescent="0.3">
      <c r="A3264" t="s">
        <v>344</v>
      </c>
      <c r="C3264" s="11"/>
      <c r="D3264" s="11"/>
      <c r="E3264" s="11" t="s">
        <v>140</v>
      </c>
      <c r="S3264" s="8">
        <f ca="1">SUM(S3266:S3269)</f>
        <v>156855.31786046075</v>
      </c>
      <c r="T3264" s="8">
        <f ca="1">SUM(T3266:T3269)</f>
        <v>4763.0166338567742</v>
      </c>
      <c r="U3264" s="8">
        <f ca="1">SUM(U3266:U3269)</f>
        <v>3688.6646938457552</v>
      </c>
      <c r="V3264" s="8">
        <f ca="1">SUM(V3266:V3269)</f>
        <v>7.3862866049713762</v>
      </c>
    </row>
    <row r="3265" spans="1:22" x14ac:dyDescent="0.3">
      <c r="A3265" t="s">
        <v>344</v>
      </c>
      <c r="C3265" s="11"/>
      <c r="D3265" s="11"/>
      <c r="E3265" s="11"/>
      <c r="S3265" s="8"/>
      <c r="T3265" s="8"/>
      <c r="U3265" s="8"/>
      <c r="V3265" s="8"/>
    </row>
    <row r="3266" spans="1:22" x14ac:dyDescent="0.3">
      <c r="A3266" t="s">
        <v>344</v>
      </c>
      <c r="E3266" t="s">
        <v>131</v>
      </c>
      <c r="G3266" s="23" t="s">
        <v>120</v>
      </c>
      <c r="S3266" s="6">
        <f ca="1">S3275*S3220</f>
        <v>154150.91582838385</v>
      </c>
    </row>
    <row r="3267" spans="1:22" x14ac:dyDescent="0.3">
      <c r="A3267" t="s">
        <v>344</v>
      </c>
      <c r="G3267" s="23"/>
      <c r="S3267" s="6"/>
    </row>
    <row r="3268" spans="1:22" x14ac:dyDescent="0.3">
      <c r="A3268" t="s">
        <v>344</v>
      </c>
      <c r="E3268" t="s">
        <v>200</v>
      </c>
      <c r="G3268" s="23" t="s">
        <v>120</v>
      </c>
      <c r="S3268" s="6">
        <f ca="1">S3277*S3219</f>
        <v>2704.4020320769123</v>
      </c>
      <c r="T3268" s="27">
        <f ca="1">T3247*T3219</f>
        <v>2623.2699711146047</v>
      </c>
      <c r="U3268" s="27">
        <f ca="1">U3247*U3219</f>
        <v>3656.2118694608321</v>
      </c>
      <c r="V3268" s="27">
        <f>V3247*V3219</f>
        <v>0</v>
      </c>
    </row>
    <row r="3269" spans="1:22" x14ac:dyDescent="0.3">
      <c r="A3269" t="s">
        <v>344</v>
      </c>
      <c r="E3269" t="s">
        <v>200</v>
      </c>
      <c r="G3269" s="24" t="s">
        <v>122</v>
      </c>
      <c r="S3269" s="6"/>
      <c r="T3269" s="27">
        <f ca="1">T3248*(S3219+T3219)</f>
        <v>2139.7466627421695</v>
      </c>
      <c r="U3269" s="27">
        <f ca="1">U3248*(T3219+U3219)</f>
        <v>32.452824384922941</v>
      </c>
      <c r="V3269" s="27">
        <f ca="1">V3248*(U3219+V3219)</f>
        <v>7.3862866049713762</v>
      </c>
    </row>
    <row r="3270" spans="1:22" x14ac:dyDescent="0.3">
      <c r="A3270" t="s">
        <v>344</v>
      </c>
    </row>
    <row r="3271" spans="1:22" x14ac:dyDescent="0.3">
      <c r="A3271" t="s">
        <v>344</v>
      </c>
      <c r="C3271" s="11"/>
      <c r="D3271" s="11"/>
      <c r="E3271" s="11" t="s">
        <v>283</v>
      </c>
      <c r="S3271" s="8">
        <f ca="1">SUM(S3268:V3269)</f>
        <v>11163.469646384414</v>
      </c>
    </row>
    <row r="3272" spans="1:22" x14ac:dyDescent="0.3">
      <c r="A3272" t="s">
        <v>344</v>
      </c>
    </row>
    <row r="3273" spans="1:22" x14ac:dyDescent="0.3">
      <c r="A3273" t="s">
        <v>344</v>
      </c>
      <c r="E3273" t="s">
        <v>202</v>
      </c>
      <c r="S3273" s="28">
        <f ca="1">S3275*(T3219+U3219)</f>
        <v>102767.27721892257</v>
      </c>
    </row>
    <row r="3274" spans="1:22" x14ac:dyDescent="0.3">
      <c r="A3274" t="s">
        <v>344</v>
      </c>
    </row>
    <row r="3275" spans="1:22" x14ac:dyDescent="0.3">
      <c r="A3275" t="s">
        <v>344</v>
      </c>
      <c r="B3275" t="str">
        <f>C3186</f>
        <v>IL 10/1.1.1.1.1.1.1.1.1</v>
      </c>
      <c r="C3275" t="str">
        <f>C3195</f>
        <v>IL 11/1.1.1.1.1.1.1.1.1.1</v>
      </c>
      <c r="D3275" t="s">
        <v>361</v>
      </c>
      <c r="E3275" s="72" t="s">
        <v>132</v>
      </c>
      <c r="S3275" s="73">
        <f ca="1">S3239*R3221</f>
        <v>1335.9746038459934</v>
      </c>
    </row>
    <row r="3276" spans="1:22" x14ac:dyDescent="0.3">
      <c r="A3276" t="s">
        <v>344</v>
      </c>
    </row>
    <row r="3277" spans="1:22" x14ac:dyDescent="0.3">
      <c r="A3277" t="s">
        <v>344</v>
      </c>
      <c r="E3277" t="s">
        <v>201</v>
      </c>
      <c r="P3277" s="7"/>
      <c r="Q3277" s="7"/>
      <c r="R3277" s="7"/>
      <c r="S3277" s="7">
        <f ca="1">S3239*R3222</f>
        <v>70.314452833999724</v>
      </c>
    </row>
    <row r="3282" spans="1:46" x14ac:dyDescent="0.3">
      <c r="A3282" t="s">
        <v>345</v>
      </c>
      <c r="E3282" s="152" t="s">
        <v>361</v>
      </c>
      <c r="F3282" s="153"/>
      <c r="G3282" s="153"/>
      <c r="H3282" s="153"/>
      <c r="I3282" s="153"/>
      <c r="J3282" s="153"/>
      <c r="K3282" s="153"/>
      <c r="L3282" s="153"/>
      <c r="M3282" s="153"/>
      <c r="N3282" s="153"/>
      <c r="O3282" s="153"/>
      <c r="P3282" s="153"/>
      <c r="Q3282" s="153"/>
      <c r="R3282" s="153"/>
      <c r="S3282" s="153"/>
      <c r="T3282" s="153"/>
      <c r="U3282" s="153"/>
      <c r="V3282" s="153"/>
      <c r="W3282" s="153"/>
      <c r="X3282" s="153"/>
      <c r="Y3282" s="154"/>
      <c r="Z3282" s="152"/>
      <c r="AA3282" s="153"/>
      <c r="AB3282" s="153"/>
      <c r="AC3282" s="153"/>
      <c r="AD3282" s="153"/>
      <c r="AE3282" s="153"/>
      <c r="AF3282" s="153"/>
      <c r="AG3282" s="153"/>
      <c r="AH3282" s="153"/>
      <c r="AI3282" s="153"/>
      <c r="AJ3282" s="153"/>
      <c r="AK3282" s="153"/>
      <c r="AL3282" s="153"/>
      <c r="AM3282" s="153"/>
      <c r="AN3282" s="153"/>
      <c r="AO3282" s="153"/>
      <c r="AP3282" s="153"/>
      <c r="AQ3282" s="153"/>
      <c r="AR3282" s="153"/>
      <c r="AS3282" s="153"/>
      <c r="AT3282" s="154"/>
    </row>
    <row r="3283" spans="1:46" x14ac:dyDescent="0.3">
      <c r="A3283" t="s">
        <v>345</v>
      </c>
    </row>
    <row r="3284" spans="1:46" x14ac:dyDescent="0.3">
      <c r="A3284" t="s">
        <v>345</v>
      </c>
      <c r="B3284" t="str">
        <f>C3275</f>
        <v>IL 11/1.1.1.1.1.1.1.1.1.1</v>
      </c>
      <c r="C3284" t="str">
        <f>D3275</f>
        <v>IL 12/1.1.1.1.1.1.1.1.1.1.1</v>
      </c>
      <c r="E3284" t="s">
        <v>197</v>
      </c>
      <c r="O3284" s="83"/>
      <c r="P3284" s="83"/>
      <c r="Q3284" s="83"/>
      <c r="R3284" s="83"/>
      <c r="S3284" s="83">
        <f ca="1">S3275</f>
        <v>1335.9746038459934</v>
      </c>
    </row>
    <row r="3285" spans="1:46" x14ac:dyDescent="0.3">
      <c r="A3285" t="s">
        <v>345</v>
      </c>
      <c r="E3285" t="s">
        <v>206</v>
      </c>
      <c r="O3285" s="7"/>
      <c r="P3285" s="7"/>
      <c r="Q3285" s="7"/>
      <c r="R3285" s="7"/>
      <c r="S3285" s="7">
        <f ca="1">S3287*S3284</f>
        <v>1335.9746038459934</v>
      </c>
      <c r="V3285" s="77"/>
    </row>
    <row r="3286" spans="1:46" x14ac:dyDescent="0.3">
      <c r="A3286" t="s">
        <v>345</v>
      </c>
      <c r="O3286" s="7"/>
      <c r="P3286" s="7"/>
      <c r="Q3286" s="7"/>
      <c r="R3286" s="7"/>
      <c r="S3286" s="7"/>
      <c r="T3286" s="7">
        <f ca="1">S3275</f>
        <v>1335.9746038459934</v>
      </c>
      <c r="V3286" s="77"/>
    </row>
    <row r="3287" spans="1:46" x14ac:dyDescent="0.3">
      <c r="A3287" t="s">
        <v>345</v>
      </c>
      <c r="C3287" s="11"/>
      <c r="D3287" s="11"/>
      <c r="E3287" s="11" t="s">
        <v>134</v>
      </c>
      <c r="F3287" s="11"/>
      <c r="G3287" s="11"/>
      <c r="O3287" s="104"/>
      <c r="P3287" s="104"/>
      <c r="Q3287" s="104"/>
      <c r="R3287" s="104"/>
      <c r="S3287" s="104">
        <f>S3288*S3289*S3290*S3291</f>
        <v>1</v>
      </c>
      <c r="T3287" s="7">
        <f>T3288*T3289*T3290*T3291</f>
        <v>0</v>
      </c>
      <c r="U3287" s="11"/>
      <c r="W3287" s="11"/>
    </row>
    <row r="3288" spans="1:46" x14ac:dyDescent="0.3">
      <c r="A3288" t="s">
        <v>345</v>
      </c>
      <c r="E3288" t="s">
        <v>35</v>
      </c>
      <c r="O3288" s="89"/>
      <c r="P3288" s="89"/>
      <c r="Q3288" s="89"/>
      <c r="R3288" s="89"/>
      <c r="S3288" s="89">
        <f>SUMIFS('Summary500-600'!$C$163:$C$264,'Summary500-600'!$A$163:$A$264,$A3288,'Summary500-600'!$B$163:$B$264,$E3288)</f>
        <v>1</v>
      </c>
    </row>
    <row r="3289" spans="1:46" x14ac:dyDescent="0.3">
      <c r="A3289" t="s">
        <v>345</v>
      </c>
      <c r="E3289" t="s">
        <v>36</v>
      </c>
      <c r="O3289" s="89"/>
      <c r="P3289" s="89"/>
      <c r="Q3289" s="89"/>
      <c r="R3289" s="89"/>
      <c r="S3289" s="89">
        <f>SUMIFS('Summary500-600'!$C$163:$C$264,'Summary500-600'!$A$163:$A$264,$A3289,'Summary500-600'!$B$163:$B$264,$E3289)</f>
        <v>1</v>
      </c>
    </row>
    <row r="3290" spans="1:46" x14ac:dyDescent="0.3">
      <c r="A3290" t="s">
        <v>345</v>
      </c>
      <c r="E3290" t="s">
        <v>142</v>
      </c>
      <c r="O3290" s="89"/>
      <c r="P3290" s="89"/>
      <c r="Q3290" s="89"/>
      <c r="R3290" s="89"/>
      <c r="S3290" s="89">
        <f>SUMIFS('Summary500-600'!$C$163:$C$264,'Summary500-600'!$A$163:$A$264,$A3290,'Summary500-600'!$B$163:$B$264,$E3290)</f>
        <v>1</v>
      </c>
    </row>
    <row r="3291" spans="1:46" x14ac:dyDescent="0.3">
      <c r="A3291" t="s">
        <v>345</v>
      </c>
      <c r="E3291" t="s">
        <v>37</v>
      </c>
      <c r="O3291" s="89"/>
      <c r="P3291" s="89"/>
      <c r="Q3291" s="89"/>
      <c r="R3291" s="89"/>
      <c r="S3291" s="89">
        <f>SUMIFS('Summary500-600'!$C$163:$C$264,'Summary500-600'!$A$163:$A$264,$A3291,'Summary500-600'!$B$163:$B$264,$E3291)</f>
        <v>1</v>
      </c>
    </row>
    <row r="3292" spans="1:46" x14ac:dyDescent="0.3">
      <c r="A3292" t="s">
        <v>345</v>
      </c>
    </row>
    <row r="3293" spans="1:46" x14ac:dyDescent="0.3">
      <c r="A3293" t="s">
        <v>345</v>
      </c>
    </row>
    <row r="3294" spans="1:46" x14ac:dyDescent="0.3">
      <c r="A3294" t="s">
        <v>345</v>
      </c>
      <c r="E3294" t="s">
        <v>125</v>
      </c>
      <c r="O3294" s="83"/>
      <c r="P3294" s="83"/>
      <c r="Q3294" s="83"/>
      <c r="R3294" s="83"/>
      <c r="S3294" s="83">
        <f ca="1">OFFSET($E$30,MATCH($A3294,$E$30:$E$45,0)-1,1)</f>
        <v>96.15384615384616</v>
      </c>
    </row>
    <row r="3295" spans="1:46" x14ac:dyDescent="0.3">
      <c r="A3295" t="s">
        <v>345</v>
      </c>
      <c r="E3295" t="s">
        <v>135</v>
      </c>
      <c r="O3295" s="82"/>
      <c r="P3295" s="82"/>
      <c r="Q3295" s="82"/>
      <c r="R3295" s="82"/>
      <c r="S3295" s="82">
        <f ca="1">S3294</f>
        <v>96.15384615384616</v>
      </c>
    </row>
    <row r="3296" spans="1:46" x14ac:dyDescent="0.3">
      <c r="A3296" t="s">
        <v>345</v>
      </c>
    </row>
    <row r="3297" spans="1:22" x14ac:dyDescent="0.3">
      <c r="A3297" t="s">
        <v>345</v>
      </c>
      <c r="E3297" t="s">
        <v>126</v>
      </c>
      <c r="O3297" s="88"/>
      <c r="P3297" s="88"/>
      <c r="Q3297" s="88"/>
      <c r="R3297" s="88"/>
      <c r="S3297" s="88">
        <f>$H$52</f>
        <v>0.2</v>
      </c>
    </row>
    <row r="3298" spans="1:22" x14ac:dyDescent="0.3">
      <c r="A3298" t="s">
        <v>345</v>
      </c>
      <c r="E3298" t="s">
        <v>117</v>
      </c>
      <c r="O3298" s="7"/>
      <c r="P3298" s="7"/>
      <c r="Q3298" s="7"/>
      <c r="R3298" s="7"/>
      <c r="S3298" s="7">
        <f ca="1">S3297*S3294</f>
        <v>19.230769230769234</v>
      </c>
    </row>
    <row r="3299" spans="1:22" x14ac:dyDescent="0.3">
      <c r="A3299" t="s">
        <v>345</v>
      </c>
    </row>
    <row r="3300" spans="1:22" x14ac:dyDescent="0.3">
      <c r="A3300" t="s">
        <v>345</v>
      </c>
      <c r="E3300" t="s">
        <v>118</v>
      </c>
      <c r="O3300" s="7"/>
      <c r="P3300" s="7"/>
      <c r="Q3300" s="7"/>
      <c r="R3300" s="7"/>
      <c r="S3300" s="7">
        <f ca="1">S3295</f>
        <v>96.15384615384616</v>
      </c>
    </row>
    <row r="3301" spans="1:22" x14ac:dyDescent="0.3">
      <c r="A3301" t="s">
        <v>345</v>
      </c>
      <c r="E3301" t="s">
        <v>106</v>
      </c>
      <c r="O3301" s="7"/>
      <c r="P3301" s="7"/>
      <c r="Q3301" s="7"/>
      <c r="R3301" s="7"/>
      <c r="S3301" s="7">
        <f ca="1">S3294*(1+S3297)</f>
        <v>115.38461538461539</v>
      </c>
    </row>
    <row r="3302" spans="1:22" x14ac:dyDescent="0.3">
      <c r="A3302" t="s">
        <v>345</v>
      </c>
      <c r="O3302" s="7"/>
      <c r="P3302" s="7"/>
      <c r="Q3302" s="7"/>
      <c r="R3302" s="7"/>
      <c r="S3302" s="7"/>
    </row>
    <row r="3303" spans="1:22" x14ac:dyDescent="0.3">
      <c r="A3303" t="s">
        <v>345</v>
      </c>
      <c r="E3303" t="s">
        <v>136</v>
      </c>
      <c r="O3303" s="7"/>
      <c r="P3303" s="7"/>
      <c r="Q3303" s="7"/>
      <c r="R3303" s="7"/>
      <c r="S3303" s="7">
        <f ca="1">S3300*S3285</f>
        <v>128459.09652365322</v>
      </c>
    </row>
    <row r="3304" spans="1:22" x14ac:dyDescent="0.3">
      <c r="A3304" t="s">
        <v>345</v>
      </c>
      <c r="E3304" t="s">
        <v>119</v>
      </c>
      <c r="O3304" s="7"/>
      <c r="P3304" s="7"/>
      <c r="Q3304" s="7"/>
      <c r="R3304" s="7"/>
      <c r="S3304" s="7">
        <f ca="1">S3301*S3285</f>
        <v>154150.91582838385</v>
      </c>
    </row>
    <row r="3305" spans="1:22" x14ac:dyDescent="0.3">
      <c r="A3305" t="s">
        <v>345</v>
      </c>
      <c r="O3305" s="7"/>
      <c r="P3305" s="7"/>
      <c r="Q3305" s="7"/>
      <c r="R3305" s="7"/>
      <c r="S3305" s="7"/>
    </row>
    <row r="3306" spans="1:22" x14ac:dyDescent="0.3">
      <c r="A3306" t="s">
        <v>345</v>
      </c>
      <c r="E3306" t="s">
        <v>302</v>
      </c>
      <c r="O3306" s="6"/>
      <c r="P3306" s="6"/>
      <c r="Q3306" s="6"/>
      <c r="R3306" s="6"/>
      <c r="S3306" s="6">
        <f ca="1">S3298*S3285</f>
        <v>25691.819304730649</v>
      </c>
    </row>
    <row r="3307" spans="1:22" x14ac:dyDescent="0.3">
      <c r="A3307" t="s">
        <v>345</v>
      </c>
      <c r="O3307" s="7"/>
      <c r="P3307" s="7"/>
      <c r="Q3307" s="7"/>
      <c r="R3307" s="7"/>
      <c r="S3307" s="7"/>
    </row>
    <row r="3308" spans="1:22" x14ac:dyDescent="0.3">
      <c r="A3308" t="s">
        <v>345</v>
      </c>
      <c r="E3308" t="s">
        <v>127</v>
      </c>
      <c r="T3308" s="7">
        <f ca="1">S3301/3</f>
        <v>38.46153846153846</v>
      </c>
      <c r="U3308" s="7">
        <f ca="1">S3301/3</f>
        <v>38.46153846153846</v>
      </c>
      <c r="V3308" s="7">
        <f ca="1">S3301/3</f>
        <v>38.46153846153846</v>
      </c>
    </row>
    <row r="3309" spans="1:22" x14ac:dyDescent="0.3">
      <c r="A3309" t="s">
        <v>345</v>
      </c>
      <c r="T3309" s="7">
        <f ca="1">S3301</f>
        <v>115.38461538461539</v>
      </c>
    </row>
    <row r="3310" spans="1:22" s="103" customFormat="1" x14ac:dyDescent="0.3">
      <c r="A3310" t="s">
        <v>345</v>
      </c>
      <c r="E3310" s="100" t="s">
        <v>128</v>
      </c>
      <c r="O3310" s="139"/>
      <c r="P3310" s="139"/>
      <c r="Q3310" s="139"/>
      <c r="R3310" s="139"/>
      <c r="S3310" s="139">
        <f ca="1">OFFSET('Summary500-600'!$B$38,MATCH($A3310,'Summary500-600'!$B$38:$B$52,0)-1,1)</f>
        <v>0.95</v>
      </c>
    </row>
    <row r="3311" spans="1:22" s="103" customFormat="1" x14ac:dyDescent="0.3">
      <c r="A3311" t="s">
        <v>345</v>
      </c>
      <c r="E3311" s="103" t="s">
        <v>129</v>
      </c>
      <c r="O3311" s="79"/>
      <c r="P3311" s="79"/>
      <c r="Q3311" s="79"/>
      <c r="R3311" s="79"/>
      <c r="S3311" s="79">
        <f ca="1">1-S3310</f>
        <v>5.0000000000000044E-2</v>
      </c>
    </row>
    <row r="3312" spans="1:22" x14ac:dyDescent="0.3">
      <c r="A3312" t="s">
        <v>345</v>
      </c>
    </row>
    <row r="3313" spans="1:24" x14ac:dyDescent="0.3">
      <c r="A3313" t="s">
        <v>345</v>
      </c>
      <c r="C3313" s="71"/>
      <c r="D3313" s="71"/>
      <c r="E3313" s="71" t="s">
        <v>16</v>
      </c>
    </row>
    <row r="3314" spans="1:24" x14ac:dyDescent="0.3">
      <c r="A3314" t="s">
        <v>345</v>
      </c>
      <c r="E3314" t="s">
        <v>17</v>
      </c>
      <c r="T3314" s="74">
        <f>'Summary500-600'!$C$107</f>
        <v>0.09</v>
      </c>
      <c r="U3314" s="74">
        <f>'Summary500-600'!$C$108</f>
        <v>0.03</v>
      </c>
      <c r="V3314" s="74">
        <f>'Summary500-600'!$C$109</f>
        <v>0.01</v>
      </c>
      <c r="W3314" s="75"/>
      <c r="X3314" s="75"/>
    </row>
    <row r="3315" spans="1:24" x14ac:dyDescent="0.3">
      <c r="A3315" t="s">
        <v>345</v>
      </c>
      <c r="E3315" t="s">
        <v>18</v>
      </c>
      <c r="G3315" s="75"/>
      <c r="U3315" s="74">
        <f>'Summary500-600'!$C$110</f>
        <v>0.8</v>
      </c>
      <c r="V3315" s="76">
        <f>U3315</f>
        <v>0.8</v>
      </c>
      <c r="W3315" s="76">
        <f>V3315</f>
        <v>0.8</v>
      </c>
      <c r="X3315" s="75"/>
    </row>
    <row r="3316" spans="1:24" x14ac:dyDescent="0.3">
      <c r="A3316" t="s">
        <v>345</v>
      </c>
      <c r="E3316" t="s">
        <v>19</v>
      </c>
      <c r="G3316" s="75"/>
      <c r="U3316" s="75"/>
      <c r="V3316" s="74">
        <f>'Summary500-600'!$C$104</f>
        <v>1</v>
      </c>
      <c r="W3316" s="74">
        <f>V3316</f>
        <v>1</v>
      </c>
      <c r="X3316" s="74">
        <f>W3316</f>
        <v>1</v>
      </c>
    </row>
    <row r="3317" spans="1:24" x14ac:dyDescent="0.3">
      <c r="A3317" t="s">
        <v>345</v>
      </c>
      <c r="E3317" t="s">
        <v>20</v>
      </c>
      <c r="V3317" s="21"/>
    </row>
    <row r="3318" spans="1:24" x14ac:dyDescent="0.3">
      <c r="A3318" t="s">
        <v>345</v>
      </c>
      <c r="V3318" s="21"/>
    </row>
    <row r="3319" spans="1:24" x14ac:dyDescent="0.3">
      <c r="A3319" t="s">
        <v>345</v>
      </c>
      <c r="C3319" s="11"/>
      <c r="D3319" s="11"/>
      <c r="E3319" s="11" t="s">
        <v>196</v>
      </c>
      <c r="T3319" s="90">
        <f ca="1">SUM(T3320:T3323)</f>
        <v>0.13550000000000004</v>
      </c>
      <c r="U3319" s="90">
        <f ca="1">SUM(U3320:U3323)</f>
        <v>0.13550000000000001</v>
      </c>
      <c r="V3319" s="90">
        <f ca="1">SUM(V3320:V3323)</f>
        <v>7.3713349999999997E-2</v>
      </c>
      <c r="W3319" s="90">
        <f ca="1">SUM(W3320:W3323)</f>
        <v>7.3589079999999987E-2</v>
      </c>
    </row>
    <row r="3320" spans="1:24" x14ac:dyDescent="0.3">
      <c r="A3320" t="s">
        <v>345</v>
      </c>
      <c r="E3320" t="s">
        <v>17</v>
      </c>
      <c r="T3320" s="22">
        <f ca="1">(1-T3314)*S3311</f>
        <v>4.550000000000004E-2</v>
      </c>
      <c r="U3320" s="22">
        <f ca="1">T3320*(1-U3314)+T3321*(1-U3315)</f>
        <v>6.213500000000003E-2</v>
      </c>
    </row>
    <row r="3321" spans="1:24" x14ac:dyDescent="0.3">
      <c r="A3321" t="s">
        <v>345</v>
      </c>
      <c r="E3321" t="s">
        <v>18</v>
      </c>
      <c r="T3321" s="22">
        <f>T3314</f>
        <v>0.09</v>
      </c>
      <c r="U3321" s="22">
        <f ca="1">T3320*U3314</f>
        <v>1.3650000000000012E-3</v>
      </c>
      <c r="V3321" s="22">
        <f ca="1">U3320*V3314</f>
        <v>6.2135000000000033E-4</v>
      </c>
      <c r="X3321" s="22"/>
    </row>
    <row r="3322" spans="1:24" x14ac:dyDescent="0.3">
      <c r="A3322" t="s">
        <v>345</v>
      </c>
      <c r="E3322" t="s">
        <v>19</v>
      </c>
      <c r="U3322" s="22">
        <f>T3321*U3315</f>
        <v>7.1999999999999995E-2</v>
      </c>
      <c r="V3322" s="22">
        <f ca="1">U3321*V3315+U3322</f>
        <v>7.309199999999999E-2</v>
      </c>
      <c r="W3322" s="22">
        <f ca="1">V3321*W3315+V3322</f>
        <v>7.3589079999999987E-2</v>
      </c>
    </row>
    <row r="3323" spans="1:24" x14ac:dyDescent="0.3">
      <c r="A3323" t="s">
        <v>345</v>
      </c>
      <c r="U3323" s="22"/>
      <c r="V3323" s="22"/>
    </row>
    <row r="3324" spans="1:24" x14ac:dyDescent="0.3">
      <c r="A3324" t="s">
        <v>345</v>
      </c>
      <c r="E3324" t="s">
        <v>195</v>
      </c>
      <c r="T3324" s="22">
        <f ca="1">(1-T3314)*S3310</f>
        <v>0.86449999999999994</v>
      </c>
      <c r="V3324" s="29">
        <f ca="1">U3320*(1-V3314)+U3321*(1-V3315)+U3322*(1-V3316)</f>
        <v>6.1786650000000033E-2</v>
      </c>
      <c r="W3324" s="29">
        <f ca="1">V3321*(1-W3315)+V3324</f>
        <v>6.1910920000000036E-2</v>
      </c>
      <c r="X3324" s="22"/>
    </row>
    <row r="3325" spans="1:24" x14ac:dyDescent="0.3">
      <c r="A3325" t="s">
        <v>345</v>
      </c>
      <c r="T3325" s="22"/>
      <c r="V3325" s="29"/>
      <c r="W3325" s="29"/>
      <c r="X3325" s="22"/>
    </row>
    <row r="3326" spans="1:24" x14ac:dyDescent="0.3">
      <c r="A3326" t="s">
        <v>345</v>
      </c>
      <c r="T3326" s="25" t="s">
        <v>32</v>
      </c>
    </row>
    <row r="3327" spans="1:24" x14ac:dyDescent="0.3">
      <c r="A3327" t="s">
        <v>345</v>
      </c>
      <c r="C3327" s="11"/>
      <c r="D3327" s="11"/>
      <c r="E3327" s="11" t="s">
        <v>124</v>
      </c>
      <c r="T3327" s="8">
        <f ca="1">SUM(T3328:T3331)</f>
        <v>1335.9746038459934</v>
      </c>
      <c r="U3327" s="8">
        <f ca="1">SUM(U3328:U3331)</f>
        <v>181.02455882113216</v>
      </c>
      <c r="V3327" s="8">
        <f ca="1">SUM(V3328:V3331)</f>
        <v>98.479163564411067</v>
      </c>
    </row>
    <row r="3328" spans="1:24" x14ac:dyDescent="0.3">
      <c r="A3328" t="s">
        <v>345</v>
      </c>
      <c r="C3328" s="23"/>
      <c r="D3328" s="23"/>
      <c r="E3328" s="23" t="s">
        <v>120</v>
      </c>
      <c r="T3328" s="7">
        <f ca="1">S3285*(1-T3314)</f>
        <v>1215.736889499854</v>
      </c>
      <c r="U3328" s="82">
        <f ca="1">T3366*(1-U3314)+T3329*(1-U3315)</f>
        <v>83.010782009970853</v>
      </c>
    </row>
    <row r="3329" spans="1:24" x14ac:dyDescent="0.3">
      <c r="A3329" t="s">
        <v>345</v>
      </c>
      <c r="C3329" s="24"/>
      <c r="D3329" s="24"/>
      <c r="E3329" s="24" t="s">
        <v>122</v>
      </c>
      <c r="T3329" s="7">
        <f ca="1">S3285*T3314</f>
        <v>120.2377143461394</v>
      </c>
      <c r="U3329" s="7">
        <f ca="1">T3366*U3314</f>
        <v>1.8236053342497827</v>
      </c>
      <c r="V3329" s="7">
        <f ca="1">U3328*V3314</f>
        <v>0.83010782009970852</v>
      </c>
      <c r="W3329" s="7">
        <f>V3328*W3314</f>
        <v>0</v>
      </c>
    </row>
    <row r="3330" spans="1:24" x14ac:dyDescent="0.3">
      <c r="A3330" t="s">
        <v>345</v>
      </c>
      <c r="C3330" s="23"/>
      <c r="D3330" s="23"/>
      <c r="E3330" s="23" t="s">
        <v>121</v>
      </c>
      <c r="U3330" s="7">
        <f ca="1">T3329*U3315</f>
        <v>96.19017147691153</v>
      </c>
      <c r="V3330" s="7">
        <f ca="1">U3329*V3315</f>
        <v>1.4588842673998261</v>
      </c>
      <c r="W3330" s="7">
        <f ca="1">V3329*W3315</f>
        <v>0.6640862560797669</v>
      </c>
    </row>
    <row r="3331" spans="1:24" x14ac:dyDescent="0.3">
      <c r="A3331" t="s">
        <v>345</v>
      </c>
      <c r="C3331" s="23"/>
      <c r="D3331" s="23"/>
      <c r="E3331" s="23" t="s">
        <v>138</v>
      </c>
      <c r="U3331" s="7"/>
      <c r="V3331" s="7">
        <f ca="1">U3330*V3316</f>
        <v>96.19017147691153</v>
      </c>
      <c r="W3331" s="7">
        <f ca="1">V3330*W3316+V3331</f>
        <v>97.649055744311354</v>
      </c>
      <c r="X3331" s="7">
        <f ca="1">W3330*X3316+W3331</f>
        <v>98.313142000391124</v>
      </c>
    </row>
    <row r="3332" spans="1:24" x14ac:dyDescent="0.3">
      <c r="A3332" t="s">
        <v>345</v>
      </c>
      <c r="C3332" s="23"/>
      <c r="D3332" s="23"/>
      <c r="E3332" s="23"/>
      <c r="U3332" s="7"/>
    </row>
    <row r="3333" spans="1:24" x14ac:dyDescent="0.3">
      <c r="A3333" t="s">
        <v>345</v>
      </c>
      <c r="C3333" s="23"/>
      <c r="D3333" s="23"/>
      <c r="E3333" s="23" t="s">
        <v>137</v>
      </c>
      <c r="U3333" s="7"/>
      <c r="V3333" s="7">
        <f ca="1">U3328*(1-V3314)+U3329*(1-V3315)+U3330*(1-V3316)</f>
        <v>82.545395256721093</v>
      </c>
      <c r="W3333" s="7">
        <f ca="1">V3329*(1-W3315)+V3333</f>
        <v>82.711416820741036</v>
      </c>
      <c r="X3333" s="7">
        <f ca="1">W3330*(1-X3316)+W3333</f>
        <v>82.711416820741036</v>
      </c>
    </row>
    <row r="3334" spans="1:24" x14ac:dyDescent="0.3">
      <c r="A3334" t="s">
        <v>345</v>
      </c>
      <c r="C3334" s="23"/>
      <c r="D3334" s="23"/>
      <c r="E3334" s="23"/>
      <c r="U3334" s="7"/>
    </row>
    <row r="3335" spans="1:24" x14ac:dyDescent="0.3">
      <c r="A3335" t="s">
        <v>345</v>
      </c>
      <c r="C3335" s="11"/>
      <c r="D3335" s="11"/>
      <c r="E3335" s="11" t="s">
        <v>139</v>
      </c>
      <c r="T3335" s="8">
        <f ca="1">SUM(T3336:T3337)</f>
        <v>1215.736889499854</v>
      </c>
      <c r="U3335" s="8">
        <f ca="1">SUM(U3336:U3337)</f>
        <v>83.010782009970853</v>
      </c>
      <c r="V3335" s="8">
        <f ca="1">SUM(V3336:V3337)</f>
        <v>82.545395256721093</v>
      </c>
      <c r="W3335" s="8">
        <f ca="1">SUM(W3336:W3337)</f>
        <v>0.16602156401994167</v>
      </c>
    </row>
    <row r="3336" spans="1:24" x14ac:dyDescent="0.3">
      <c r="A3336" t="s">
        <v>345</v>
      </c>
      <c r="C3336" s="23"/>
      <c r="D3336" s="23"/>
      <c r="E3336" s="23" t="s">
        <v>120</v>
      </c>
      <c r="T3336" s="7">
        <f ca="1">T3328</f>
        <v>1215.736889499854</v>
      </c>
      <c r="U3336" s="7">
        <f ca="1">T3366*(1-U3314)</f>
        <v>58.963239140742971</v>
      </c>
      <c r="V3336" s="7">
        <f ca="1">U3328*(1-V3314)</f>
        <v>82.180674189871141</v>
      </c>
    </row>
    <row r="3337" spans="1:24" x14ac:dyDescent="0.3">
      <c r="A3337" t="s">
        <v>345</v>
      </c>
      <c r="C3337" s="24"/>
      <c r="D3337" s="24"/>
      <c r="E3337" s="24" t="s">
        <v>122</v>
      </c>
      <c r="U3337" s="7">
        <f ca="1">T3329*(1-U3315)</f>
        <v>24.047542869227875</v>
      </c>
      <c r="V3337" s="7">
        <f ca="1">U3329*(1-V3315)</f>
        <v>0.36472106684995648</v>
      </c>
      <c r="W3337" s="7">
        <f ca="1">V3329*(1-W3315)</f>
        <v>0.16602156401994167</v>
      </c>
    </row>
    <row r="3338" spans="1:24" x14ac:dyDescent="0.3">
      <c r="A3338" t="s">
        <v>345</v>
      </c>
      <c r="C3338" s="23"/>
      <c r="D3338" s="23"/>
      <c r="E3338" s="23"/>
      <c r="U3338" s="7"/>
      <c r="V3338" s="7">
        <f ca="1">U3330*(1-V3316)</f>
        <v>0</v>
      </c>
      <c r="W3338" s="7">
        <f ca="1">V3330*(1-W3316)</f>
        <v>0</v>
      </c>
    </row>
    <row r="3339" spans="1:24" x14ac:dyDescent="0.3">
      <c r="A3339" t="s">
        <v>345</v>
      </c>
      <c r="C3339" s="81"/>
      <c r="D3339" s="81"/>
      <c r="E3339" s="81" t="s">
        <v>123</v>
      </c>
    </row>
    <row r="3340" spans="1:24" x14ac:dyDescent="0.3">
      <c r="A3340" t="s">
        <v>345</v>
      </c>
      <c r="C3340" s="23"/>
      <c r="D3340" s="23"/>
      <c r="E3340" s="23" t="s">
        <v>120</v>
      </c>
      <c r="T3340" s="7">
        <f ca="1">S3301-T3308</f>
        <v>76.923076923076934</v>
      </c>
      <c r="U3340" s="7">
        <f ca="1">T3340-U3308</f>
        <v>38.461538461538474</v>
      </c>
      <c r="V3340" s="7">
        <f ca="1">U3340-V3308</f>
        <v>0</v>
      </c>
    </row>
    <row r="3341" spans="1:24" x14ac:dyDescent="0.3">
      <c r="A3341" t="s">
        <v>345</v>
      </c>
      <c r="C3341" s="24"/>
      <c r="D3341" s="24"/>
      <c r="E3341" s="24" t="s">
        <v>122</v>
      </c>
      <c r="T3341" s="7">
        <f ca="1">S3301</f>
        <v>115.38461538461539</v>
      </c>
      <c r="U3341" s="7">
        <f ca="1">T3340</f>
        <v>76.923076923076934</v>
      </c>
      <c r="V3341" s="7">
        <f ca="1">U3340</f>
        <v>38.461538461538474</v>
      </c>
    </row>
    <row r="3342" spans="1:24" x14ac:dyDescent="0.3">
      <c r="A3342" t="s">
        <v>345</v>
      </c>
      <c r="C3342" s="23"/>
      <c r="D3342" s="23"/>
      <c r="E3342" s="23" t="s">
        <v>121</v>
      </c>
      <c r="U3342" s="7">
        <f ca="1">T3341</f>
        <v>115.38461538461539</v>
      </c>
      <c r="V3342" s="7">
        <f ca="1">U3341</f>
        <v>76.923076923076934</v>
      </c>
      <c r="W3342" s="7">
        <f ca="1">V3341</f>
        <v>38.461538461538474</v>
      </c>
    </row>
    <row r="3343" spans="1:24" x14ac:dyDescent="0.3">
      <c r="A3343" t="s">
        <v>345</v>
      </c>
      <c r="C3343" s="23"/>
      <c r="D3343" s="23"/>
      <c r="E3343" s="23"/>
      <c r="V3343" s="7"/>
      <c r="W3343" s="7"/>
    </row>
    <row r="3344" spans="1:24" x14ac:dyDescent="0.3">
      <c r="A3344" t="s">
        <v>345</v>
      </c>
      <c r="C3344" s="23"/>
      <c r="D3344" s="23"/>
      <c r="E3344" s="23"/>
      <c r="V3344" s="7"/>
      <c r="W3344" s="7"/>
    </row>
    <row r="3345" spans="1:24" x14ac:dyDescent="0.3">
      <c r="A3345" t="s">
        <v>345</v>
      </c>
      <c r="C3345" s="11"/>
      <c r="D3345" s="11"/>
      <c r="E3345" s="11" t="s">
        <v>130</v>
      </c>
      <c r="T3345" s="8">
        <f ca="1">SUM(T3346:T3349)</f>
        <v>107391.8046937741</v>
      </c>
      <c r="U3345" s="8">
        <f ca="1">SUM(U3346:U3349)</f>
        <v>14431.865658046347</v>
      </c>
      <c r="V3345" s="8">
        <f ca="1">SUM(V3346:V3349)</f>
        <v>11243.015030216689</v>
      </c>
      <c r="W3345" s="8">
        <f ca="1">SUM(W3346:W3349)</f>
        <v>11236.629585446692</v>
      </c>
    </row>
    <row r="3346" spans="1:24" x14ac:dyDescent="0.3">
      <c r="A3346" t="s">
        <v>345</v>
      </c>
      <c r="C3346" s="23"/>
      <c r="D3346" s="23"/>
      <c r="E3346" s="23" t="s">
        <v>120</v>
      </c>
      <c r="T3346" s="7">
        <f t="shared" ref="T3346:V3346" ca="1" si="199">T3340*T3328</f>
        <v>93518.22226921955</v>
      </c>
      <c r="U3346" s="7">
        <f t="shared" ca="1" si="199"/>
        <v>3192.72238499888</v>
      </c>
      <c r="V3346" s="7">
        <f t="shared" ca="1" si="199"/>
        <v>0</v>
      </c>
    </row>
    <row r="3347" spans="1:24" x14ac:dyDescent="0.3">
      <c r="A3347" t="s">
        <v>345</v>
      </c>
      <c r="C3347" s="24"/>
      <c r="D3347" s="24"/>
      <c r="E3347" s="24" t="s">
        <v>122</v>
      </c>
      <c r="T3347" s="7">
        <f t="shared" ref="T3347:V3347" ca="1" si="200">T3341*T3329</f>
        <v>13873.582424554546</v>
      </c>
      <c r="U3347" s="7">
        <f t="shared" ca="1" si="200"/>
        <v>140.27733340382946</v>
      </c>
      <c r="V3347" s="7">
        <f t="shared" ca="1" si="200"/>
        <v>31.927223849988799</v>
      </c>
      <c r="W3347" s="7">
        <f>W3341*W3329</f>
        <v>0</v>
      </c>
    </row>
    <row r="3348" spans="1:24" x14ac:dyDescent="0.3">
      <c r="A3348" t="s">
        <v>345</v>
      </c>
      <c r="C3348" s="23"/>
      <c r="D3348" s="23"/>
      <c r="E3348" s="23" t="s">
        <v>121</v>
      </c>
      <c r="U3348" s="7">
        <f ca="1">U3342*U3330</f>
        <v>11098.865939643638</v>
      </c>
      <c r="V3348" s="7">
        <f ca="1">V3342*V3330</f>
        <v>112.22186672306357</v>
      </c>
      <c r="W3348" s="7">
        <f ca="1">W3342*W3330</f>
        <v>25.541779079991041</v>
      </c>
    </row>
    <row r="3349" spans="1:24" x14ac:dyDescent="0.3">
      <c r="A3349" t="s">
        <v>345</v>
      </c>
      <c r="C3349" s="23"/>
      <c r="D3349" s="23"/>
      <c r="E3349" s="23" t="s">
        <v>299</v>
      </c>
      <c r="V3349" s="8">
        <f ca="1">U3348</f>
        <v>11098.865939643638</v>
      </c>
      <c r="W3349" s="8">
        <f ca="1">V3349+V3348</f>
        <v>11211.087806366701</v>
      </c>
      <c r="X3349" s="8">
        <f ca="1">W3349+W3348</f>
        <v>11236.629585446692</v>
      </c>
    </row>
    <row r="3350" spans="1:24" x14ac:dyDescent="0.3">
      <c r="A3350" t="s">
        <v>345</v>
      </c>
      <c r="C3350" s="23"/>
      <c r="D3350" s="23"/>
      <c r="E3350" s="23"/>
    </row>
    <row r="3351" spans="1:24" x14ac:dyDescent="0.3">
      <c r="A3351" t="s">
        <v>345</v>
      </c>
      <c r="C3351" s="105"/>
      <c r="D3351" s="105"/>
      <c r="E3351" s="105" t="s">
        <v>300</v>
      </c>
      <c r="O3351" s="8"/>
      <c r="P3351" s="8"/>
      <c r="Q3351" s="8"/>
      <c r="R3351" s="8"/>
      <c r="S3351" s="8">
        <f ca="1">X3349</f>
        <v>11236.629585446692</v>
      </c>
    </row>
    <row r="3352" spans="1:24" x14ac:dyDescent="0.3">
      <c r="A3352" t="s">
        <v>345</v>
      </c>
      <c r="C3352" s="23"/>
      <c r="D3352" s="23"/>
      <c r="E3352" s="23"/>
    </row>
    <row r="3353" spans="1:24" x14ac:dyDescent="0.3">
      <c r="A3353" t="s">
        <v>345</v>
      </c>
      <c r="C3353" s="11"/>
      <c r="D3353" s="11"/>
      <c r="E3353" s="11" t="s">
        <v>140</v>
      </c>
      <c r="T3353" s="8">
        <f ca="1">SUM(T3355:T3358)</f>
        <v>135601.42229036833</v>
      </c>
      <c r="U3353" s="8">
        <f ca="1">SUM(U3355:U3358)</f>
        <v>4117.6278799691818</v>
      </c>
      <c r="V3353" s="8">
        <f ca="1">SUM(V3355:V3358)</f>
        <v>3188.8506278296554</v>
      </c>
      <c r="W3353" s="8">
        <f ca="1">SUM(W3355:W3358)</f>
        <v>6.3854447699977559</v>
      </c>
    </row>
    <row r="3354" spans="1:24" x14ac:dyDescent="0.3">
      <c r="A3354" t="s">
        <v>345</v>
      </c>
      <c r="C3354" s="11"/>
      <c r="D3354" s="11"/>
      <c r="E3354" s="11"/>
      <c r="T3354" s="8"/>
      <c r="U3354" s="8"/>
      <c r="V3354" s="8"/>
      <c r="W3354" s="8"/>
    </row>
    <row r="3355" spans="1:24" x14ac:dyDescent="0.3">
      <c r="A3355" t="s">
        <v>345</v>
      </c>
      <c r="E3355" t="s">
        <v>131</v>
      </c>
      <c r="G3355" s="23" t="s">
        <v>120</v>
      </c>
      <c r="T3355" s="6">
        <f ca="1">T3364*T3309</f>
        <v>133263.46673363785</v>
      </c>
    </row>
    <row r="3356" spans="1:24" x14ac:dyDescent="0.3">
      <c r="A3356" t="s">
        <v>345</v>
      </c>
      <c r="G3356" s="23"/>
      <c r="T3356" s="6"/>
    </row>
    <row r="3357" spans="1:24" x14ac:dyDescent="0.3">
      <c r="A3357" t="s">
        <v>345</v>
      </c>
      <c r="E3357" t="s">
        <v>200</v>
      </c>
      <c r="G3357" s="23" t="s">
        <v>120</v>
      </c>
      <c r="T3357" s="6">
        <f ca="1">T3366*T3308</f>
        <v>2337.9555567304906</v>
      </c>
      <c r="U3357" s="27">
        <f ca="1">U3336*U3308</f>
        <v>2267.8168900285759</v>
      </c>
      <c r="V3357" s="27">
        <f ca="1">V3336*V3308</f>
        <v>3160.7951611488897</v>
      </c>
      <c r="W3357" s="27">
        <f>W3336*W3308</f>
        <v>0</v>
      </c>
    </row>
    <row r="3358" spans="1:24" x14ac:dyDescent="0.3">
      <c r="A3358" t="s">
        <v>345</v>
      </c>
      <c r="E3358" t="s">
        <v>200</v>
      </c>
      <c r="G3358" s="24" t="s">
        <v>122</v>
      </c>
      <c r="T3358" s="6"/>
      <c r="U3358" s="27">
        <f ca="1">U3337*(T3308+U3308)</f>
        <v>1849.8109899406056</v>
      </c>
      <c r="V3358" s="27">
        <f ca="1">V3337*(U3308+V3308)</f>
        <v>28.055466680765882</v>
      </c>
      <c r="W3358" s="27">
        <f ca="1">W3337*(V3308+W3308)</f>
        <v>6.3854447699977559</v>
      </c>
    </row>
    <row r="3359" spans="1:24" x14ac:dyDescent="0.3">
      <c r="A3359" t="s">
        <v>345</v>
      </c>
    </row>
    <row r="3360" spans="1:24" x14ac:dyDescent="0.3">
      <c r="A3360" t="s">
        <v>345</v>
      </c>
      <c r="C3360" s="11"/>
      <c r="D3360" s="11"/>
      <c r="E3360" s="11" t="s">
        <v>283</v>
      </c>
      <c r="T3360" s="8">
        <f ca="1">SUM(T3357:W3358)</f>
        <v>9650.8195092993265</v>
      </c>
    </row>
    <row r="3361" spans="1:46" x14ac:dyDescent="0.3">
      <c r="A3361" t="s">
        <v>345</v>
      </c>
    </row>
    <row r="3362" spans="1:46" x14ac:dyDescent="0.3">
      <c r="A3362" t="s">
        <v>345</v>
      </c>
      <c r="E3362" t="s">
        <v>202</v>
      </c>
      <c r="T3362" s="28">
        <f ca="1">T3364*(U3308+V3308)</f>
        <v>88842.311155758565</v>
      </c>
    </row>
    <row r="3363" spans="1:46" x14ac:dyDescent="0.3">
      <c r="A3363" t="s">
        <v>345</v>
      </c>
    </row>
    <row r="3364" spans="1:46" x14ac:dyDescent="0.3">
      <c r="A3364" t="s">
        <v>345</v>
      </c>
      <c r="B3364" t="str">
        <f>C3275</f>
        <v>IL 11/1.1.1.1.1.1.1.1.1.1</v>
      </c>
      <c r="C3364" t="str">
        <f>C3284</f>
        <v>IL 12/1.1.1.1.1.1.1.1.1.1.1</v>
      </c>
      <c r="D3364" t="s">
        <v>362</v>
      </c>
      <c r="E3364" s="72" t="s">
        <v>132</v>
      </c>
      <c r="T3364" s="73">
        <f ca="1">T3328*S3310</f>
        <v>1154.9500450248613</v>
      </c>
    </row>
    <row r="3365" spans="1:46" x14ac:dyDescent="0.3">
      <c r="A3365" t="s">
        <v>345</v>
      </c>
    </row>
    <row r="3366" spans="1:46" x14ac:dyDescent="0.3">
      <c r="A3366" t="s">
        <v>345</v>
      </c>
      <c r="E3366" t="s">
        <v>201</v>
      </c>
      <c r="P3366" s="7"/>
      <c r="Q3366" s="7"/>
      <c r="R3366" s="7"/>
      <c r="S3366" s="7"/>
      <c r="T3366" s="7">
        <f ca="1">T3328*S3311</f>
        <v>60.786844474992755</v>
      </c>
    </row>
    <row r="3371" spans="1:46" x14ac:dyDescent="0.3">
      <c r="A3371" t="s">
        <v>346</v>
      </c>
      <c r="E3371" s="152" t="s">
        <v>362</v>
      </c>
      <c r="F3371" s="153"/>
      <c r="G3371" s="153"/>
      <c r="H3371" s="153"/>
      <c r="I3371" s="153"/>
      <c r="J3371" s="153"/>
      <c r="K3371" s="153"/>
      <c r="L3371" s="153"/>
      <c r="M3371" s="153"/>
      <c r="N3371" s="153"/>
      <c r="O3371" s="153"/>
      <c r="P3371" s="153"/>
      <c r="Q3371" s="153"/>
      <c r="R3371" s="153"/>
      <c r="S3371" s="153"/>
      <c r="T3371" s="153"/>
      <c r="U3371" s="153"/>
      <c r="V3371" s="153"/>
      <c r="W3371" s="153"/>
      <c r="X3371" s="153"/>
      <c r="Y3371" s="154"/>
      <c r="Z3371" s="152"/>
      <c r="AA3371" s="153"/>
      <c r="AB3371" s="153"/>
      <c r="AC3371" s="153"/>
      <c r="AD3371" s="153"/>
      <c r="AE3371" s="153"/>
      <c r="AF3371" s="153"/>
      <c r="AG3371" s="153"/>
      <c r="AH3371" s="153"/>
      <c r="AI3371" s="153"/>
      <c r="AJ3371" s="153"/>
      <c r="AK3371" s="153"/>
      <c r="AL3371" s="153"/>
      <c r="AM3371" s="153"/>
      <c r="AN3371" s="153"/>
      <c r="AO3371" s="153"/>
      <c r="AP3371" s="153"/>
      <c r="AQ3371" s="153"/>
      <c r="AR3371" s="153"/>
      <c r="AS3371" s="153"/>
      <c r="AT3371" s="154"/>
    </row>
    <row r="3372" spans="1:46" x14ac:dyDescent="0.3">
      <c r="A3372" t="s">
        <v>346</v>
      </c>
    </row>
    <row r="3373" spans="1:46" x14ac:dyDescent="0.3">
      <c r="A3373" t="s">
        <v>346</v>
      </c>
      <c r="B3373" t="str">
        <f>C3364</f>
        <v>IL 12/1.1.1.1.1.1.1.1.1.1.1</v>
      </c>
      <c r="C3373" t="str">
        <f>D3364</f>
        <v>IL 13/1.1.1.1.1.1.1.1.1.1.1.1</v>
      </c>
      <c r="E3373" t="s">
        <v>197</v>
      </c>
      <c r="O3373" s="83"/>
      <c r="P3373" s="83"/>
      <c r="Q3373" s="83"/>
      <c r="R3373" s="83"/>
      <c r="S3373" s="83"/>
      <c r="T3373" s="83">
        <f ca="1">T3364</f>
        <v>1154.9500450248613</v>
      </c>
    </row>
    <row r="3374" spans="1:46" x14ac:dyDescent="0.3">
      <c r="A3374" t="s">
        <v>346</v>
      </c>
      <c r="E3374" t="s">
        <v>206</v>
      </c>
      <c r="O3374" s="7"/>
      <c r="P3374" s="7"/>
      <c r="Q3374" s="7"/>
      <c r="R3374" s="7"/>
      <c r="S3374" s="7"/>
      <c r="T3374" s="7">
        <f ca="1">T3376*T3373</f>
        <v>1154.9500450248613</v>
      </c>
      <c r="W3374" s="77"/>
    </row>
    <row r="3375" spans="1:46" x14ac:dyDescent="0.3">
      <c r="A3375" t="s">
        <v>346</v>
      </c>
      <c r="O3375" s="7"/>
      <c r="P3375" s="7"/>
      <c r="Q3375" s="7"/>
      <c r="R3375" s="7"/>
      <c r="S3375" s="7"/>
      <c r="T3375" s="7"/>
      <c r="U3375" s="7">
        <f ca="1">T3364</f>
        <v>1154.9500450248613</v>
      </c>
      <c r="W3375" s="77"/>
    </row>
    <row r="3376" spans="1:46" x14ac:dyDescent="0.3">
      <c r="A3376" t="s">
        <v>346</v>
      </c>
      <c r="C3376" s="11"/>
      <c r="D3376" s="11"/>
      <c r="E3376" s="11" t="s">
        <v>134</v>
      </c>
      <c r="F3376" s="11"/>
      <c r="G3376" s="11"/>
      <c r="O3376" s="104"/>
      <c r="P3376" s="104"/>
      <c r="Q3376" s="104"/>
      <c r="R3376" s="104"/>
      <c r="S3376" s="104"/>
      <c r="T3376" s="104">
        <f>T3377*T3378*T3379*T3380</f>
        <v>1</v>
      </c>
      <c r="U3376" s="7">
        <f>U3377*U3378*U3379*U3380</f>
        <v>0</v>
      </c>
      <c r="V3376" s="11"/>
      <c r="X3376" s="11"/>
    </row>
    <row r="3377" spans="1:20" x14ac:dyDescent="0.3">
      <c r="A3377" t="s">
        <v>346</v>
      </c>
      <c r="E3377" t="s">
        <v>35</v>
      </c>
      <c r="O3377" s="89"/>
      <c r="P3377" s="89"/>
      <c r="Q3377" s="89"/>
      <c r="R3377" s="89"/>
      <c r="S3377" s="89"/>
      <c r="T3377" s="89">
        <f>SUMIFS('Summary500-600'!$C$163:$C$264,'Summary500-600'!$A$163:$A$264,$A3377,'Summary500-600'!$B$163:$B$264,$E3377)</f>
        <v>1</v>
      </c>
    </row>
    <row r="3378" spans="1:20" x14ac:dyDescent="0.3">
      <c r="A3378" t="s">
        <v>346</v>
      </c>
      <c r="E3378" t="s">
        <v>36</v>
      </c>
      <c r="O3378" s="89"/>
      <c r="P3378" s="89"/>
      <c r="Q3378" s="89"/>
      <c r="R3378" s="89"/>
      <c r="S3378" s="89"/>
      <c r="T3378" s="89">
        <f>SUMIFS('Summary500-600'!$C$163:$C$264,'Summary500-600'!$A$163:$A$264,$A3378,'Summary500-600'!$B$163:$B$264,$E3378)</f>
        <v>1</v>
      </c>
    </row>
    <row r="3379" spans="1:20" x14ac:dyDescent="0.3">
      <c r="A3379" t="s">
        <v>346</v>
      </c>
      <c r="E3379" t="s">
        <v>142</v>
      </c>
      <c r="O3379" s="89"/>
      <c r="P3379" s="89"/>
      <c r="Q3379" s="89"/>
      <c r="R3379" s="89"/>
      <c r="S3379" s="89"/>
      <c r="T3379" s="89">
        <f>SUMIFS('Summary500-600'!$C$163:$C$264,'Summary500-600'!$A$163:$A$264,$A3379,'Summary500-600'!$B$163:$B$264,$E3379)</f>
        <v>1</v>
      </c>
    </row>
    <row r="3380" spans="1:20" x14ac:dyDescent="0.3">
      <c r="A3380" t="s">
        <v>346</v>
      </c>
      <c r="E3380" t="s">
        <v>37</v>
      </c>
      <c r="O3380" s="89"/>
      <c r="P3380" s="89"/>
      <c r="Q3380" s="89"/>
      <c r="R3380" s="89"/>
      <c r="S3380" s="89"/>
      <c r="T3380" s="89">
        <f>SUMIFS('Summary500-600'!$C$163:$C$264,'Summary500-600'!$A$163:$A$264,$A3380,'Summary500-600'!$B$163:$B$264,$E3380)</f>
        <v>1</v>
      </c>
    </row>
    <row r="3381" spans="1:20" x14ac:dyDescent="0.3">
      <c r="A3381" t="s">
        <v>346</v>
      </c>
    </row>
    <row r="3382" spans="1:20" x14ac:dyDescent="0.3">
      <c r="A3382" t="s">
        <v>346</v>
      </c>
    </row>
    <row r="3383" spans="1:20" x14ac:dyDescent="0.3">
      <c r="A3383" t="s">
        <v>346</v>
      </c>
      <c r="E3383" t="s">
        <v>125</v>
      </c>
      <c r="O3383" s="83"/>
      <c r="P3383" s="83"/>
      <c r="Q3383" s="83"/>
      <c r="R3383" s="83"/>
      <c r="S3383" s="83"/>
      <c r="T3383" s="83">
        <f ca="1">OFFSET($E$30,MATCH($A3383,$E$30:$E$45,0)-1,1)</f>
        <v>96.15384615384616</v>
      </c>
    </row>
    <row r="3384" spans="1:20" x14ac:dyDescent="0.3">
      <c r="A3384" t="s">
        <v>346</v>
      </c>
      <c r="E3384" t="s">
        <v>135</v>
      </c>
      <c r="O3384" s="82"/>
      <c r="P3384" s="82"/>
      <c r="Q3384" s="82"/>
      <c r="R3384" s="82"/>
      <c r="S3384" s="82"/>
      <c r="T3384" s="82">
        <f ca="1">T3383</f>
        <v>96.15384615384616</v>
      </c>
    </row>
    <row r="3385" spans="1:20" x14ac:dyDescent="0.3">
      <c r="A3385" t="s">
        <v>346</v>
      </c>
    </row>
    <row r="3386" spans="1:20" x14ac:dyDescent="0.3">
      <c r="A3386" t="s">
        <v>346</v>
      </c>
      <c r="E3386" t="s">
        <v>126</v>
      </c>
      <c r="O3386" s="88"/>
      <c r="P3386" s="88"/>
      <c r="Q3386" s="88"/>
      <c r="R3386" s="88"/>
      <c r="S3386" s="88"/>
      <c r="T3386" s="88">
        <f>$H$52</f>
        <v>0.2</v>
      </c>
    </row>
    <row r="3387" spans="1:20" x14ac:dyDescent="0.3">
      <c r="A3387" t="s">
        <v>346</v>
      </c>
      <c r="E3387" t="s">
        <v>117</v>
      </c>
      <c r="O3387" s="7"/>
      <c r="P3387" s="7"/>
      <c r="Q3387" s="7"/>
      <c r="R3387" s="7"/>
      <c r="S3387" s="7"/>
      <c r="T3387" s="7">
        <f ca="1">T3386*T3383</f>
        <v>19.230769230769234</v>
      </c>
    </row>
    <row r="3388" spans="1:20" x14ac:dyDescent="0.3">
      <c r="A3388" t="s">
        <v>346</v>
      </c>
    </row>
    <row r="3389" spans="1:20" x14ac:dyDescent="0.3">
      <c r="A3389" t="s">
        <v>346</v>
      </c>
      <c r="E3389" t="s">
        <v>118</v>
      </c>
      <c r="O3389" s="7"/>
      <c r="P3389" s="7"/>
      <c r="Q3389" s="7"/>
      <c r="R3389" s="7"/>
      <c r="S3389" s="7"/>
      <c r="T3389" s="7">
        <f ca="1">T3384</f>
        <v>96.15384615384616</v>
      </c>
    </row>
    <row r="3390" spans="1:20" x14ac:dyDescent="0.3">
      <c r="A3390" t="s">
        <v>346</v>
      </c>
      <c r="E3390" t="s">
        <v>106</v>
      </c>
      <c r="O3390" s="7"/>
      <c r="P3390" s="7"/>
      <c r="Q3390" s="7"/>
      <c r="R3390" s="7"/>
      <c r="S3390" s="7"/>
      <c r="T3390" s="7">
        <f ca="1">T3383*(1+T3386)</f>
        <v>115.38461538461539</v>
      </c>
    </row>
    <row r="3391" spans="1:20" x14ac:dyDescent="0.3">
      <c r="A3391" t="s">
        <v>346</v>
      </c>
      <c r="O3391" s="7"/>
      <c r="P3391" s="7"/>
      <c r="Q3391" s="7"/>
      <c r="R3391" s="7"/>
      <c r="S3391" s="7"/>
      <c r="T3391" s="7"/>
    </row>
    <row r="3392" spans="1:20" x14ac:dyDescent="0.3">
      <c r="A3392" t="s">
        <v>346</v>
      </c>
      <c r="E3392" t="s">
        <v>136</v>
      </c>
      <c r="O3392" s="7"/>
      <c r="P3392" s="7"/>
      <c r="Q3392" s="7"/>
      <c r="R3392" s="7"/>
      <c r="S3392" s="7"/>
      <c r="T3392" s="7">
        <f ca="1">T3389*T3374</f>
        <v>111052.88894469821</v>
      </c>
    </row>
    <row r="3393" spans="1:25" x14ac:dyDescent="0.3">
      <c r="A3393" t="s">
        <v>346</v>
      </c>
      <c r="E3393" t="s">
        <v>119</v>
      </c>
      <c r="O3393" s="7"/>
      <c r="P3393" s="7"/>
      <c r="Q3393" s="7"/>
      <c r="R3393" s="7"/>
      <c r="S3393" s="7"/>
      <c r="T3393" s="7">
        <f ca="1">T3390*T3374</f>
        <v>133263.46673363785</v>
      </c>
    </row>
    <row r="3394" spans="1:25" x14ac:dyDescent="0.3">
      <c r="A3394" t="s">
        <v>346</v>
      </c>
      <c r="O3394" s="7"/>
      <c r="P3394" s="7"/>
      <c r="Q3394" s="7"/>
      <c r="R3394" s="7"/>
      <c r="S3394" s="7"/>
      <c r="T3394" s="7"/>
    </row>
    <row r="3395" spans="1:25" x14ac:dyDescent="0.3">
      <c r="A3395" t="s">
        <v>346</v>
      </c>
      <c r="E3395" t="s">
        <v>302</v>
      </c>
      <c r="O3395" s="6"/>
      <c r="P3395" s="6"/>
      <c r="Q3395" s="6"/>
      <c r="R3395" s="6"/>
      <c r="S3395" s="6"/>
      <c r="T3395" s="6">
        <f ca="1">T3387*T3374</f>
        <v>22210.577788939645</v>
      </c>
    </row>
    <row r="3396" spans="1:25" x14ac:dyDescent="0.3">
      <c r="A3396" t="s">
        <v>346</v>
      </c>
      <c r="O3396" s="7"/>
      <c r="P3396" s="7"/>
      <c r="Q3396" s="7"/>
      <c r="R3396" s="7"/>
      <c r="S3396" s="7"/>
      <c r="T3396" s="7"/>
    </row>
    <row r="3397" spans="1:25" x14ac:dyDescent="0.3">
      <c r="A3397" t="s">
        <v>346</v>
      </c>
      <c r="E3397" t="s">
        <v>127</v>
      </c>
      <c r="U3397" s="7">
        <f ca="1">T3390/3</f>
        <v>38.46153846153846</v>
      </c>
      <c r="V3397" s="7">
        <f ca="1">T3390/3</f>
        <v>38.46153846153846</v>
      </c>
      <c r="W3397" s="7">
        <f ca="1">T3390/3</f>
        <v>38.46153846153846</v>
      </c>
    </row>
    <row r="3398" spans="1:25" x14ac:dyDescent="0.3">
      <c r="A3398" t="s">
        <v>346</v>
      </c>
      <c r="U3398" s="7">
        <f ca="1">T3390</f>
        <v>115.38461538461539</v>
      </c>
    </row>
    <row r="3399" spans="1:25" s="103" customFormat="1" x14ac:dyDescent="0.3">
      <c r="A3399" t="s">
        <v>346</v>
      </c>
      <c r="E3399" s="100" t="s">
        <v>128</v>
      </c>
      <c r="O3399" s="139"/>
      <c r="P3399" s="139"/>
      <c r="Q3399" s="139"/>
      <c r="R3399" s="139"/>
      <c r="S3399" s="139"/>
      <c r="T3399" s="139">
        <f ca="1">OFFSET('Summary500-600'!$B$38,MATCH($A3399,'Summary500-600'!$B$38:$B$52,0)-1,1)</f>
        <v>0.95</v>
      </c>
    </row>
    <row r="3400" spans="1:25" s="103" customFormat="1" x14ac:dyDescent="0.3">
      <c r="A3400" t="s">
        <v>346</v>
      </c>
      <c r="E3400" s="103" t="s">
        <v>129</v>
      </c>
      <c r="O3400" s="79"/>
      <c r="P3400" s="79"/>
      <c r="Q3400" s="79"/>
      <c r="R3400" s="79"/>
      <c r="S3400" s="79"/>
      <c r="T3400" s="79">
        <f ca="1">1-T3399</f>
        <v>5.0000000000000044E-2</v>
      </c>
    </row>
    <row r="3401" spans="1:25" x14ac:dyDescent="0.3">
      <c r="A3401" t="s">
        <v>346</v>
      </c>
    </row>
    <row r="3402" spans="1:25" x14ac:dyDescent="0.3">
      <c r="A3402" t="s">
        <v>346</v>
      </c>
      <c r="C3402" s="71"/>
      <c r="D3402" s="71"/>
      <c r="E3402" s="71" t="s">
        <v>16</v>
      </c>
    </row>
    <row r="3403" spans="1:25" x14ac:dyDescent="0.3">
      <c r="A3403" t="s">
        <v>346</v>
      </c>
      <c r="E3403" t="s">
        <v>17</v>
      </c>
      <c r="U3403" s="74">
        <f>'Summary500-600'!$C$107</f>
        <v>0.09</v>
      </c>
      <c r="V3403" s="74">
        <f>'Summary500-600'!$C$108</f>
        <v>0.03</v>
      </c>
      <c r="W3403" s="74">
        <f>'Summary500-600'!$C$109</f>
        <v>0.01</v>
      </c>
      <c r="X3403" s="75"/>
      <c r="Y3403" s="75"/>
    </row>
    <row r="3404" spans="1:25" x14ac:dyDescent="0.3">
      <c r="A3404" t="s">
        <v>346</v>
      </c>
      <c r="E3404" t="s">
        <v>18</v>
      </c>
      <c r="G3404" s="75"/>
      <c r="V3404" s="74">
        <f>'Summary500-600'!$C$110</f>
        <v>0.8</v>
      </c>
      <c r="W3404" s="76">
        <f>V3404</f>
        <v>0.8</v>
      </c>
      <c r="X3404" s="76">
        <f>W3404</f>
        <v>0.8</v>
      </c>
      <c r="Y3404" s="75"/>
    </row>
    <row r="3405" spans="1:25" x14ac:dyDescent="0.3">
      <c r="A3405" t="s">
        <v>346</v>
      </c>
      <c r="E3405" t="s">
        <v>19</v>
      </c>
      <c r="G3405" s="75"/>
      <c r="V3405" s="75"/>
      <c r="W3405" s="74">
        <f>'Summary500-600'!$C$104</f>
        <v>1</v>
      </c>
      <c r="X3405" s="74">
        <f>W3405</f>
        <v>1</v>
      </c>
      <c r="Y3405" s="74">
        <f>X3405</f>
        <v>1</v>
      </c>
    </row>
    <row r="3406" spans="1:25" x14ac:dyDescent="0.3">
      <c r="A3406" t="s">
        <v>346</v>
      </c>
      <c r="E3406" t="s">
        <v>20</v>
      </c>
      <c r="W3406" s="21"/>
    </row>
    <row r="3407" spans="1:25" x14ac:dyDescent="0.3">
      <c r="A3407" t="s">
        <v>346</v>
      </c>
      <c r="W3407" s="21"/>
    </row>
    <row r="3408" spans="1:25" x14ac:dyDescent="0.3">
      <c r="A3408" t="s">
        <v>346</v>
      </c>
      <c r="C3408" s="11"/>
      <c r="D3408" s="11"/>
      <c r="E3408" s="11" t="s">
        <v>196</v>
      </c>
      <c r="U3408" s="90">
        <f ca="1">SUM(U3409:U3412)</f>
        <v>0.13550000000000004</v>
      </c>
      <c r="V3408" s="90">
        <f ca="1">SUM(V3409:V3412)</f>
        <v>0.13550000000000001</v>
      </c>
      <c r="W3408" s="90">
        <f ca="1">SUM(W3409:W3412)</f>
        <v>7.3713349999999997E-2</v>
      </c>
      <c r="X3408" s="90">
        <f ca="1">SUM(X3409:X3412)</f>
        <v>7.3589079999999987E-2</v>
      </c>
    </row>
    <row r="3409" spans="1:25" x14ac:dyDescent="0.3">
      <c r="A3409" t="s">
        <v>346</v>
      </c>
      <c r="E3409" t="s">
        <v>17</v>
      </c>
      <c r="U3409" s="22">
        <f ca="1">(1-U3403)*T3400</f>
        <v>4.550000000000004E-2</v>
      </c>
      <c r="V3409" s="22">
        <f ca="1">U3409*(1-V3403)+U3410*(1-V3404)</f>
        <v>6.213500000000003E-2</v>
      </c>
    </row>
    <row r="3410" spans="1:25" x14ac:dyDescent="0.3">
      <c r="A3410" t="s">
        <v>346</v>
      </c>
      <c r="E3410" t="s">
        <v>18</v>
      </c>
      <c r="U3410" s="22">
        <f>U3403</f>
        <v>0.09</v>
      </c>
      <c r="V3410" s="22">
        <f ca="1">U3409*V3403</f>
        <v>1.3650000000000012E-3</v>
      </c>
      <c r="W3410" s="22">
        <f ca="1">V3409*W3403</f>
        <v>6.2135000000000033E-4</v>
      </c>
      <c r="Y3410" s="22"/>
    </row>
    <row r="3411" spans="1:25" x14ac:dyDescent="0.3">
      <c r="A3411" t="s">
        <v>346</v>
      </c>
      <c r="E3411" t="s">
        <v>19</v>
      </c>
      <c r="V3411" s="22">
        <f>U3410*V3404</f>
        <v>7.1999999999999995E-2</v>
      </c>
      <c r="W3411" s="22">
        <f ca="1">V3410*W3404+V3411</f>
        <v>7.309199999999999E-2</v>
      </c>
      <c r="X3411" s="22">
        <f ca="1">W3410*X3404+W3411</f>
        <v>7.3589079999999987E-2</v>
      </c>
    </row>
    <row r="3412" spans="1:25" x14ac:dyDescent="0.3">
      <c r="A3412" t="s">
        <v>346</v>
      </c>
      <c r="V3412" s="22"/>
      <c r="W3412" s="22"/>
    </row>
    <row r="3413" spans="1:25" x14ac:dyDescent="0.3">
      <c r="A3413" t="s">
        <v>346</v>
      </c>
      <c r="E3413" t="s">
        <v>195</v>
      </c>
      <c r="U3413" s="22">
        <f ca="1">(1-U3403)*T3399</f>
        <v>0.86449999999999994</v>
      </c>
      <c r="W3413" s="29">
        <f ca="1">V3409*(1-W3403)+V3410*(1-W3404)+V3411*(1-W3405)</f>
        <v>6.1786650000000033E-2</v>
      </c>
      <c r="X3413" s="29">
        <f ca="1">W3410*(1-X3404)+W3413</f>
        <v>6.1910920000000036E-2</v>
      </c>
      <c r="Y3413" s="22"/>
    </row>
    <row r="3414" spans="1:25" x14ac:dyDescent="0.3">
      <c r="A3414" t="s">
        <v>346</v>
      </c>
      <c r="U3414" s="22"/>
      <c r="W3414" s="29"/>
      <c r="X3414" s="29"/>
      <c r="Y3414" s="22"/>
    </row>
    <row r="3415" spans="1:25" x14ac:dyDescent="0.3">
      <c r="A3415" t="s">
        <v>346</v>
      </c>
      <c r="U3415" s="25" t="s">
        <v>32</v>
      </c>
    </row>
    <row r="3416" spans="1:25" x14ac:dyDescent="0.3">
      <c r="A3416" t="s">
        <v>346</v>
      </c>
      <c r="C3416" s="11"/>
      <c r="D3416" s="11"/>
      <c r="E3416" s="11" t="s">
        <v>124</v>
      </c>
      <c r="U3416" s="8">
        <f ca="1">SUM(U3417:U3420)</f>
        <v>1154.9500450248613</v>
      </c>
      <c r="V3416" s="8">
        <f ca="1">SUM(V3417:V3420)</f>
        <v>156.49573110086874</v>
      </c>
      <c r="W3416" s="8">
        <f ca="1">SUM(W3417:W3420)</f>
        <v>85.135236901433359</v>
      </c>
    </row>
    <row r="3417" spans="1:25" x14ac:dyDescent="0.3">
      <c r="A3417" t="s">
        <v>346</v>
      </c>
      <c r="C3417" s="23"/>
      <c r="D3417" s="23"/>
      <c r="E3417" s="23" t="s">
        <v>120</v>
      </c>
      <c r="U3417" s="7">
        <f ca="1">T3374*(1-U3403)</f>
        <v>1051.0045409726238</v>
      </c>
      <c r="V3417" s="82">
        <f ca="1">U3455*(1-V3403)+U3418*(1-V3404)</f>
        <v>71.762821047619795</v>
      </c>
    </row>
    <row r="3418" spans="1:25" x14ac:dyDescent="0.3">
      <c r="A3418" t="s">
        <v>346</v>
      </c>
      <c r="C3418" s="24"/>
      <c r="D3418" s="24"/>
      <c r="E3418" s="24" t="s">
        <v>122</v>
      </c>
      <c r="U3418" s="7">
        <f ca="1">T3374*U3403</f>
        <v>103.94550405223751</v>
      </c>
      <c r="V3418" s="7">
        <f ca="1">U3455*V3403</f>
        <v>1.5765068114589369</v>
      </c>
      <c r="W3418" s="7">
        <f ca="1">V3417*W3403</f>
        <v>0.71762821047619796</v>
      </c>
      <c r="X3418" s="7">
        <f>W3417*X3403</f>
        <v>0</v>
      </c>
    </row>
    <row r="3419" spans="1:25" x14ac:dyDescent="0.3">
      <c r="A3419" t="s">
        <v>346</v>
      </c>
      <c r="C3419" s="23"/>
      <c r="D3419" s="23"/>
      <c r="E3419" s="23" t="s">
        <v>121</v>
      </c>
      <c r="V3419" s="7">
        <f ca="1">U3418*V3404</f>
        <v>83.156403241790017</v>
      </c>
      <c r="W3419" s="7">
        <f ca="1">V3418*W3404</f>
        <v>1.2612054491671496</v>
      </c>
      <c r="X3419" s="7">
        <f ca="1">W3418*X3404</f>
        <v>0.57410256838095841</v>
      </c>
    </row>
    <row r="3420" spans="1:25" x14ac:dyDescent="0.3">
      <c r="A3420" t="s">
        <v>346</v>
      </c>
      <c r="C3420" s="23"/>
      <c r="D3420" s="23"/>
      <c r="E3420" s="23" t="s">
        <v>138</v>
      </c>
      <c r="V3420" s="7"/>
      <c r="W3420" s="7">
        <f ca="1">V3419*W3405</f>
        <v>83.156403241790017</v>
      </c>
      <c r="X3420" s="7">
        <f ca="1">W3419*X3405+W3420</f>
        <v>84.417608690957167</v>
      </c>
      <c r="Y3420" s="7">
        <f ca="1">X3419*Y3405+X3420</f>
        <v>84.991711259338132</v>
      </c>
    </row>
    <row r="3421" spans="1:25" x14ac:dyDescent="0.3">
      <c r="A3421" t="s">
        <v>346</v>
      </c>
      <c r="C3421" s="23"/>
      <c r="D3421" s="23"/>
      <c r="E3421" s="23"/>
      <c r="V3421" s="7"/>
    </row>
    <row r="3422" spans="1:25" x14ac:dyDescent="0.3">
      <c r="A3422" t="s">
        <v>346</v>
      </c>
      <c r="C3422" s="23"/>
      <c r="D3422" s="23"/>
      <c r="E3422" s="23" t="s">
        <v>137</v>
      </c>
      <c r="V3422" s="7"/>
      <c r="W3422" s="7">
        <f ca="1">V3417*(1-W3403)+V3418*(1-W3404)+V3419*(1-W3405)</f>
        <v>71.360494199435394</v>
      </c>
      <c r="X3422" s="7">
        <f ca="1">W3418*(1-X3404)+W3422</f>
        <v>71.504019841530635</v>
      </c>
      <c r="Y3422" s="7">
        <f ca="1">X3419*(1-Y3405)+X3422</f>
        <v>71.504019841530635</v>
      </c>
    </row>
    <row r="3423" spans="1:25" x14ac:dyDescent="0.3">
      <c r="A3423" t="s">
        <v>346</v>
      </c>
      <c r="C3423" s="23"/>
      <c r="D3423" s="23"/>
      <c r="E3423" s="23"/>
      <c r="V3423" s="7"/>
    </row>
    <row r="3424" spans="1:25" x14ac:dyDescent="0.3">
      <c r="A3424" t="s">
        <v>346</v>
      </c>
      <c r="C3424" s="11"/>
      <c r="D3424" s="11"/>
      <c r="E3424" s="11" t="s">
        <v>139</v>
      </c>
      <c r="U3424" s="8">
        <f ca="1">SUM(U3425:U3426)</f>
        <v>1051.0045409726238</v>
      </c>
      <c r="V3424" s="8">
        <f ca="1">SUM(V3425:V3426)</f>
        <v>71.762821047619795</v>
      </c>
      <c r="W3424" s="8">
        <f ca="1">SUM(W3425:W3426)</f>
        <v>71.360494199435394</v>
      </c>
      <c r="X3424" s="8">
        <f ca="1">SUM(X3425:X3426)</f>
        <v>0.14352564209523955</v>
      </c>
    </row>
    <row r="3425" spans="1:25" x14ac:dyDescent="0.3">
      <c r="A3425" t="s">
        <v>346</v>
      </c>
      <c r="C3425" s="23"/>
      <c r="D3425" s="23"/>
      <c r="E3425" s="23" t="s">
        <v>120</v>
      </c>
      <c r="U3425" s="7">
        <f ca="1">U3417</f>
        <v>1051.0045409726238</v>
      </c>
      <c r="V3425" s="7">
        <f ca="1">U3455*(1-V3403)</f>
        <v>50.973720237172294</v>
      </c>
      <c r="W3425" s="7">
        <f ca="1">V3417*(1-W3403)</f>
        <v>71.045192837143603</v>
      </c>
    </row>
    <row r="3426" spans="1:25" x14ac:dyDescent="0.3">
      <c r="A3426" t="s">
        <v>346</v>
      </c>
      <c r="C3426" s="24"/>
      <c r="D3426" s="24"/>
      <c r="E3426" s="24" t="s">
        <v>122</v>
      </c>
      <c r="V3426" s="7">
        <f ca="1">U3418*(1-V3404)</f>
        <v>20.789100810447497</v>
      </c>
      <c r="W3426" s="7">
        <f ca="1">V3418*(1-W3404)</f>
        <v>0.31530136229178729</v>
      </c>
      <c r="X3426" s="7">
        <f ca="1">W3418*(1-X3404)</f>
        <v>0.14352564209523955</v>
      </c>
    </row>
    <row r="3427" spans="1:25" x14ac:dyDescent="0.3">
      <c r="A3427" t="s">
        <v>346</v>
      </c>
      <c r="C3427" s="23"/>
      <c r="D3427" s="23"/>
      <c r="E3427" s="23"/>
      <c r="V3427" s="7"/>
      <c r="W3427" s="7">
        <f ca="1">V3419*(1-W3405)</f>
        <v>0</v>
      </c>
      <c r="X3427" s="7">
        <f ca="1">W3419*(1-X3405)</f>
        <v>0</v>
      </c>
    </row>
    <row r="3428" spans="1:25" x14ac:dyDescent="0.3">
      <c r="A3428" t="s">
        <v>346</v>
      </c>
      <c r="C3428" s="81"/>
      <c r="D3428" s="81"/>
      <c r="E3428" s="81" t="s">
        <v>123</v>
      </c>
    </row>
    <row r="3429" spans="1:25" x14ac:dyDescent="0.3">
      <c r="A3429" t="s">
        <v>346</v>
      </c>
      <c r="C3429" s="23"/>
      <c r="D3429" s="23"/>
      <c r="E3429" s="23" t="s">
        <v>120</v>
      </c>
      <c r="U3429" s="7">
        <f ca="1">T3390-U3397</f>
        <v>76.923076923076934</v>
      </c>
      <c r="V3429" s="7">
        <f ca="1">U3429-V3397</f>
        <v>38.461538461538474</v>
      </c>
      <c r="W3429" s="7">
        <f ca="1">V3429-W3397</f>
        <v>0</v>
      </c>
    </row>
    <row r="3430" spans="1:25" x14ac:dyDescent="0.3">
      <c r="A3430" t="s">
        <v>346</v>
      </c>
      <c r="C3430" s="24"/>
      <c r="D3430" s="24"/>
      <c r="E3430" s="24" t="s">
        <v>122</v>
      </c>
      <c r="U3430" s="7">
        <f ca="1">T3390</f>
        <v>115.38461538461539</v>
      </c>
      <c r="V3430" s="7">
        <f ca="1">U3429</f>
        <v>76.923076923076934</v>
      </c>
      <c r="W3430" s="7">
        <f ca="1">V3429</f>
        <v>38.461538461538474</v>
      </c>
    </row>
    <row r="3431" spans="1:25" x14ac:dyDescent="0.3">
      <c r="A3431" t="s">
        <v>346</v>
      </c>
      <c r="C3431" s="23"/>
      <c r="D3431" s="23"/>
      <c r="E3431" s="23" t="s">
        <v>121</v>
      </c>
      <c r="V3431" s="7">
        <f ca="1">U3430</f>
        <v>115.38461538461539</v>
      </c>
      <c r="W3431" s="7">
        <f ca="1">V3430</f>
        <v>76.923076923076934</v>
      </c>
      <c r="X3431" s="7">
        <f ca="1">W3430</f>
        <v>38.461538461538474</v>
      </c>
    </row>
    <row r="3432" spans="1:25" x14ac:dyDescent="0.3">
      <c r="A3432" t="s">
        <v>346</v>
      </c>
      <c r="C3432" s="23"/>
      <c r="D3432" s="23"/>
      <c r="E3432" s="23"/>
      <c r="W3432" s="7"/>
      <c r="X3432" s="7"/>
    </row>
    <row r="3433" spans="1:25" x14ac:dyDescent="0.3">
      <c r="A3433" t="s">
        <v>346</v>
      </c>
      <c r="C3433" s="23"/>
      <c r="D3433" s="23"/>
      <c r="E3433" s="23"/>
      <c r="W3433" s="7"/>
      <c r="X3433" s="7"/>
    </row>
    <row r="3434" spans="1:25" x14ac:dyDescent="0.3">
      <c r="A3434" t="s">
        <v>346</v>
      </c>
      <c r="C3434" s="11"/>
      <c r="D3434" s="11"/>
      <c r="E3434" s="11" t="s">
        <v>130</v>
      </c>
      <c r="U3434" s="8">
        <f ca="1">SUM(U3435:U3438)</f>
        <v>92840.2151577677</v>
      </c>
      <c r="V3434" s="8">
        <f ca="1">SUM(V3435:V3438)</f>
        <v>12476.347861381068</v>
      </c>
      <c r="W3434" s="8">
        <f ca="1">SUM(W3435:W3438)</f>
        <v>9719.5864936223279</v>
      </c>
      <c r="X3434" s="8">
        <f ca="1">SUM(X3435:X3438)</f>
        <v>9714.066276618667</v>
      </c>
    </row>
    <row r="3435" spans="1:25" x14ac:dyDescent="0.3">
      <c r="A3435" t="s">
        <v>346</v>
      </c>
      <c r="C3435" s="23"/>
      <c r="D3435" s="23"/>
      <c r="E3435" s="23" t="s">
        <v>120</v>
      </c>
      <c r="U3435" s="7">
        <f t="shared" ref="U3435:W3435" ca="1" si="201">U3429*U3417</f>
        <v>80846.503151740297</v>
      </c>
      <c r="V3435" s="7">
        <f t="shared" ca="1" si="201"/>
        <v>2760.1085018315316</v>
      </c>
      <c r="W3435" s="7">
        <f t="shared" ca="1" si="201"/>
        <v>0</v>
      </c>
    </row>
    <row r="3436" spans="1:25" x14ac:dyDescent="0.3">
      <c r="A3436" t="s">
        <v>346</v>
      </c>
      <c r="C3436" s="24"/>
      <c r="D3436" s="24"/>
      <c r="E3436" s="24" t="s">
        <v>122</v>
      </c>
      <c r="U3436" s="7">
        <f t="shared" ref="U3436:W3436" ca="1" si="202">U3430*U3418</f>
        <v>11993.712006027405</v>
      </c>
      <c r="V3436" s="7">
        <f t="shared" ca="1" si="202"/>
        <v>121.26975472761055</v>
      </c>
      <c r="W3436" s="7">
        <f t="shared" ca="1" si="202"/>
        <v>27.601085018315317</v>
      </c>
      <c r="X3436" s="7">
        <f>X3430*X3418</f>
        <v>0</v>
      </c>
    </row>
    <row r="3437" spans="1:25" x14ac:dyDescent="0.3">
      <c r="A3437" t="s">
        <v>346</v>
      </c>
      <c r="C3437" s="23"/>
      <c r="D3437" s="23"/>
      <c r="E3437" s="23" t="s">
        <v>121</v>
      </c>
      <c r="V3437" s="7">
        <f ca="1">V3431*V3419</f>
        <v>9594.9696048219248</v>
      </c>
      <c r="W3437" s="7">
        <f ca="1">W3431*W3419</f>
        <v>97.01580378208844</v>
      </c>
      <c r="X3437" s="7">
        <f ca="1">X3431*X3419</f>
        <v>22.080868014652253</v>
      </c>
    </row>
    <row r="3438" spans="1:25" x14ac:dyDescent="0.3">
      <c r="A3438" t="s">
        <v>346</v>
      </c>
      <c r="C3438" s="23"/>
      <c r="D3438" s="23"/>
      <c r="E3438" s="23" t="s">
        <v>299</v>
      </c>
      <c r="W3438" s="8">
        <f ca="1">V3437</f>
        <v>9594.9696048219248</v>
      </c>
      <c r="X3438" s="8">
        <f ca="1">W3438+W3437</f>
        <v>9691.9854086040141</v>
      </c>
      <c r="Y3438" s="8">
        <f ca="1">X3438+X3437</f>
        <v>9714.066276618667</v>
      </c>
    </row>
    <row r="3439" spans="1:25" x14ac:dyDescent="0.3">
      <c r="A3439" t="s">
        <v>346</v>
      </c>
      <c r="C3439" s="23"/>
      <c r="D3439" s="23"/>
      <c r="E3439" s="23"/>
    </row>
    <row r="3440" spans="1:25" x14ac:dyDescent="0.3">
      <c r="A3440" t="s">
        <v>346</v>
      </c>
      <c r="C3440" s="105"/>
      <c r="D3440" s="105"/>
      <c r="E3440" s="105" t="s">
        <v>300</v>
      </c>
      <c r="O3440" s="8"/>
      <c r="P3440" s="8"/>
      <c r="Q3440" s="8"/>
      <c r="R3440" s="8"/>
      <c r="S3440" s="8"/>
      <c r="T3440" s="8">
        <f ca="1">Y3438</f>
        <v>9714.066276618667</v>
      </c>
    </row>
    <row r="3441" spans="1:24" x14ac:dyDescent="0.3">
      <c r="A3441" t="s">
        <v>346</v>
      </c>
      <c r="C3441" s="23"/>
      <c r="D3441" s="23"/>
      <c r="E3441" s="23"/>
    </row>
    <row r="3442" spans="1:24" x14ac:dyDescent="0.3">
      <c r="A3442" t="s">
        <v>346</v>
      </c>
      <c r="C3442" s="11"/>
      <c r="D3442" s="11"/>
      <c r="E3442" s="11" t="s">
        <v>140</v>
      </c>
      <c r="U3442" s="8">
        <f ca="1">SUM(U3444:U3447)</f>
        <v>117227.42957002342</v>
      </c>
      <c r="V3442" s="8">
        <f ca="1">SUM(V3444:V3447)</f>
        <v>3559.689302233357</v>
      </c>
      <c r="W3442" s="8">
        <f ca="1">SUM(W3444:W3447)</f>
        <v>2756.7613677587378</v>
      </c>
      <c r="X3442" s="8">
        <f ca="1">SUM(X3444:X3447)</f>
        <v>5.5202170036630589</v>
      </c>
    </row>
    <row r="3443" spans="1:24" x14ac:dyDescent="0.3">
      <c r="A3443" t="s">
        <v>346</v>
      </c>
      <c r="C3443" s="11"/>
      <c r="D3443" s="11"/>
      <c r="E3443" s="11"/>
      <c r="U3443" s="8"/>
      <c r="V3443" s="8"/>
      <c r="W3443" s="8"/>
      <c r="X3443" s="8"/>
    </row>
    <row r="3444" spans="1:24" x14ac:dyDescent="0.3">
      <c r="A3444" t="s">
        <v>346</v>
      </c>
      <c r="E3444" t="s">
        <v>131</v>
      </c>
      <c r="G3444" s="23" t="s">
        <v>120</v>
      </c>
      <c r="U3444" s="6">
        <f ca="1">U3453*U3398</f>
        <v>115206.26699122992</v>
      </c>
    </row>
    <row r="3445" spans="1:24" x14ac:dyDescent="0.3">
      <c r="A3445" t="s">
        <v>346</v>
      </c>
      <c r="G3445" s="23"/>
      <c r="U3445" s="6"/>
    </row>
    <row r="3446" spans="1:24" x14ac:dyDescent="0.3">
      <c r="A3446" t="s">
        <v>346</v>
      </c>
      <c r="E3446" t="s">
        <v>200</v>
      </c>
      <c r="G3446" s="23" t="s">
        <v>120</v>
      </c>
      <c r="U3446" s="6">
        <f ca="1">U3455*U3397</f>
        <v>2021.1625787935091</v>
      </c>
      <c r="V3446" s="27">
        <f ca="1">V3425*V3397</f>
        <v>1960.5277014297035</v>
      </c>
      <c r="W3446" s="27">
        <f ca="1">W3425*W3397</f>
        <v>2732.5074168132155</v>
      </c>
      <c r="X3446" s="27">
        <f>X3425*X3397</f>
        <v>0</v>
      </c>
    </row>
    <row r="3447" spans="1:24" x14ac:dyDescent="0.3">
      <c r="A3447" t="s">
        <v>346</v>
      </c>
      <c r="E3447" t="s">
        <v>200</v>
      </c>
      <c r="G3447" s="24" t="s">
        <v>122</v>
      </c>
      <c r="U3447" s="6"/>
      <c r="V3447" s="27">
        <f ca="1">V3426*(U3397+V3397)</f>
        <v>1599.1616008036535</v>
      </c>
      <c r="W3447" s="27">
        <f ca="1">W3426*(V3397+W3397)</f>
        <v>24.253950945522099</v>
      </c>
      <c r="X3447" s="27">
        <f ca="1">X3426*(W3397+X3397)</f>
        <v>5.5202170036630589</v>
      </c>
    </row>
    <row r="3448" spans="1:24" x14ac:dyDescent="0.3">
      <c r="A3448" t="s">
        <v>346</v>
      </c>
    </row>
    <row r="3449" spans="1:24" x14ac:dyDescent="0.3">
      <c r="A3449" t="s">
        <v>346</v>
      </c>
      <c r="C3449" s="11"/>
      <c r="D3449" s="11"/>
      <c r="E3449" s="11" t="s">
        <v>283</v>
      </c>
      <c r="U3449" s="8">
        <f ca="1">SUM(U3446:X3447)</f>
        <v>8343.1334657892658</v>
      </c>
    </row>
    <row r="3450" spans="1:24" x14ac:dyDescent="0.3">
      <c r="A3450" t="s">
        <v>346</v>
      </c>
    </row>
    <row r="3451" spans="1:24" x14ac:dyDescent="0.3">
      <c r="A3451" t="s">
        <v>346</v>
      </c>
      <c r="E3451" t="s">
        <v>202</v>
      </c>
      <c r="U3451" s="28">
        <f ca="1">U3453*(V3397+W3397)</f>
        <v>76804.177994153273</v>
      </c>
    </row>
    <row r="3452" spans="1:24" x14ac:dyDescent="0.3">
      <c r="A3452" t="s">
        <v>346</v>
      </c>
    </row>
    <row r="3453" spans="1:24" x14ac:dyDescent="0.3">
      <c r="A3453" t="s">
        <v>346</v>
      </c>
      <c r="B3453" t="str">
        <f>C3364</f>
        <v>IL 12/1.1.1.1.1.1.1.1.1.1.1</v>
      </c>
      <c r="C3453" t="str">
        <f>C3373</f>
        <v>IL 13/1.1.1.1.1.1.1.1.1.1.1.1</v>
      </c>
      <c r="D3453" t="s">
        <v>363</v>
      </c>
      <c r="E3453" s="72" t="s">
        <v>132</v>
      </c>
      <c r="U3453" s="73">
        <f ca="1">U3417*T3399</f>
        <v>998.45431392399257</v>
      </c>
    </row>
    <row r="3454" spans="1:24" x14ac:dyDescent="0.3">
      <c r="A3454" t="s">
        <v>346</v>
      </c>
    </row>
    <row r="3455" spans="1:24" x14ac:dyDescent="0.3">
      <c r="A3455" t="s">
        <v>346</v>
      </c>
      <c r="E3455" t="s">
        <v>201</v>
      </c>
      <c r="P3455" s="7"/>
      <c r="Q3455" s="7"/>
      <c r="R3455" s="7"/>
      <c r="S3455" s="7"/>
      <c r="T3455" s="7"/>
      <c r="U3455" s="7">
        <f ca="1">U3417*T3400</f>
        <v>52.550227048631236</v>
      </c>
    </row>
    <row r="3460" spans="1:46" x14ac:dyDescent="0.3">
      <c r="A3460" t="s">
        <v>347</v>
      </c>
      <c r="E3460" s="152" t="s">
        <v>363</v>
      </c>
      <c r="F3460" s="153"/>
      <c r="G3460" s="153"/>
      <c r="H3460" s="153"/>
      <c r="I3460" s="153"/>
      <c r="J3460" s="153"/>
      <c r="K3460" s="153"/>
      <c r="L3460" s="153"/>
      <c r="M3460" s="153"/>
      <c r="N3460" s="153"/>
      <c r="O3460" s="153"/>
      <c r="P3460" s="153"/>
      <c r="Q3460" s="153"/>
      <c r="R3460" s="153"/>
      <c r="S3460" s="153"/>
      <c r="T3460" s="153"/>
      <c r="U3460" s="153"/>
      <c r="V3460" s="153"/>
      <c r="W3460" s="153"/>
      <c r="X3460" s="153"/>
      <c r="Y3460" s="154"/>
      <c r="Z3460" s="152"/>
      <c r="AA3460" s="153"/>
      <c r="AB3460" s="153"/>
      <c r="AC3460" s="153"/>
      <c r="AD3460" s="153"/>
      <c r="AE3460" s="153"/>
      <c r="AF3460" s="153"/>
      <c r="AG3460" s="153"/>
      <c r="AH3460" s="153"/>
      <c r="AI3460" s="153"/>
      <c r="AJ3460" s="153"/>
      <c r="AK3460" s="153"/>
      <c r="AL3460" s="153"/>
      <c r="AM3460" s="153"/>
      <c r="AN3460" s="153"/>
      <c r="AO3460" s="153"/>
      <c r="AP3460" s="153"/>
      <c r="AQ3460" s="153"/>
      <c r="AR3460" s="153"/>
      <c r="AS3460" s="153"/>
      <c r="AT3460" s="154"/>
    </row>
    <row r="3461" spans="1:46" x14ac:dyDescent="0.3">
      <c r="A3461" t="s">
        <v>347</v>
      </c>
    </row>
    <row r="3462" spans="1:46" x14ac:dyDescent="0.3">
      <c r="A3462" t="s">
        <v>347</v>
      </c>
      <c r="B3462" t="str">
        <f>C3453</f>
        <v>IL 13/1.1.1.1.1.1.1.1.1.1.1.1</v>
      </c>
      <c r="C3462" t="str">
        <f>D3453</f>
        <v>IL 14/1.1.1.1.1.1.1.1.1.1.1.1.1</v>
      </c>
      <c r="E3462" t="s">
        <v>197</v>
      </c>
      <c r="O3462" s="83"/>
      <c r="P3462" s="83"/>
      <c r="Q3462" s="83"/>
      <c r="R3462" s="83"/>
      <c r="S3462" s="83"/>
      <c r="T3462" s="83"/>
      <c r="U3462" s="83">
        <f ca="1">U3453</f>
        <v>998.45431392399257</v>
      </c>
    </row>
    <row r="3463" spans="1:46" x14ac:dyDescent="0.3">
      <c r="A3463" t="s">
        <v>347</v>
      </c>
      <c r="E3463" t="s">
        <v>206</v>
      </c>
      <c r="O3463" s="7"/>
      <c r="P3463" s="7"/>
      <c r="Q3463" s="7"/>
      <c r="R3463" s="7"/>
      <c r="S3463" s="7"/>
      <c r="T3463" s="7"/>
      <c r="U3463" s="7">
        <f ca="1">U3465*U3462</f>
        <v>998.45431392399257</v>
      </c>
      <c r="X3463" s="77"/>
    </row>
    <row r="3464" spans="1:46" x14ac:dyDescent="0.3">
      <c r="A3464" t="s">
        <v>347</v>
      </c>
      <c r="O3464" s="7"/>
      <c r="P3464" s="7"/>
      <c r="Q3464" s="7"/>
      <c r="R3464" s="7"/>
      <c r="S3464" s="7"/>
      <c r="T3464" s="7"/>
      <c r="U3464" s="7"/>
      <c r="V3464" s="7">
        <f ca="1">U3453</f>
        <v>998.45431392399257</v>
      </c>
      <c r="X3464" s="77"/>
    </row>
    <row r="3465" spans="1:46" x14ac:dyDescent="0.3">
      <c r="A3465" t="s">
        <v>347</v>
      </c>
      <c r="C3465" s="11"/>
      <c r="D3465" s="11"/>
      <c r="E3465" s="11" t="s">
        <v>134</v>
      </c>
      <c r="F3465" s="11"/>
      <c r="G3465" s="11"/>
      <c r="O3465" s="104"/>
      <c r="P3465" s="104"/>
      <c r="Q3465" s="104"/>
      <c r="R3465" s="104"/>
      <c r="S3465" s="104"/>
      <c r="T3465" s="104"/>
      <c r="U3465" s="104">
        <f>U3466*U3467*U3468*U3469</f>
        <v>1</v>
      </c>
      <c r="V3465" s="7">
        <f>V3466*V3467*V3468*V3469</f>
        <v>0</v>
      </c>
      <c r="W3465" s="11"/>
      <c r="Y3465" s="11"/>
    </row>
    <row r="3466" spans="1:46" x14ac:dyDescent="0.3">
      <c r="A3466" t="s">
        <v>347</v>
      </c>
      <c r="E3466" t="s">
        <v>35</v>
      </c>
      <c r="O3466" s="89"/>
      <c r="P3466" s="89"/>
      <c r="Q3466" s="89"/>
      <c r="R3466" s="89"/>
      <c r="S3466" s="89"/>
      <c r="T3466" s="89"/>
      <c r="U3466" s="89">
        <f>SUMIFS('Summary500-600'!$C$163:$C$264,'Summary500-600'!$A$163:$A$264,$A3466,'Summary500-600'!$B$163:$B$264,$E3466)</f>
        <v>1</v>
      </c>
    </row>
    <row r="3467" spans="1:46" x14ac:dyDescent="0.3">
      <c r="A3467" t="s">
        <v>347</v>
      </c>
      <c r="E3467" t="s">
        <v>36</v>
      </c>
      <c r="O3467" s="89"/>
      <c r="P3467" s="89"/>
      <c r="Q3467" s="89"/>
      <c r="R3467" s="89"/>
      <c r="S3467" s="89"/>
      <c r="T3467" s="89"/>
      <c r="U3467" s="89">
        <f>SUMIFS('Summary500-600'!$C$163:$C$264,'Summary500-600'!$A$163:$A$264,$A3467,'Summary500-600'!$B$163:$B$264,$E3467)</f>
        <v>1</v>
      </c>
    </row>
    <row r="3468" spans="1:46" x14ac:dyDescent="0.3">
      <c r="A3468" t="s">
        <v>347</v>
      </c>
      <c r="E3468" t="s">
        <v>142</v>
      </c>
      <c r="O3468" s="89"/>
      <c r="P3468" s="89"/>
      <c r="Q3468" s="89"/>
      <c r="R3468" s="89"/>
      <c r="S3468" s="89"/>
      <c r="T3468" s="89"/>
      <c r="U3468" s="89">
        <f>SUMIFS('Summary500-600'!$C$163:$C$264,'Summary500-600'!$A$163:$A$264,$A3468,'Summary500-600'!$B$163:$B$264,$E3468)</f>
        <v>1</v>
      </c>
    </row>
    <row r="3469" spans="1:46" x14ac:dyDescent="0.3">
      <c r="A3469" t="s">
        <v>347</v>
      </c>
      <c r="E3469" t="s">
        <v>37</v>
      </c>
      <c r="O3469" s="89"/>
      <c r="P3469" s="89"/>
      <c r="Q3469" s="89"/>
      <c r="R3469" s="89"/>
      <c r="S3469" s="89"/>
      <c r="T3469" s="89"/>
      <c r="U3469" s="89">
        <f>SUMIFS('Summary500-600'!$C$163:$C$264,'Summary500-600'!$A$163:$A$264,$A3469,'Summary500-600'!$B$163:$B$264,$E3469)</f>
        <v>1</v>
      </c>
    </row>
    <row r="3470" spans="1:46" x14ac:dyDescent="0.3">
      <c r="A3470" t="s">
        <v>347</v>
      </c>
    </row>
    <row r="3471" spans="1:46" x14ac:dyDescent="0.3">
      <c r="A3471" t="s">
        <v>347</v>
      </c>
    </row>
    <row r="3472" spans="1:46" x14ac:dyDescent="0.3">
      <c r="A3472" t="s">
        <v>347</v>
      </c>
      <c r="E3472" t="s">
        <v>125</v>
      </c>
      <c r="O3472" s="83"/>
      <c r="P3472" s="83"/>
      <c r="Q3472" s="83"/>
      <c r="R3472" s="83"/>
      <c r="S3472" s="83"/>
      <c r="T3472" s="83"/>
      <c r="U3472" s="83">
        <f ca="1">OFFSET($E$30,MATCH($A3472,$E$30:$E$45,0)-1,1)</f>
        <v>96.15384615384616</v>
      </c>
    </row>
    <row r="3473" spans="1:24" x14ac:dyDescent="0.3">
      <c r="A3473" t="s">
        <v>347</v>
      </c>
      <c r="E3473" t="s">
        <v>135</v>
      </c>
      <c r="O3473" s="82"/>
      <c r="P3473" s="82"/>
      <c r="Q3473" s="82"/>
      <c r="R3473" s="82"/>
      <c r="S3473" s="82"/>
      <c r="T3473" s="82"/>
      <c r="U3473" s="82">
        <f ca="1">U3472</f>
        <v>96.15384615384616</v>
      </c>
    </row>
    <row r="3474" spans="1:24" x14ac:dyDescent="0.3">
      <c r="A3474" t="s">
        <v>347</v>
      </c>
    </row>
    <row r="3475" spans="1:24" x14ac:dyDescent="0.3">
      <c r="A3475" t="s">
        <v>347</v>
      </c>
      <c r="E3475" t="s">
        <v>126</v>
      </c>
      <c r="O3475" s="88"/>
      <c r="P3475" s="88"/>
      <c r="Q3475" s="88"/>
      <c r="R3475" s="88"/>
      <c r="S3475" s="88"/>
      <c r="T3475" s="88"/>
      <c r="U3475" s="88">
        <f>$H$52</f>
        <v>0.2</v>
      </c>
    </row>
    <row r="3476" spans="1:24" x14ac:dyDescent="0.3">
      <c r="A3476" t="s">
        <v>347</v>
      </c>
      <c r="E3476" t="s">
        <v>117</v>
      </c>
      <c r="O3476" s="7"/>
      <c r="P3476" s="7"/>
      <c r="Q3476" s="7"/>
      <c r="R3476" s="7"/>
      <c r="S3476" s="7"/>
      <c r="T3476" s="7"/>
      <c r="U3476" s="7">
        <f ca="1">U3475*U3472</f>
        <v>19.230769230769234</v>
      </c>
    </row>
    <row r="3477" spans="1:24" x14ac:dyDescent="0.3">
      <c r="A3477" t="s">
        <v>347</v>
      </c>
    </row>
    <row r="3478" spans="1:24" x14ac:dyDescent="0.3">
      <c r="A3478" t="s">
        <v>347</v>
      </c>
      <c r="E3478" t="s">
        <v>118</v>
      </c>
      <c r="O3478" s="7"/>
      <c r="P3478" s="7"/>
      <c r="Q3478" s="7"/>
      <c r="R3478" s="7"/>
      <c r="S3478" s="7"/>
      <c r="T3478" s="7"/>
      <c r="U3478" s="7">
        <f ca="1">U3473</f>
        <v>96.15384615384616</v>
      </c>
    </row>
    <row r="3479" spans="1:24" x14ac:dyDescent="0.3">
      <c r="A3479" t="s">
        <v>347</v>
      </c>
      <c r="E3479" t="s">
        <v>106</v>
      </c>
      <c r="O3479" s="7"/>
      <c r="P3479" s="7"/>
      <c r="Q3479" s="7"/>
      <c r="R3479" s="7"/>
      <c r="S3479" s="7"/>
      <c r="T3479" s="7"/>
      <c r="U3479" s="7">
        <f ca="1">U3472*(1+U3475)</f>
        <v>115.38461538461539</v>
      </c>
    </row>
    <row r="3480" spans="1:24" x14ac:dyDescent="0.3">
      <c r="A3480" t="s">
        <v>347</v>
      </c>
      <c r="O3480" s="7"/>
      <c r="P3480" s="7"/>
      <c r="Q3480" s="7"/>
      <c r="R3480" s="7"/>
      <c r="S3480" s="7"/>
      <c r="T3480" s="7"/>
      <c r="U3480" s="7"/>
    </row>
    <row r="3481" spans="1:24" x14ac:dyDescent="0.3">
      <c r="A3481" t="s">
        <v>347</v>
      </c>
      <c r="E3481" t="s">
        <v>136</v>
      </c>
      <c r="O3481" s="7"/>
      <c r="P3481" s="7"/>
      <c r="Q3481" s="7"/>
      <c r="R3481" s="7"/>
      <c r="S3481" s="7"/>
      <c r="T3481" s="7"/>
      <c r="U3481" s="7">
        <f ca="1">U3478*U3463</f>
        <v>96005.222492691595</v>
      </c>
    </row>
    <row r="3482" spans="1:24" x14ac:dyDescent="0.3">
      <c r="A3482" t="s">
        <v>347</v>
      </c>
      <c r="E3482" t="s">
        <v>119</v>
      </c>
      <c r="O3482" s="7"/>
      <c r="P3482" s="7"/>
      <c r="Q3482" s="7"/>
      <c r="R3482" s="7"/>
      <c r="S3482" s="7"/>
      <c r="T3482" s="7"/>
      <c r="U3482" s="7">
        <f ca="1">U3479*U3463</f>
        <v>115206.26699122992</v>
      </c>
    </row>
    <row r="3483" spans="1:24" x14ac:dyDescent="0.3">
      <c r="A3483" t="s">
        <v>347</v>
      </c>
      <c r="O3483" s="7"/>
      <c r="P3483" s="7"/>
      <c r="Q3483" s="7"/>
      <c r="R3483" s="7"/>
      <c r="S3483" s="7"/>
      <c r="T3483" s="7"/>
      <c r="U3483" s="7"/>
    </row>
    <row r="3484" spans="1:24" x14ac:dyDescent="0.3">
      <c r="A3484" t="s">
        <v>347</v>
      </c>
      <c r="E3484" t="s">
        <v>302</v>
      </c>
      <c r="O3484" s="6"/>
      <c r="P3484" s="6"/>
      <c r="Q3484" s="6"/>
      <c r="R3484" s="6"/>
      <c r="S3484" s="6"/>
      <c r="T3484" s="6"/>
      <c r="U3484" s="6">
        <f ca="1">U3476*U3463</f>
        <v>19201.044498538322</v>
      </c>
    </row>
    <row r="3485" spans="1:24" x14ac:dyDescent="0.3">
      <c r="A3485" t="s">
        <v>347</v>
      </c>
      <c r="O3485" s="7"/>
      <c r="P3485" s="7"/>
      <c r="Q3485" s="7"/>
      <c r="R3485" s="7"/>
      <c r="S3485" s="7"/>
      <c r="T3485" s="7"/>
      <c r="U3485" s="7"/>
    </row>
    <row r="3486" spans="1:24" x14ac:dyDescent="0.3">
      <c r="A3486" t="s">
        <v>347</v>
      </c>
      <c r="E3486" t="s">
        <v>127</v>
      </c>
      <c r="V3486" s="7">
        <f ca="1">U3479/3</f>
        <v>38.46153846153846</v>
      </c>
      <c r="W3486" s="7">
        <f ca="1">U3479/3</f>
        <v>38.46153846153846</v>
      </c>
      <c r="X3486" s="7">
        <f ca="1">U3479/3</f>
        <v>38.46153846153846</v>
      </c>
    </row>
    <row r="3487" spans="1:24" x14ac:dyDescent="0.3">
      <c r="A3487" t="s">
        <v>347</v>
      </c>
      <c r="V3487" s="7">
        <f ca="1">U3479</f>
        <v>115.38461538461539</v>
      </c>
    </row>
    <row r="3488" spans="1:24" s="103" customFormat="1" x14ac:dyDescent="0.3">
      <c r="A3488" t="s">
        <v>347</v>
      </c>
      <c r="E3488" s="100" t="s">
        <v>128</v>
      </c>
      <c r="O3488" s="139"/>
      <c r="P3488" s="139"/>
      <c r="Q3488" s="139"/>
      <c r="R3488" s="139"/>
      <c r="S3488" s="139"/>
      <c r="T3488" s="139"/>
      <c r="U3488" s="139">
        <f ca="1">OFFSET('Summary500-600'!$B$38,MATCH($A3488,'Summary500-600'!$B$38:$B$52,0)-1,1)</f>
        <v>0.95</v>
      </c>
    </row>
    <row r="3489" spans="1:26" s="103" customFormat="1" x14ac:dyDescent="0.3">
      <c r="A3489" t="s">
        <v>347</v>
      </c>
      <c r="E3489" s="103" t="s">
        <v>129</v>
      </c>
      <c r="O3489" s="79"/>
      <c r="P3489" s="79"/>
      <c r="Q3489" s="79"/>
      <c r="R3489" s="79"/>
      <c r="S3489" s="79"/>
      <c r="T3489" s="79"/>
      <c r="U3489" s="79">
        <f ca="1">1-U3488</f>
        <v>5.0000000000000044E-2</v>
      </c>
    </row>
    <row r="3490" spans="1:26" x14ac:dyDescent="0.3">
      <c r="A3490" t="s">
        <v>347</v>
      </c>
    </row>
    <row r="3491" spans="1:26" x14ac:dyDescent="0.3">
      <c r="A3491" t="s">
        <v>347</v>
      </c>
      <c r="C3491" s="71"/>
      <c r="D3491" s="71"/>
      <c r="E3491" s="71" t="s">
        <v>16</v>
      </c>
    </row>
    <row r="3492" spans="1:26" x14ac:dyDescent="0.3">
      <c r="A3492" t="s">
        <v>347</v>
      </c>
      <c r="E3492" t="s">
        <v>17</v>
      </c>
      <c r="V3492" s="74">
        <f>'Summary500-600'!$C$107</f>
        <v>0.09</v>
      </c>
      <c r="W3492" s="74">
        <f>'Summary500-600'!$C$108</f>
        <v>0.03</v>
      </c>
      <c r="X3492" s="74">
        <f>'Summary500-600'!$C$109</f>
        <v>0.01</v>
      </c>
      <c r="Y3492" s="75"/>
      <c r="Z3492" s="75"/>
    </row>
    <row r="3493" spans="1:26" x14ac:dyDescent="0.3">
      <c r="A3493" t="s">
        <v>347</v>
      </c>
      <c r="E3493" t="s">
        <v>18</v>
      </c>
      <c r="G3493" s="75"/>
      <c r="W3493" s="74">
        <f>'Summary500-600'!$C$110</f>
        <v>0.8</v>
      </c>
      <c r="X3493" s="76">
        <f>W3493</f>
        <v>0.8</v>
      </c>
      <c r="Y3493" s="76">
        <f>X3493</f>
        <v>0.8</v>
      </c>
      <c r="Z3493" s="75"/>
    </row>
    <row r="3494" spans="1:26" x14ac:dyDescent="0.3">
      <c r="A3494" t="s">
        <v>347</v>
      </c>
      <c r="E3494" t="s">
        <v>19</v>
      </c>
      <c r="G3494" s="75"/>
      <c r="W3494" s="75"/>
      <c r="X3494" s="74">
        <f>'Summary500-600'!$C$104</f>
        <v>1</v>
      </c>
      <c r="Y3494" s="74">
        <f>X3494</f>
        <v>1</v>
      </c>
      <c r="Z3494" s="74">
        <f>Y3494</f>
        <v>1</v>
      </c>
    </row>
    <row r="3495" spans="1:26" x14ac:dyDescent="0.3">
      <c r="A3495" t="s">
        <v>347</v>
      </c>
      <c r="E3495" t="s">
        <v>20</v>
      </c>
      <c r="X3495" s="21"/>
    </row>
    <row r="3496" spans="1:26" x14ac:dyDescent="0.3">
      <c r="A3496" t="s">
        <v>347</v>
      </c>
      <c r="X3496" s="21"/>
    </row>
    <row r="3497" spans="1:26" x14ac:dyDescent="0.3">
      <c r="A3497" t="s">
        <v>347</v>
      </c>
      <c r="C3497" s="11"/>
      <c r="D3497" s="11"/>
      <c r="E3497" s="11" t="s">
        <v>196</v>
      </c>
      <c r="V3497" s="90">
        <f ca="1">SUM(V3498:V3501)</f>
        <v>0.13550000000000004</v>
      </c>
      <c r="W3497" s="90">
        <f ca="1">SUM(W3498:W3501)</f>
        <v>0.13550000000000001</v>
      </c>
      <c r="X3497" s="90">
        <f ca="1">SUM(X3498:X3501)</f>
        <v>7.3713349999999997E-2</v>
      </c>
      <c r="Y3497" s="90">
        <f ca="1">SUM(Y3498:Y3501)</f>
        <v>7.3589079999999987E-2</v>
      </c>
    </row>
    <row r="3498" spans="1:26" x14ac:dyDescent="0.3">
      <c r="A3498" t="s">
        <v>347</v>
      </c>
      <c r="E3498" t="s">
        <v>17</v>
      </c>
      <c r="V3498" s="22">
        <f ca="1">(1-V3492)*U3489</f>
        <v>4.550000000000004E-2</v>
      </c>
      <c r="W3498" s="22">
        <f ca="1">V3498*(1-W3492)+V3499*(1-W3493)</f>
        <v>6.213500000000003E-2</v>
      </c>
    </row>
    <row r="3499" spans="1:26" x14ac:dyDescent="0.3">
      <c r="A3499" t="s">
        <v>347</v>
      </c>
      <c r="E3499" t="s">
        <v>18</v>
      </c>
      <c r="V3499" s="22">
        <f>V3492</f>
        <v>0.09</v>
      </c>
      <c r="W3499" s="22">
        <f ca="1">V3498*W3492</f>
        <v>1.3650000000000012E-3</v>
      </c>
      <c r="X3499" s="22">
        <f ca="1">W3498*X3492</f>
        <v>6.2135000000000033E-4</v>
      </c>
      <c r="Z3499" s="22"/>
    </row>
    <row r="3500" spans="1:26" x14ac:dyDescent="0.3">
      <c r="A3500" t="s">
        <v>347</v>
      </c>
      <c r="E3500" t="s">
        <v>19</v>
      </c>
      <c r="W3500" s="22">
        <f>V3499*W3493</f>
        <v>7.1999999999999995E-2</v>
      </c>
      <c r="X3500" s="22">
        <f ca="1">W3499*X3493+W3500</f>
        <v>7.309199999999999E-2</v>
      </c>
      <c r="Y3500" s="22">
        <f ca="1">X3499*Y3493+X3500</f>
        <v>7.3589079999999987E-2</v>
      </c>
    </row>
    <row r="3501" spans="1:26" x14ac:dyDescent="0.3">
      <c r="A3501" t="s">
        <v>347</v>
      </c>
      <c r="W3501" s="22"/>
      <c r="X3501" s="22"/>
    </row>
    <row r="3502" spans="1:26" x14ac:dyDescent="0.3">
      <c r="A3502" t="s">
        <v>347</v>
      </c>
      <c r="E3502" t="s">
        <v>195</v>
      </c>
      <c r="V3502" s="22">
        <f ca="1">(1-V3492)*U3488</f>
        <v>0.86449999999999994</v>
      </c>
      <c r="X3502" s="29">
        <f ca="1">W3498*(1-X3492)+W3499*(1-X3493)+W3500*(1-X3494)</f>
        <v>6.1786650000000033E-2</v>
      </c>
      <c r="Y3502" s="29">
        <f ca="1">X3499*(1-Y3493)+X3502</f>
        <v>6.1910920000000036E-2</v>
      </c>
      <c r="Z3502" s="22"/>
    </row>
    <row r="3503" spans="1:26" x14ac:dyDescent="0.3">
      <c r="A3503" t="s">
        <v>347</v>
      </c>
      <c r="V3503" s="22"/>
      <c r="X3503" s="29"/>
      <c r="Y3503" s="29"/>
      <c r="Z3503" s="22"/>
    </row>
    <row r="3504" spans="1:26" x14ac:dyDescent="0.3">
      <c r="A3504" t="s">
        <v>347</v>
      </c>
      <c r="V3504" s="25" t="s">
        <v>32</v>
      </c>
    </row>
    <row r="3505" spans="1:26" x14ac:dyDescent="0.3">
      <c r="A3505" t="s">
        <v>347</v>
      </c>
      <c r="C3505" s="11"/>
      <c r="D3505" s="11"/>
      <c r="E3505" s="11" t="s">
        <v>124</v>
      </c>
      <c r="V3505" s="8">
        <f ca="1">SUM(V3506:V3509)</f>
        <v>998.45431392399269</v>
      </c>
      <c r="W3505" s="8">
        <f ca="1">SUM(W3506:W3509)</f>
        <v>135.29055953670104</v>
      </c>
      <c r="X3505" s="8">
        <f ca="1">SUM(X3506:X3509)</f>
        <v>73.599412301289135</v>
      </c>
    </row>
    <row r="3506" spans="1:26" x14ac:dyDescent="0.3">
      <c r="A3506" t="s">
        <v>347</v>
      </c>
      <c r="C3506" s="23"/>
      <c r="D3506" s="23"/>
      <c r="E3506" s="23" t="s">
        <v>120</v>
      </c>
      <c r="V3506" s="7">
        <f ca="1">U3463*(1-V3492)</f>
        <v>908.59342567083331</v>
      </c>
      <c r="W3506" s="82">
        <f ca="1">V3544*(1-W3492)+V3507*(1-W3493)</f>
        <v>62.03895879566732</v>
      </c>
    </row>
    <row r="3507" spans="1:26" x14ac:dyDescent="0.3">
      <c r="A3507" t="s">
        <v>347</v>
      </c>
      <c r="C3507" s="24"/>
      <c r="D3507" s="24"/>
      <c r="E3507" s="24" t="s">
        <v>122</v>
      </c>
      <c r="V3507" s="7">
        <f ca="1">U3463*V3492</f>
        <v>89.860888253159331</v>
      </c>
      <c r="W3507" s="7">
        <f ca="1">V3544*W3492</f>
        <v>1.3628901385062513</v>
      </c>
      <c r="X3507" s="7">
        <f ca="1">W3506*X3492</f>
        <v>0.62038958795667321</v>
      </c>
      <c r="Y3507" s="7">
        <f>X3506*Y3492</f>
        <v>0</v>
      </c>
    </row>
    <row r="3508" spans="1:26" x14ac:dyDescent="0.3">
      <c r="A3508" t="s">
        <v>347</v>
      </c>
      <c r="C3508" s="23"/>
      <c r="D3508" s="23"/>
      <c r="E3508" s="23" t="s">
        <v>121</v>
      </c>
      <c r="W3508" s="7">
        <f ca="1">V3507*W3493</f>
        <v>71.888710602527468</v>
      </c>
      <c r="X3508" s="7">
        <f ca="1">W3507*X3493</f>
        <v>1.0903121108050011</v>
      </c>
      <c r="Y3508" s="7">
        <f ca="1">X3507*Y3493</f>
        <v>0.49631167036533858</v>
      </c>
    </row>
    <row r="3509" spans="1:26" x14ac:dyDescent="0.3">
      <c r="A3509" t="s">
        <v>347</v>
      </c>
      <c r="C3509" s="23"/>
      <c r="D3509" s="23"/>
      <c r="E3509" s="23" t="s">
        <v>138</v>
      </c>
      <c r="W3509" s="7"/>
      <c r="X3509" s="7">
        <f ca="1">W3508*X3494</f>
        <v>71.888710602527468</v>
      </c>
      <c r="Y3509" s="7">
        <f ca="1">X3508*Y3494+X3509</f>
        <v>72.979022713332469</v>
      </c>
      <c r="Z3509" s="7">
        <f ca="1">Y3508*Z3494+Y3509</f>
        <v>73.475334383697813</v>
      </c>
    </row>
    <row r="3510" spans="1:26" x14ac:dyDescent="0.3">
      <c r="A3510" t="s">
        <v>347</v>
      </c>
      <c r="C3510" s="23"/>
      <c r="D3510" s="23"/>
      <c r="E3510" s="23"/>
      <c r="W3510" s="7"/>
    </row>
    <row r="3511" spans="1:26" x14ac:dyDescent="0.3">
      <c r="A3511" t="s">
        <v>347</v>
      </c>
      <c r="C3511" s="23"/>
      <c r="D3511" s="23"/>
      <c r="E3511" s="23" t="s">
        <v>137</v>
      </c>
      <c r="W3511" s="7"/>
      <c r="X3511" s="7">
        <f ca="1">W3506*(1-X3492)+W3507*(1-X3493)+W3508*(1-X3494)</f>
        <v>61.691147235411897</v>
      </c>
      <c r="Y3511" s="7">
        <f ca="1">X3507*(1-Y3493)+X3511</f>
        <v>61.815225153003233</v>
      </c>
      <c r="Z3511" s="7">
        <f ca="1">Y3508*(1-Z3494)+Y3511</f>
        <v>61.815225153003233</v>
      </c>
    </row>
    <row r="3512" spans="1:26" x14ac:dyDescent="0.3">
      <c r="A3512" t="s">
        <v>347</v>
      </c>
      <c r="C3512" s="23"/>
      <c r="D3512" s="23"/>
      <c r="E3512" s="23"/>
      <c r="W3512" s="7"/>
    </row>
    <row r="3513" spans="1:26" x14ac:dyDescent="0.3">
      <c r="A3513" t="s">
        <v>347</v>
      </c>
      <c r="C3513" s="11"/>
      <c r="D3513" s="11"/>
      <c r="E3513" s="11" t="s">
        <v>139</v>
      </c>
      <c r="V3513" s="8">
        <f ca="1">SUM(V3514:V3515)</f>
        <v>908.59342567083331</v>
      </c>
      <c r="W3513" s="8">
        <f ca="1">SUM(W3514:W3515)</f>
        <v>62.03895879566732</v>
      </c>
      <c r="X3513" s="8">
        <f ca="1">SUM(X3514:X3515)</f>
        <v>61.691147235411897</v>
      </c>
      <c r="Y3513" s="8">
        <f ca="1">SUM(Y3514:Y3515)</f>
        <v>0.12407791759133462</v>
      </c>
    </row>
    <row r="3514" spans="1:26" x14ac:dyDescent="0.3">
      <c r="A3514" t="s">
        <v>347</v>
      </c>
      <c r="C3514" s="23"/>
      <c r="D3514" s="23"/>
      <c r="E3514" s="23" t="s">
        <v>120</v>
      </c>
      <c r="V3514" s="7">
        <f ca="1">V3506</f>
        <v>908.59342567083331</v>
      </c>
      <c r="W3514" s="7">
        <f ca="1">V3544*(1-W3492)</f>
        <v>44.066781145035456</v>
      </c>
      <c r="X3514" s="7">
        <f ca="1">W3506*(1-X3492)</f>
        <v>61.418569207710647</v>
      </c>
    </row>
    <row r="3515" spans="1:26" x14ac:dyDescent="0.3">
      <c r="A3515" t="s">
        <v>347</v>
      </c>
      <c r="C3515" s="24"/>
      <c r="D3515" s="24"/>
      <c r="E3515" s="24" t="s">
        <v>122</v>
      </c>
      <c r="W3515" s="7">
        <f ca="1">V3507*(1-W3493)</f>
        <v>17.972177650631863</v>
      </c>
      <c r="X3515" s="7">
        <f ca="1">W3507*(1-X3493)</f>
        <v>0.27257802770125023</v>
      </c>
      <c r="Y3515" s="7">
        <f ca="1">X3507*(1-Y3493)</f>
        <v>0.12407791759133462</v>
      </c>
    </row>
    <row r="3516" spans="1:26" x14ac:dyDescent="0.3">
      <c r="A3516" t="s">
        <v>347</v>
      </c>
      <c r="C3516" s="23"/>
      <c r="D3516" s="23"/>
      <c r="E3516" s="23"/>
      <c r="W3516" s="7"/>
      <c r="X3516" s="7">
        <f ca="1">W3508*(1-X3494)</f>
        <v>0</v>
      </c>
      <c r="Y3516" s="7">
        <f ca="1">X3508*(1-Y3494)</f>
        <v>0</v>
      </c>
    </row>
    <row r="3517" spans="1:26" x14ac:dyDescent="0.3">
      <c r="A3517" t="s">
        <v>347</v>
      </c>
      <c r="C3517" s="81"/>
      <c r="D3517" s="81"/>
      <c r="E3517" s="81" t="s">
        <v>123</v>
      </c>
    </row>
    <row r="3518" spans="1:26" x14ac:dyDescent="0.3">
      <c r="A3518" t="s">
        <v>347</v>
      </c>
      <c r="C3518" s="23"/>
      <c r="D3518" s="23"/>
      <c r="E3518" s="23" t="s">
        <v>120</v>
      </c>
      <c r="V3518" s="7">
        <f ca="1">U3479-V3486</f>
        <v>76.923076923076934</v>
      </c>
      <c r="W3518" s="7">
        <f ca="1">V3518-W3486</f>
        <v>38.461538461538474</v>
      </c>
      <c r="X3518" s="7">
        <f ca="1">W3518-X3486</f>
        <v>0</v>
      </c>
    </row>
    <row r="3519" spans="1:26" x14ac:dyDescent="0.3">
      <c r="A3519" t="s">
        <v>347</v>
      </c>
      <c r="C3519" s="24"/>
      <c r="D3519" s="24"/>
      <c r="E3519" s="24" t="s">
        <v>122</v>
      </c>
      <c r="V3519" s="7">
        <f ca="1">U3479</f>
        <v>115.38461538461539</v>
      </c>
      <c r="W3519" s="7">
        <f ca="1">V3518</f>
        <v>76.923076923076934</v>
      </c>
      <c r="X3519" s="7">
        <f ca="1">W3518</f>
        <v>38.461538461538474</v>
      </c>
    </row>
    <row r="3520" spans="1:26" x14ac:dyDescent="0.3">
      <c r="A3520" t="s">
        <v>347</v>
      </c>
      <c r="C3520" s="23"/>
      <c r="D3520" s="23"/>
      <c r="E3520" s="23" t="s">
        <v>121</v>
      </c>
      <c r="W3520" s="7">
        <f ca="1">V3519</f>
        <v>115.38461538461539</v>
      </c>
      <c r="X3520" s="7">
        <f ca="1">W3519</f>
        <v>76.923076923076934</v>
      </c>
      <c r="Y3520" s="7">
        <f ca="1">X3519</f>
        <v>38.461538461538474</v>
      </c>
    </row>
    <row r="3521" spans="1:26" x14ac:dyDescent="0.3">
      <c r="A3521" t="s">
        <v>347</v>
      </c>
      <c r="C3521" s="23"/>
      <c r="D3521" s="23"/>
      <c r="E3521" s="23"/>
      <c r="X3521" s="7"/>
      <c r="Y3521" s="7"/>
    </row>
    <row r="3522" spans="1:26" x14ac:dyDescent="0.3">
      <c r="A3522" t="s">
        <v>347</v>
      </c>
      <c r="C3522" s="23"/>
      <c r="D3522" s="23"/>
      <c r="E3522" s="23"/>
      <c r="X3522" s="7"/>
      <c r="Y3522" s="7"/>
    </row>
    <row r="3523" spans="1:26" x14ac:dyDescent="0.3">
      <c r="A3523" t="s">
        <v>347</v>
      </c>
      <c r="C3523" s="11"/>
      <c r="D3523" s="11"/>
      <c r="E3523" s="11" t="s">
        <v>130</v>
      </c>
      <c r="V3523" s="8">
        <f ca="1">SUM(V3524:V3527)</f>
        <v>80260.366003890187</v>
      </c>
      <c r="W3523" s="8">
        <f ca="1">SUM(W3524:W3527)</f>
        <v>10785.802726163933</v>
      </c>
      <c r="X3523" s="8">
        <f ca="1">SUM(X3524:X3527)</f>
        <v>8402.5825237365025</v>
      </c>
      <c r="Y3523" s="8">
        <f ca="1">SUM(Y3524:Y3527)</f>
        <v>8397.8102961368368</v>
      </c>
    </row>
    <row r="3524" spans="1:26" x14ac:dyDescent="0.3">
      <c r="A3524" t="s">
        <v>347</v>
      </c>
      <c r="C3524" s="23"/>
      <c r="D3524" s="23"/>
      <c r="E3524" s="23" t="s">
        <v>120</v>
      </c>
      <c r="V3524" s="7">
        <f t="shared" ref="V3524:X3524" ca="1" si="203">V3518*V3506</f>
        <v>69891.801974679489</v>
      </c>
      <c r="W3524" s="7">
        <f t="shared" ca="1" si="203"/>
        <v>2386.1137998333593</v>
      </c>
      <c r="X3524" s="7">
        <f t="shared" ca="1" si="203"/>
        <v>0</v>
      </c>
    </row>
    <row r="3525" spans="1:26" x14ac:dyDescent="0.3">
      <c r="A3525" t="s">
        <v>347</v>
      </c>
      <c r="C3525" s="24"/>
      <c r="D3525" s="24"/>
      <c r="E3525" s="24" t="s">
        <v>122</v>
      </c>
      <c r="V3525" s="7">
        <f t="shared" ref="V3525:X3525" ca="1" si="204">V3519*V3507</f>
        <v>10368.564029210693</v>
      </c>
      <c r="W3525" s="7">
        <f t="shared" ca="1" si="204"/>
        <v>104.83770296201935</v>
      </c>
      <c r="X3525" s="7">
        <f t="shared" ca="1" si="204"/>
        <v>23.861137998333593</v>
      </c>
      <c r="Y3525" s="7">
        <f>Y3519*Y3507</f>
        <v>0</v>
      </c>
    </row>
    <row r="3526" spans="1:26" x14ac:dyDescent="0.3">
      <c r="A3526" t="s">
        <v>347</v>
      </c>
      <c r="C3526" s="23"/>
      <c r="D3526" s="23"/>
      <c r="E3526" s="23" t="s">
        <v>121</v>
      </c>
      <c r="W3526" s="7">
        <f ca="1">W3520*W3508</f>
        <v>8294.8512233685542</v>
      </c>
      <c r="X3526" s="7">
        <f ca="1">X3520*X3508</f>
        <v>83.870162369615485</v>
      </c>
      <c r="Y3526" s="7">
        <f ca="1">Y3520*Y3508</f>
        <v>19.088910398666876</v>
      </c>
    </row>
    <row r="3527" spans="1:26" x14ac:dyDescent="0.3">
      <c r="A3527" t="s">
        <v>347</v>
      </c>
      <c r="C3527" s="23"/>
      <c r="D3527" s="23"/>
      <c r="E3527" s="23" t="s">
        <v>299</v>
      </c>
      <c r="X3527" s="8">
        <f ca="1">W3526</f>
        <v>8294.8512233685542</v>
      </c>
      <c r="Y3527" s="8">
        <f ca="1">X3527+X3526</f>
        <v>8378.7213857381703</v>
      </c>
      <c r="Z3527" s="8">
        <f ca="1">Y3527+Y3526</f>
        <v>8397.8102961368368</v>
      </c>
    </row>
    <row r="3528" spans="1:26" x14ac:dyDescent="0.3">
      <c r="A3528" t="s">
        <v>347</v>
      </c>
      <c r="C3528" s="23"/>
      <c r="D3528" s="23"/>
      <c r="E3528" s="23"/>
    </row>
    <row r="3529" spans="1:26" x14ac:dyDescent="0.3">
      <c r="A3529" t="s">
        <v>347</v>
      </c>
      <c r="C3529" s="105"/>
      <c r="D3529" s="105"/>
      <c r="E3529" s="105" t="s">
        <v>300</v>
      </c>
      <c r="O3529" s="8"/>
      <c r="P3529" s="8"/>
      <c r="Q3529" s="8"/>
      <c r="R3529" s="8"/>
      <c r="S3529" s="8"/>
      <c r="T3529" s="8"/>
      <c r="U3529" s="8">
        <f ca="1">Z3527</f>
        <v>8397.8102961368368</v>
      </c>
    </row>
    <row r="3530" spans="1:26" x14ac:dyDescent="0.3">
      <c r="A3530" t="s">
        <v>347</v>
      </c>
      <c r="C3530" s="23"/>
      <c r="D3530" s="23"/>
      <c r="E3530" s="23"/>
    </row>
    <row r="3531" spans="1:26" x14ac:dyDescent="0.3">
      <c r="A3531" t="s">
        <v>347</v>
      </c>
      <c r="C3531" s="11"/>
      <c r="D3531" s="11"/>
      <c r="E3531" s="11" t="s">
        <v>140</v>
      </c>
      <c r="V3531" s="8">
        <f ca="1">SUM(V3533:V3536)</f>
        <v>101343.11286328526</v>
      </c>
      <c r="W3531" s="8">
        <f ca="1">SUM(W3533:W3536)</f>
        <v>3077.3514017807374</v>
      </c>
      <c r="X3531" s="8">
        <f ca="1">SUM(X3533:X3536)</f>
        <v>2383.2202024274288</v>
      </c>
      <c r="Y3531" s="8">
        <f ca="1">SUM(Y3533:Y3536)</f>
        <v>4.7722275996667154</v>
      </c>
    </row>
    <row r="3532" spans="1:26" x14ac:dyDescent="0.3">
      <c r="A3532" t="s">
        <v>347</v>
      </c>
      <c r="C3532" s="11"/>
      <c r="D3532" s="11"/>
      <c r="E3532" s="11"/>
      <c r="V3532" s="8"/>
      <c r="W3532" s="8"/>
      <c r="X3532" s="8"/>
      <c r="Y3532" s="8"/>
    </row>
    <row r="3533" spans="1:26" x14ac:dyDescent="0.3">
      <c r="A3533" t="s">
        <v>347</v>
      </c>
      <c r="E3533" t="s">
        <v>131</v>
      </c>
      <c r="G3533" s="23" t="s">
        <v>120</v>
      </c>
      <c r="V3533" s="6">
        <f ca="1">V3542*V3487</f>
        <v>99595.817813918271</v>
      </c>
    </row>
    <row r="3534" spans="1:26" x14ac:dyDescent="0.3">
      <c r="A3534" t="s">
        <v>347</v>
      </c>
      <c r="G3534" s="23"/>
      <c r="V3534" s="6"/>
    </row>
    <row r="3535" spans="1:26" x14ac:dyDescent="0.3">
      <c r="A3535" t="s">
        <v>347</v>
      </c>
      <c r="E3535" t="s">
        <v>200</v>
      </c>
      <c r="G3535" s="23" t="s">
        <v>120</v>
      </c>
      <c r="V3535" s="6">
        <f ca="1">V3544*V3486</f>
        <v>1747.2950493669887</v>
      </c>
      <c r="W3535" s="27">
        <f ca="1">W3514*W3486</f>
        <v>1694.8761978859791</v>
      </c>
      <c r="X3535" s="27">
        <f ca="1">X3514*X3486</f>
        <v>2362.2526618350248</v>
      </c>
      <c r="Y3535" s="27">
        <f>Y3514*Y3486</f>
        <v>0</v>
      </c>
    </row>
    <row r="3536" spans="1:26" x14ac:dyDescent="0.3">
      <c r="A3536" t="s">
        <v>347</v>
      </c>
      <c r="E3536" t="s">
        <v>200</v>
      </c>
      <c r="G3536" s="24" t="s">
        <v>122</v>
      </c>
      <c r="V3536" s="6"/>
      <c r="W3536" s="27">
        <f ca="1">W3515*(V3486+W3486)</f>
        <v>1382.4752038947586</v>
      </c>
      <c r="X3536" s="27">
        <f ca="1">X3515*(W3486+X3486)</f>
        <v>20.967540592403864</v>
      </c>
      <c r="Y3536" s="27">
        <f ca="1">Y3515*(X3486+Y3486)</f>
        <v>4.7722275996667154</v>
      </c>
    </row>
    <row r="3537" spans="1:46" x14ac:dyDescent="0.3">
      <c r="A3537" t="s">
        <v>347</v>
      </c>
    </row>
    <row r="3538" spans="1:46" x14ac:dyDescent="0.3">
      <c r="A3538" t="s">
        <v>347</v>
      </c>
      <c r="C3538" s="11"/>
      <c r="D3538" s="11"/>
      <c r="E3538" s="11" t="s">
        <v>283</v>
      </c>
      <c r="V3538" s="8">
        <f ca="1">SUM(V3535:Y3536)</f>
        <v>7212.638881174822</v>
      </c>
    </row>
    <row r="3539" spans="1:46" x14ac:dyDescent="0.3">
      <c r="A3539" t="s">
        <v>347</v>
      </c>
    </row>
    <row r="3540" spans="1:46" x14ac:dyDescent="0.3">
      <c r="A3540" t="s">
        <v>347</v>
      </c>
      <c r="E3540" t="s">
        <v>202</v>
      </c>
      <c r="V3540" s="28">
        <f ca="1">V3542*(W3486+X3486)</f>
        <v>66397.211875945504</v>
      </c>
    </row>
    <row r="3541" spans="1:46" x14ac:dyDescent="0.3">
      <c r="A3541" t="s">
        <v>347</v>
      </c>
    </row>
    <row r="3542" spans="1:46" x14ac:dyDescent="0.3">
      <c r="A3542" t="s">
        <v>347</v>
      </c>
      <c r="B3542" t="str">
        <f>C3453</f>
        <v>IL 13/1.1.1.1.1.1.1.1.1.1.1.1</v>
      </c>
      <c r="C3542" t="str">
        <f>C3462</f>
        <v>IL 14/1.1.1.1.1.1.1.1.1.1.1.1.1</v>
      </c>
      <c r="D3542" t="s">
        <v>364</v>
      </c>
      <c r="E3542" s="72" t="s">
        <v>132</v>
      </c>
      <c r="V3542" s="73">
        <f ca="1">V3506*U3488</f>
        <v>863.16375438729165</v>
      </c>
    </row>
    <row r="3543" spans="1:46" x14ac:dyDescent="0.3">
      <c r="A3543" t="s">
        <v>347</v>
      </c>
    </row>
    <row r="3544" spans="1:46" x14ac:dyDescent="0.3">
      <c r="A3544" t="s">
        <v>347</v>
      </c>
      <c r="E3544" t="s">
        <v>201</v>
      </c>
      <c r="P3544" s="7"/>
      <c r="Q3544" s="7"/>
      <c r="R3544" s="7"/>
      <c r="S3544" s="7"/>
      <c r="T3544" s="7"/>
      <c r="U3544" s="7"/>
      <c r="V3544" s="7">
        <f ca="1">V3506*U3489</f>
        <v>45.429671283541708</v>
      </c>
    </row>
    <row r="3549" spans="1:46" x14ac:dyDescent="0.3">
      <c r="A3549" t="s">
        <v>347</v>
      </c>
      <c r="E3549" s="152" t="s">
        <v>364</v>
      </c>
      <c r="F3549" s="153"/>
      <c r="G3549" s="153"/>
      <c r="H3549" s="153"/>
      <c r="I3549" s="153"/>
      <c r="J3549" s="153"/>
      <c r="K3549" s="153"/>
      <c r="L3549" s="153"/>
      <c r="M3549" s="153"/>
      <c r="N3549" s="153"/>
      <c r="O3549" s="153"/>
      <c r="P3549" s="153"/>
      <c r="Q3549" s="153"/>
      <c r="R3549" s="153"/>
      <c r="S3549" s="153"/>
      <c r="T3549" s="153"/>
      <c r="U3549" s="153"/>
      <c r="V3549" s="153"/>
      <c r="W3549" s="153"/>
      <c r="X3549" s="153"/>
      <c r="Y3549" s="154"/>
      <c r="Z3549" s="152"/>
      <c r="AA3549" s="153"/>
      <c r="AB3549" s="153"/>
      <c r="AC3549" s="153"/>
      <c r="AD3549" s="153"/>
      <c r="AE3549" s="153"/>
      <c r="AF3549" s="153"/>
      <c r="AG3549" s="153"/>
      <c r="AH3549" s="153"/>
      <c r="AI3549" s="153"/>
      <c r="AJ3549" s="153"/>
      <c r="AK3549" s="153"/>
      <c r="AL3549" s="153"/>
      <c r="AM3549" s="153"/>
      <c r="AN3549" s="153"/>
      <c r="AO3549" s="153"/>
      <c r="AP3549" s="153"/>
      <c r="AQ3549" s="153"/>
      <c r="AR3549" s="153"/>
      <c r="AS3549" s="153"/>
      <c r="AT3549" s="154"/>
    </row>
    <row r="3550" spans="1:46" x14ac:dyDescent="0.3">
      <c r="A3550" t="s">
        <v>347</v>
      </c>
    </row>
    <row r="3551" spans="1:46" x14ac:dyDescent="0.3">
      <c r="A3551" t="s">
        <v>347</v>
      </c>
      <c r="B3551" t="str">
        <f>C3542</f>
        <v>IL 14/1.1.1.1.1.1.1.1.1.1.1.1.1</v>
      </c>
      <c r="C3551" t="str">
        <f>D3542</f>
        <v>IL 15/1.1.1.1.1.1.1.1.1.1.1.1.1.1</v>
      </c>
      <c r="E3551" t="s">
        <v>197</v>
      </c>
      <c r="O3551" s="83"/>
      <c r="P3551" s="83"/>
      <c r="Q3551" s="83"/>
      <c r="R3551" s="83"/>
      <c r="S3551" s="83"/>
      <c r="T3551" s="83"/>
      <c r="U3551" s="83"/>
      <c r="V3551" s="83">
        <f ca="1">V3542</f>
        <v>863.16375438729165</v>
      </c>
    </row>
    <row r="3552" spans="1:46" x14ac:dyDescent="0.3">
      <c r="A3552" t="s">
        <v>347</v>
      </c>
      <c r="E3552" t="s">
        <v>206</v>
      </c>
      <c r="O3552" s="7"/>
      <c r="P3552" s="7"/>
      <c r="Q3552" s="7"/>
      <c r="R3552" s="7"/>
      <c r="S3552" s="7"/>
      <c r="T3552" s="7"/>
      <c r="U3552" s="7"/>
      <c r="V3552" s="7">
        <f ca="1">V3554*V3551</f>
        <v>863.16375438729165</v>
      </c>
      <c r="Y3552" s="77"/>
    </row>
    <row r="3553" spans="1:26" x14ac:dyDescent="0.3">
      <c r="A3553" t="s">
        <v>347</v>
      </c>
      <c r="O3553" s="7"/>
      <c r="P3553" s="7"/>
      <c r="Q3553" s="7"/>
      <c r="R3553" s="7"/>
      <c r="S3553" s="7"/>
      <c r="T3553" s="7"/>
      <c r="U3553" s="7"/>
      <c r="V3553" s="7"/>
      <c r="W3553" s="7">
        <f ca="1">V3542</f>
        <v>863.16375438729165</v>
      </c>
      <c r="Y3553" s="77"/>
    </row>
    <row r="3554" spans="1:26" x14ac:dyDescent="0.3">
      <c r="A3554" t="s">
        <v>347</v>
      </c>
      <c r="C3554" s="11"/>
      <c r="D3554" s="11"/>
      <c r="E3554" s="11" t="s">
        <v>134</v>
      </c>
      <c r="F3554" s="11"/>
      <c r="G3554" s="11"/>
      <c r="O3554" s="104"/>
      <c r="P3554" s="104"/>
      <c r="Q3554" s="104"/>
      <c r="R3554" s="104"/>
      <c r="S3554" s="104"/>
      <c r="T3554" s="104"/>
      <c r="U3554" s="104"/>
      <c r="V3554" s="104">
        <f>V3555*V3556*V3557*V3558</f>
        <v>1</v>
      </c>
      <c r="W3554" s="7">
        <f>W3555*W3556*W3557*W3558</f>
        <v>0</v>
      </c>
      <c r="X3554" s="11"/>
      <c r="Z3554" s="11"/>
    </row>
    <row r="3555" spans="1:26" x14ac:dyDescent="0.3">
      <c r="A3555" t="s">
        <v>347</v>
      </c>
      <c r="E3555" t="s">
        <v>35</v>
      </c>
      <c r="O3555" s="89"/>
      <c r="P3555" s="89"/>
      <c r="Q3555" s="89"/>
      <c r="R3555" s="89"/>
      <c r="S3555" s="89"/>
      <c r="T3555" s="89"/>
      <c r="U3555" s="89"/>
      <c r="V3555" s="89">
        <f>SUMIFS('Summary500-600'!$C$163:$C$264,'Summary500-600'!$A$163:$A$264,$A3555,'Summary500-600'!$B$163:$B$264,$E3555)</f>
        <v>1</v>
      </c>
    </row>
    <row r="3556" spans="1:26" x14ac:dyDescent="0.3">
      <c r="A3556" t="s">
        <v>347</v>
      </c>
      <c r="E3556" t="s">
        <v>36</v>
      </c>
      <c r="O3556" s="89"/>
      <c r="P3556" s="89"/>
      <c r="Q3556" s="89"/>
      <c r="R3556" s="89"/>
      <c r="S3556" s="89"/>
      <c r="T3556" s="89"/>
      <c r="U3556" s="89"/>
      <c r="V3556" s="89">
        <f>SUMIFS('Summary500-600'!$C$163:$C$264,'Summary500-600'!$A$163:$A$264,$A3556,'Summary500-600'!$B$163:$B$264,$E3556)</f>
        <v>1</v>
      </c>
    </row>
    <row r="3557" spans="1:26" x14ac:dyDescent="0.3">
      <c r="A3557" t="s">
        <v>347</v>
      </c>
      <c r="E3557" t="s">
        <v>142</v>
      </c>
      <c r="O3557" s="89"/>
      <c r="P3557" s="89"/>
      <c r="Q3557" s="89"/>
      <c r="R3557" s="89"/>
      <c r="S3557" s="89"/>
      <c r="T3557" s="89"/>
      <c r="U3557" s="89"/>
      <c r="V3557" s="89">
        <f>SUMIFS('Summary500-600'!$C$163:$C$264,'Summary500-600'!$A$163:$A$264,$A3557,'Summary500-600'!$B$163:$B$264,$E3557)</f>
        <v>1</v>
      </c>
    </row>
    <row r="3558" spans="1:26" x14ac:dyDescent="0.3">
      <c r="A3558" t="s">
        <v>347</v>
      </c>
      <c r="E3558" t="s">
        <v>37</v>
      </c>
      <c r="O3558" s="89"/>
      <c r="P3558" s="89"/>
      <c r="Q3558" s="89"/>
      <c r="R3558" s="89"/>
      <c r="S3558" s="89"/>
      <c r="T3558" s="89"/>
      <c r="U3558" s="89"/>
      <c r="V3558" s="89">
        <f>SUMIFS('Summary500-600'!$C$163:$C$264,'Summary500-600'!$A$163:$A$264,$A3558,'Summary500-600'!$B$163:$B$264,$E3558)</f>
        <v>1</v>
      </c>
    </row>
    <row r="3559" spans="1:26" x14ac:dyDescent="0.3">
      <c r="A3559" t="s">
        <v>347</v>
      </c>
    </row>
    <row r="3560" spans="1:26" x14ac:dyDescent="0.3">
      <c r="A3560" t="s">
        <v>347</v>
      </c>
    </row>
    <row r="3561" spans="1:26" x14ac:dyDescent="0.3">
      <c r="A3561" t="s">
        <v>347</v>
      </c>
      <c r="E3561" t="s">
        <v>125</v>
      </c>
      <c r="O3561" s="83"/>
      <c r="P3561" s="83"/>
      <c r="Q3561" s="83"/>
      <c r="R3561" s="83"/>
      <c r="S3561" s="83"/>
      <c r="T3561" s="83"/>
      <c r="U3561" s="83"/>
      <c r="V3561" s="83">
        <f ca="1">OFFSET($E$30,MATCH($A3561,$E$30:$E$45,0)-1,1)</f>
        <v>96.15384615384616</v>
      </c>
    </row>
    <row r="3562" spans="1:26" x14ac:dyDescent="0.3">
      <c r="A3562" t="s">
        <v>347</v>
      </c>
      <c r="E3562" t="s">
        <v>135</v>
      </c>
      <c r="O3562" s="82"/>
      <c r="P3562" s="82"/>
      <c r="Q3562" s="82"/>
      <c r="R3562" s="82"/>
      <c r="S3562" s="82"/>
      <c r="T3562" s="82"/>
      <c r="U3562" s="82"/>
      <c r="V3562" s="82">
        <f ca="1">V3561</f>
        <v>96.15384615384616</v>
      </c>
    </row>
    <row r="3563" spans="1:26" x14ac:dyDescent="0.3">
      <c r="A3563" t="s">
        <v>347</v>
      </c>
    </row>
    <row r="3564" spans="1:26" x14ac:dyDescent="0.3">
      <c r="A3564" t="s">
        <v>347</v>
      </c>
      <c r="E3564" t="s">
        <v>126</v>
      </c>
      <c r="O3564" s="88"/>
      <c r="P3564" s="88"/>
      <c r="Q3564" s="88"/>
      <c r="R3564" s="88"/>
      <c r="S3564" s="88"/>
      <c r="T3564" s="88"/>
      <c r="U3564" s="88"/>
      <c r="V3564" s="88">
        <f>$H$52</f>
        <v>0.2</v>
      </c>
    </row>
    <row r="3565" spans="1:26" x14ac:dyDescent="0.3">
      <c r="A3565" t="s">
        <v>347</v>
      </c>
      <c r="E3565" t="s">
        <v>117</v>
      </c>
      <c r="O3565" s="7"/>
      <c r="P3565" s="7"/>
      <c r="Q3565" s="7"/>
      <c r="R3565" s="7"/>
      <c r="S3565" s="7"/>
      <c r="T3565" s="7"/>
      <c r="U3565" s="7"/>
      <c r="V3565" s="7">
        <f ca="1">V3564*V3561</f>
        <v>19.230769230769234</v>
      </c>
    </row>
    <row r="3566" spans="1:26" x14ac:dyDescent="0.3">
      <c r="A3566" t="s">
        <v>347</v>
      </c>
    </row>
    <row r="3567" spans="1:26" x14ac:dyDescent="0.3">
      <c r="A3567" t="s">
        <v>347</v>
      </c>
      <c r="E3567" t="s">
        <v>118</v>
      </c>
      <c r="O3567" s="7"/>
      <c r="P3567" s="7"/>
      <c r="Q3567" s="7"/>
      <c r="R3567" s="7"/>
      <c r="S3567" s="7"/>
      <c r="T3567" s="7"/>
      <c r="U3567" s="7"/>
      <c r="V3567" s="7">
        <f ca="1">V3562</f>
        <v>96.15384615384616</v>
      </c>
    </row>
    <row r="3568" spans="1:26" x14ac:dyDescent="0.3">
      <c r="A3568" t="s">
        <v>347</v>
      </c>
      <c r="E3568" t="s">
        <v>106</v>
      </c>
      <c r="O3568" s="7"/>
      <c r="P3568" s="7"/>
      <c r="Q3568" s="7"/>
      <c r="R3568" s="7"/>
      <c r="S3568" s="7"/>
      <c r="T3568" s="7"/>
      <c r="U3568" s="7"/>
      <c r="V3568" s="7">
        <f ca="1">V3561*(1+V3564)</f>
        <v>115.38461538461539</v>
      </c>
    </row>
    <row r="3569" spans="1:27" x14ac:dyDescent="0.3">
      <c r="A3569" t="s">
        <v>347</v>
      </c>
      <c r="O3569" s="7"/>
      <c r="P3569" s="7"/>
      <c r="Q3569" s="7"/>
      <c r="R3569" s="7"/>
      <c r="S3569" s="7"/>
      <c r="T3569" s="7"/>
      <c r="U3569" s="7"/>
      <c r="V3569" s="7"/>
    </row>
    <row r="3570" spans="1:27" x14ac:dyDescent="0.3">
      <c r="A3570" t="s">
        <v>347</v>
      </c>
      <c r="E3570" t="s">
        <v>136</v>
      </c>
      <c r="O3570" s="7"/>
      <c r="P3570" s="7"/>
      <c r="Q3570" s="7"/>
      <c r="R3570" s="7"/>
      <c r="S3570" s="7"/>
      <c r="T3570" s="7"/>
      <c r="U3570" s="7"/>
      <c r="V3570" s="7">
        <f ca="1">V3567*V3552</f>
        <v>82996.514844931895</v>
      </c>
    </row>
    <row r="3571" spans="1:27" x14ac:dyDescent="0.3">
      <c r="A3571" t="s">
        <v>347</v>
      </c>
      <c r="E3571" t="s">
        <v>119</v>
      </c>
      <c r="O3571" s="7"/>
      <c r="P3571" s="7"/>
      <c r="Q3571" s="7"/>
      <c r="R3571" s="7"/>
      <c r="S3571" s="7"/>
      <c r="T3571" s="7"/>
      <c r="U3571" s="7"/>
      <c r="V3571" s="7">
        <f ca="1">V3568*V3552</f>
        <v>99595.817813918271</v>
      </c>
    </row>
    <row r="3572" spans="1:27" x14ac:dyDescent="0.3">
      <c r="A3572" t="s">
        <v>347</v>
      </c>
      <c r="O3572" s="7"/>
      <c r="P3572" s="7"/>
      <c r="Q3572" s="7"/>
      <c r="R3572" s="7"/>
      <c r="S3572" s="7"/>
      <c r="T3572" s="7"/>
      <c r="U3572" s="7"/>
      <c r="V3572" s="7"/>
    </row>
    <row r="3573" spans="1:27" x14ac:dyDescent="0.3">
      <c r="A3573" t="s">
        <v>347</v>
      </c>
      <c r="E3573" t="s">
        <v>302</v>
      </c>
      <c r="O3573" s="6"/>
      <c r="P3573" s="6"/>
      <c r="Q3573" s="6"/>
      <c r="R3573" s="6"/>
      <c r="S3573" s="6"/>
      <c r="T3573" s="6"/>
      <c r="U3573" s="6"/>
      <c r="V3573" s="6">
        <f ca="1">V3565*V3552</f>
        <v>16599.30296898638</v>
      </c>
    </row>
    <row r="3574" spans="1:27" x14ac:dyDescent="0.3">
      <c r="A3574" t="s">
        <v>347</v>
      </c>
      <c r="O3574" s="7"/>
      <c r="P3574" s="7"/>
      <c r="Q3574" s="7"/>
      <c r="R3574" s="7"/>
      <c r="S3574" s="7"/>
      <c r="T3574" s="7"/>
      <c r="U3574" s="7"/>
      <c r="V3574" s="7"/>
    </row>
    <row r="3575" spans="1:27" x14ac:dyDescent="0.3">
      <c r="A3575" t="s">
        <v>347</v>
      </c>
      <c r="E3575" t="s">
        <v>127</v>
      </c>
      <c r="W3575" s="7">
        <f ca="1">V3568/3</f>
        <v>38.46153846153846</v>
      </c>
      <c r="X3575" s="7">
        <f ca="1">V3568/3</f>
        <v>38.46153846153846</v>
      </c>
      <c r="Y3575" s="7">
        <f ca="1">V3568/3</f>
        <v>38.46153846153846</v>
      </c>
    </row>
    <row r="3576" spans="1:27" x14ac:dyDescent="0.3">
      <c r="A3576" t="s">
        <v>347</v>
      </c>
      <c r="W3576" s="7">
        <f ca="1">V3568</f>
        <v>115.38461538461539</v>
      </c>
    </row>
    <row r="3577" spans="1:27" s="103" customFormat="1" x14ac:dyDescent="0.3">
      <c r="A3577" t="s">
        <v>347</v>
      </c>
      <c r="E3577" s="100" t="s">
        <v>128</v>
      </c>
      <c r="O3577" s="139"/>
      <c r="P3577" s="139"/>
      <c r="Q3577" s="139"/>
      <c r="R3577" s="139"/>
      <c r="S3577" s="139"/>
      <c r="T3577" s="139"/>
      <c r="U3577" s="139"/>
      <c r="V3577" s="139">
        <f ca="1">OFFSET('Summary500-600'!$B$38,MATCH($A3577,'Summary500-600'!$B$38:$B$52,0)-1,1)</f>
        <v>0.95</v>
      </c>
    </row>
    <row r="3578" spans="1:27" s="103" customFormat="1" x14ac:dyDescent="0.3">
      <c r="A3578" t="s">
        <v>347</v>
      </c>
      <c r="E3578" s="103" t="s">
        <v>129</v>
      </c>
      <c r="O3578" s="79"/>
      <c r="P3578" s="79"/>
      <c r="Q3578" s="79"/>
      <c r="R3578" s="79"/>
      <c r="S3578" s="79"/>
      <c r="T3578" s="79"/>
      <c r="U3578" s="79"/>
      <c r="V3578" s="79">
        <f ca="1">1-V3577</f>
        <v>5.0000000000000044E-2</v>
      </c>
    </row>
    <row r="3579" spans="1:27" x14ac:dyDescent="0.3">
      <c r="A3579" t="s">
        <v>347</v>
      </c>
    </row>
    <row r="3580" spans="1:27" x14ac:dyDescent="0.3">
      <c r="A3580" t="s">
        <v>347</v>
      </c>
      <c r="C3580" s="71"/>
      <c r="D3580" s="71"/>
      <c r="E3580" s="71" t="s">
        <v>16</v>
      </c>
    </row>
    <row r="3581" spans="1:27" x14ac:dyDescent="0.3">
      <c r="A3581" t="s">
        <v>347</v>
      </c>
      <c r="E3581" t="s">
        <v>17</v>
      </c>
      <c r="W3581" s="74">
        <f>'Summary500-600'!$C$107</f>
        <v>0.09</v>
      </c>
      <c r="X3581" s="74">
        <f>'Summary500-600'!$C$108</f>
        <v>0.03</v>
      </c>
      <c r="Y3581" s="74">
        <f>'Summary500-600'!$C$109</f>
        <v>0.01</v>
      </c>
      <c r="Z3581" s="75"/>
      <c r="AA3581" s="75"/>
    </row>
    <row r="3582" spans="1:27" x14ac:dyDescent="0.3">
      <c r="A3582" t="s">
        <v>347</v>
      </c>
      <c r="E3582" t="s">
        <v>18</v>
      </c>
      <c r="G3582" s="75"/>
      <c r="X3582" s="74">
        <f>'Summary500-600'!$C$110</f>
        <v>0.8</v>
      </c>
      <c r="Y3582" s="76">
        <f>X3582</f>
        <v>0.8</v>
      </c>
      <c r="Z3582" s="76">
        <f>Y3582</f>
        <v>0.8</v>
      </c>
      <c r="AA3582" s="75"/>
    </row>
    <row r="3583" spans="1:27" x14ac:dyDescent="0.3">
      <c r="A3583" t="s">
        <v>347</v>
      </c>
      <c r="E3583" t="s">
        <v>19</v>
      </c>
      <c r="G3583" s="75"/>
      <c r="X3583" s="75"/>
      <c r="Y3583" s="74">
        <f>'Summary500-600'!$C$104</f>
        <v>1</v>
      </c>
      <c r="Z3583" s="74">
        <f>Y3583</f>
        <v>1</v>
      </c>
      <c r="AA3583" s="74">
        <f>Z3583</f>
        <v>1</v>
      </c>
    </row>
    <row r="3584" spans="1:27" x14ac:dyDescent="0.3">
      <c r="A3584" t="s">
        <v>347</v>
      </c>
      <c r="E3584" t="s">
        <v>20</v>
      </c>
      <c r="Y3584" s="21"/>
    </row>
    <row r="3585" spans="1:27" x14ac:dyDescent="0.3">
      <c r="A3585" t="s">
        <v>347</v>
      </c>
      <c r="Y3585" s="21"/>
    </row>
    <row r="3586" spans="1:27" x14ac:dyDescent="0.3">
      <c r="A3586" t="s">
        <v>347</v>
      </c>
      <c r="C3586" s="11"/>
      <c r="D3586" s="11"/>
      <c r="E3586" s="11" t="s">
        <v>196</v>
      </c>
      <c r="W3586" s="90">
        <f ca="1">SUM(W3587:W3590)</f>
        <v>0.13550000000000004</v>
      </c>
      <c r="X3586" s="90">
        <f ca="1">SUM(X3587:X3590)</f>
        <v>0.13550000000000001</v>
      </c>
      <c r="Y3586" s="90">
        <f ca="1">SUM(Y3587:Y3590)</f>
        <v>7.3713349999999997E-2</v>
      </c>
      <c r="Z3586" s="90">
        <f ca="1">SUM(Z3587:Z3590)</f>
        <v>7.3589079999999987E-2</v>
      </c>
    </row>
    <row r="3587" spans="1:27" x14ac:dyDescent="0.3">
      <c r="A3587" t="s">
        <v>347</v>
      </c>
      <c r="E3587" t="s">
        <v>17</v>
      </c>
      <c r="W3587" s="22">
        <f ca="1">(1-W3581)*V3578</f>
        <v>4.550000000000004E-2</v>
      </c>
      <c r="X3587" s="22">
        <f ca="1">W3587*(1-X3581)+W3588*(1-X3582)</f>
        <v>6.213500000000003E-2</v>
      </c>
    </row>
    <row r="3588" spans="1:27" x14ac:dyDescent="0.3">
      <c r="A3588" t="s">
        <v>347</v>
      </c>
      <c r="E3588" t="s">
        <v>18</v>
      </c>
      <c r="W3588" s="22">
        <f>W3581</f>
        <v>0.09</v>
      </c>
      <c r="X3588" s="22">
        <f ca="1">W3587*X3581</f>
        <v>1.3650000000000012E-3</v>
      </c>
      <c r="Y3588" s="22">
        <f ca="1">X3587*Y3581</f>
        <v>6.2135000000000033E-4</v>
      </c>
      <c r="AA3588" s="22"/>
    </row>
    <row r="3589" spans="1:27" x14ac:dyDescent="0.3">
      <c r="A3589" t="s">
        <v>347</v>
      </c>
      <c r="E3589" t="s">
        <v>19</v>
      </c>
      <c r="X3589" s="22">
        <f>W3588*X3582</f>
        <v>7.1999999999999995E-2</v>
      </c>
      <c r="Y3589" s="22">
        <f ca="1">X3588*Y3582+X3589</f>
        <v>7.309199999999999E-2</v>
      </c>
      <c r="Z3589" s="22">
        <f ca="1">Y3588*Z3582+Y3589</f>
        <v>7.3589079999999987E-2</v>
      </c>
    </row>
    <row r="3590" spans="1:27" x14ac:dyDescent="0.3">
      <c r="A3590" t="s">
        <v>347</v>
      </c>
      <c r="X3590" s="22"/>
      <c r="Y3590" s="22"/>
    </row>
    <row r="3591" spans="1:27" x14ac:dyDescent="0.3">
      <c r="A3591" t="s">
        <v>347</v>
      </c>
      <c r="E3591" t="s">
        <v>195</v>
      </c>
      <c r="W3591" s="22">
        <f ca="1">(1-W3581)*V3577</f>
        <v>0.86449999999999994</v>
      </c>
      <c r="Y3591" s="29">
        <f ca="1">X3587*(1-Y3581)+X3588*(1-Y3582)+X3589*(1-Y3583)</f>
        <v>6.1786650000000033E-2</v>
      </c>
      <c r="Z3591" s="29">
        <f ca="1">Y3588*(1-Z3582)+Y3591</f>
        <v>6.1910920000000036E-2</v>
      </c>
      <c r="AA3591" s="22"/>
    </row>
    <row r="3592" spans="1:27" x14ac:dyDescent="0.3">
      <c r="A3592" t="s">
        <v>347</v>
      </c>
      <c r="W3592" s="22"/>
      <c r="Y3592" s="29"/>
      <c r="Z3592" s="29"/>
      <c r="AA3592" s="22"/>
    </row>
    <row r="3593" spans="1:27" x14ac:dyDescent="0.3">
      <c r="A3593" t="s">
        <v>347</v>
      </c>
      <c r="W3593" s="25" t="s">
        <v>32</v>
      </c>
    </row>
    <row r="3594" spans="1:27" x14ac:dyDescent="0.3">
      <c r="A3594" t="s">
        <v>347</v>
      </c>
      <c r="C3594" s="11"/>
      <c r="D3594" s="11"/>
      <c r="E3594" s="11" t="s">
        <v>124</v>
      </c>
      <c r="W3594" s="8">
        <f ca="1">SUM(W3595:W3598)</f>
        <v>863.16375438729165</v>
      </c>
      <c r="X3594" s="8">
        <f ca="1">SUM(X3595:X3598)</f>
        <v>116.95868871947805</v>
      </c>
      <c r="Y3594" s="8">
        <f ca="1">SUM(Y3595:Y3598)</f>
        <v>63.626691934464461</v>
      </c>
    </row>
    <row r="3595" spans="1:27" x14ac:dyDescent="0.3">
      <c r="A3595" t="s">
        <v>347</v>
      </c>
      <c r="C3595" s="23"/>
      <c r="D3595" s="23"/>
      <c r="E3595" s="23" t="s">
        <v>120</v>
      </c>
      <c r="W3595" s="7">
        <f ca="1">V3552*(1-W3581)</f>
        <v>785.47901649243545</v>
      </c>
      <c r="X3595" s="82">
        <f ca="1">W3633*(1-X3581)+W3596*(1-X3582)</f>
        <v>53.632679878854397</v>
      </c>
    </row>
    <row r="3596" spans="1:27" x14ac:dyDescent="0.3">
      <c r="A3596" t="s">
        <v>347</v>
      </c>
      <c r="C3596" s="24"/>
      <c r="D3596" s="24"/>
      <c r="E3596" s="24" t="s">
        <v>122</v>
      </c>
      <c r="W3596" s="7">
        <f ca="1">V3552*W3581</f>
        <v>77.684737894856241</v>
      </c>
      <c r="X3596" s="7">
        <f ca="1">W3633*X3581</f>
        <v>1.1782185247386541</v>
      </c>
      <c r="Y3596" s="7">
        <f ca="1">X3595*Y3581</f>
        <v>0.53632679878854395</v>
      </c>
      <c r="Z3596" s="7">
        <f>Y3595*Z3581</f>
        <v>0</v>
      </c>
    </row>
    <row r="3597" spans="1:27" x14ac:dyDescent="0.3">
      <c r="A3597" t="s">
        <v>347</v>
      </c>
      <c r="C3597" s="23"/>
      <c r="D3597" s="23"/>
      <c r="E3597" s="23" t="s">
        <v>121</v>
      </c>
      <c r="X3597" s="7">
        <f ca="1">W3596*X3582</f>
        <v>62.147790315884997</v>
      </c>
      <c r="Y3597" s="7">
        <f ca="1">X3596*Y3582</f>
        <v>0.94257481979092328</v>
      </c>
      <c r="Z3597" s="7">
        <f ca="1">Y3596*Z3582</f>
        <v>0.42906143903083516</v>
      </c>
    </row>
    <row r="3598" spans="1:27" x14ac:dyDescent="0.3">
      <c r="A3598" t="s">
        <v>347</v>
      </c>
      <c r="C3598" s="23"/>
      <c r="D3598" s="23"/>
      <c r="E3598" s="23" t="s">
        <v>138</v>
      </c>
      <c r="X3598" s="7"/>
      <c r="Y3598" s="7">
        <f ca="1">X3597*Y3583</f>
        <v>62.147790315884997</v>
      </c>
      <c r="Z3598" s="7">
        <f ca="1">Y3597*Z3583+Y3598</f>
        <v>63.090365135675917</v>
      </c>
      <c r="AA3598" s="7">
        <f ca="1">Z3597*AA3583+Z3598</f>
        <v>63.519426574706749</v>
      </c>
    </row>
    <row r="3599" spans="1:27" x14ac:dyDescent="0.3">
      <c r="A3599" t="s">
        <v>347</v>
      </c>
      <c r="C3599" s="23"/>
      <c r="D3599" s="23"/>
      <c r="E3599" s="23"/>
      <c r="X3599" s="7"/>
    </row>
    <row r="3600" spans="1:27" x14ac:dyDescent="0.3">
      <c r="A3600" t="s">
        <v>347</v>
      </c>
      <c r="C3600" s="23"/>
      <c r="D3600" s="23"/>
      <c r="E3600" s="23" t="s">
        <v>137</v>
      </c>
      <c r="X3600" s="7"/>
      <c r="Y3600" s="7">
        <f ca="1">X3595*(1-Y3581)+X3596*(1-Y3582)+X3597*(1-Y3583)</f>
        <v>53.331996785013587</v>
      </c>
      <c r="Z3600" s="7">
        <f ca="1">Y3596*(1-Z3582)+Y3600</f>
        <v>53.439262144771298</v>
      </c>
      <c r="AA3600" s="7">
        <f ca="1">Z3597*(1-AA3583)+Z3600</f>
        <v>53.439262144771298</v>
      </c>
    </row>
    <row r="3601" spans="1:27" x14ac:dyDescent="0.3">
      <c r="A3601" t="s">
        <v>347</v>
      </c>
      <c r="C3601" s="23"/>
      <c r="D3601" s="23"/>
      <c r="E3601" s="23"/>
      <c r="X3601" s="7"/>
    </row>
    <row r="3602" spans="1:27" x14ac:dyDescent="0.3">
      <c r="A3602" t="s">
        <v>347</v>
      </c>
      <c r="C3602" s="11"/>
      <c r="D3602" s="11"/>
      <c r="E3602" s="11" t="s">
        <v>139</v>
      </c>
      <c r="W3602" s="8">
        <f ca="1">SUM(W3603:W3604)</f>
        <v>785.47901649243545</v>
      </c>
      <c r="X3602" s="8">
        <f ca="1">SUM(X3603:X3604)</f>
        <v>53.632679878854397</v>
      </c>
      <c r="Y3602" s="8">
        <f ca="1">SUM(Y3603:Y3604)</f>
        <v>53.331996785013587</v>
      </c>
      <c r="Z3602" s="8">
        <f ca="1">SUM(Z3603:Z3604)</f>
        <v>0.10726535975770876</v>
      </c>
    </row>
    <row r="3603" spans="1:27" x14ac:dyDescent="0.3">
      <c r="A3603" t="s">
        <v>347</v>
      </c>
      <c r="C3603" s="23"/>
      <c r="D3603" s="23"/>
      <c r="E3603" s="23" t="s">
        <v>120</v>
      </c>
      <c r="W3603" s="7">
        <f ca="1">W3595</f>
        <v>785.47901649243545</v>
      </c>
      <c r="X3603" s="7">
        <f ca="1">W3633*(1-X3581)</f>
        <v>38.095732299883153</v>
      </c>
      <c r="Y3603" s="7">
        <f ca="1">X3595*(1-Y3581)</f>
        <v>53.096353080065853</v>
      </c>
    </row>
    <row r="3604" spans="1:27" x14ac:dyDescent="0.3">
      <c r="A3604" t="s">
        <v>347</v>
      </c>
      <c r="C3604" s="24"/>
      <c r="D3604" s="24"/>
      <c r="E3604" s="24" t="s">
        <v>122</v>
      </c>
      <c r="X3604" s="7">
        <f ca="1">W3596*(1-X3582)</f>
        <v>15.536947578971244</v>
      </c>
      <c r="Y3604" s="7">
        <f ca="1">X3596*(1-Y3582)</f>
        <v>0.23564370494773076</v>
      </c>
      <c r="Z3604" s="7">
        <f ca="1">Y3596*(1-Z3582)</f>
        <v>0.10726535975770876</v>
      </c>
    </row>
    <row r="3605" spans="1:27" x14ac:dyDescent="0.3">
      <c r="A3605" t="s">
        <v>347</v>
      </c>
      <c r="C3605" s="23"/>
      <c r="D3605" s="23"/>
      <c r="E3605" s="23"/>
      <c r="X3605" s="7"/>
      <c r="Y3605" s="7">
        <f ca="1">X3597*(1-Y3583)</f>
        <v>0</v>
      </c>
      <c r="Z3605" s="7">
        <f ca="1">Y3597*(1-Z3583)</f>
        <v>0</v>
      </c>
    </row>
    <row r="3606" spans="1:27" x14ac:dyDescent="0.3">
      <c r="A3606" t="s">
        <v>347</v>
      </c>
      <c r="C3606" s="81"/>
      <c r="D3606" s="81"/>
      <c r="E3606" s="81" t="s">
        <v>123</v>
      </c>
    </row>
    <row r="3607" spans="1:27" x14ac:dyDescent="0.3">
      <c r="A3607" t="s">
        <v>347</v>
      </c>
      <c r="C3607" s="23"/>
      <c r="D3607" s="23"/>
      <c r="E3607" s="23" t="s">
        <v>120</v>
      </c>
      <c r="W3607" s="7">
        <f ca="1">V3568-W3575</f>
        <v>76.923076923076934</v>
      </c>
      <c r="X3607" s="7">
        <f ca="1">W3607-X3575</f>
        <v>38.461538461538474</v>
      </c>
      <c r="Y3607" s="7">
        <f ca="1">X3607-Y3575</f>
        <v>0</v>
      </c>
    </row>
    <row r="3608" spans="1:27" x14ac:dyDescent="0.3">
      <c r="A3608" t="s">
        <v>347</v>
      </c>
      <c r="C3608" s="24"/>
      <c r="D3608" s="24"/>
      <c r="E3608" s="24" t="s">
        <v>122</v>
      </c>
      <c r="W3608" s="7">
        <f ca="1">V3568</f>
        <v>115.38461538461539</v>
      </c>
      <c r="X3608" s="7">
        <f ca="1">W3607</f>
        <v>76.923076923076934</v>
      </c>
      <c r="Y3608" s="7">
        <f ca="1">X3607</f>
        <v>38.461538461538474</v>
      </c>
    </row>
    <row r="3609" spans="1:27" x14ac:dyDescent="0.3">
      <c r="A3609" t="s">
        <v>347</v>
      </c>
      <c r="C3609" s="23"/>
      <c r="D3609" s="23"/>
      <c r="E3609" s="23" t="s">
        <v>121</v>
      </c>
      <c r="X3609" s="7">
        <f ca="1">W3608</f>
        <v>115.38461538461539</v>
      </c>
      <c r="Y3609" s="7">
        <f ca="1">X3608</f>
        <v>76.923076923076934</v>
      </c>
      <c r="Z3609" s="7">
        <f ca="1">Y3608</f>
        <v>38.461538461538474</v>
      </c>
    </row>
    <row r="3610" spans="1:27" x14ac:dyDescent="0.3">
      <c r="A3610" t="s">
        <v>347</v>
      </c>
      <c r="C3610" s="23"/>
      <c r="D3610" s="23"/>
      <c r="E3610" s="23"/>
      <c r="Y3610" s="7"/>
      <c r="Z3610" s="7"/>
    </row>
    <row r="3611" spans="1:27" x14ac:dyDescent="0.3">
      <c r="A3611" t="s">
        <v>347</v>
      </c>
      <c r="C3611" s="23"/>
      <c r="D3611" s="23"/>
      <c r="E3611" s="23"/>
      <c r="Y3611" s="7"/>
      <c r="Z3611" s="7"/>
    </row>
    <row r="3612" spans="1:27" x14ac:dyDescent="0.3">
      <c r="A3612" t="s">
        <v>347</v>
      </c>
      <c r="C3612" s="11"/>
      <c r="D3612" s="11"/>
      <c r="E3612" s="11" t="s">
        <v>130</v>
      </c>
      <c r="W3612" s="8">
        <f ca="1">SUM(W3613:W3616)</f>
        <v>69385.086410363074</v>
      </c>
      <c r="X3612" s="8">
        <f ca="1">SUM(X3613:X3616)</f>
        <v>9324.3264567687202</v>
      </c>
      <c r="Y3612" s="8">
        <f ca="1">SUM(Y3613:Y3616)</f>
        <v>7264.0325917702066</v>
      </c>
      <c r="Z3612" s="8">
        <f ca="1">SUM(Z3613:Z3616)</f>
        <v>7259.9070010102951</v>
      </c>
    </row>
    <row r="3613" spans="1:27" x14ac:dyDescent="0.3">
      <c r="A3613" t="s">
        <v>347</v>
      </c>
      <c r="C3613" s="23"/>
      <c r="D3613" s="23"/>
      <c r="E3613" s="23" t="s">
        <v>120</v>
      </c>
      <c r="W3613" s="7">
        <f t="shared" ref="W3613:Y3613" ca="1" si="205">W3607*W3595</f>
        <v>60421.462807110431</v>
      </c>
      <c r="X3613" s="7">
        <f t="shared" ca="1" si="205"/>
        <v>2062.7953799559391</v>
      </c>
      <c r="Y3613" s="7">
        <f t="shared" ca="1" si="205"/>
        <v>0</v>
      </c>
    </row>
    <row r="3614" spans="1:27" x14ac:dyDescent="0.3">
      <c r="A3614" t="s">
        <v>347</v>
      </c>
      <c r="C3614" s="24"/>
      <c r="D3614" s="24"/>
      <c r="E3614" s="24" t="s">
        <v>122</v>
      </c>
      <c r="W3614" s="7">
        <f t="shared" ref="W3614:Y3614" ca="1" si="206">W3608*W3596</f>
        <v>8963.6236032526431</v>
      </c>
      <c r="X3614" s="7">
        <f t="shared" ca="1" si="206"/>
        <v>90.632194210665716</v>
      </c>
      <c r="Y3614" s="7">
        <f t="shared" ca="1" si="206"/>
        <v>20.627953799559389</v>
      </c>
      <c r="Z3614" s="7">
        <f>Z3608*Z3596</f>
        <v>0</v>
      </c>
    </row>
    <row r="3615" spans="1:27" x14ac:dyDescent="0.3">
      <c r="A3615" t="s">
        <v>347</v>
      </c>
      <c r="C3615" s="23"/>
      <c r="D3615" s="23"/>
      <c r="E3615" s="23" t="s">
        <v>121</v>
      </c>
      <c r="X3615" s="7">
        <f ca="1">X3609*X3597</f>
        <v>7170.898882602115</v>
      </c>
      <c r="Y3615" s="7">
        <f ca="1">Y3609*Y3597</f>
        <v>72.505755368532576</v>
      </c>
      <c r="Z3615" s="7">
        <f ca="1">Z3609*Z3597</f>
        <v>16.502363039647513</v>
      </c>
    </row>
    <row r="3616" spans="1:27" x14ac:dyDescent="0.3">
      <c r="A3616" t="s">
        <v>347</v>
      </c>
      <c r="C3616" s="23"/>
      <c r="D3616" s="23"/>
      <c r="E3616" s="23" t="s">
        <v>299</v>
      </c>
      <c r="Y3616" s="8">
        <f ca="1">X3615</f>
        <v>7170.898882602115</v>
      </c>
      <c r="Z3616" s="8">
        <f ca="1">Y3616+Y3615</f>
        <v>7243.4046379706479</v>
      </c>
      <c r="AA3616" s="8">
        <f ca="1">Z3616+Z3615</f>
        <v>7259.9070010102951</v>
      </c>
    </row>
    <row r="3617" spans="1:26" x14ac:dyDescent="0.3">
      <c r="A3617" t="s">
        <v>347</v>
      </c>
      <c r="C3617" s="23"/>
      <c r="D3617" s="23"/>
      <c r="E3617" s="23"/>
    </row>
    <row r="3618" spans="1:26" x14ac:dyDescent="0.3">
      <c r="A3618" t="s">
        <v>347</v>
      </c>
      <c r="C3618" s="105"/>
      <c r="D3618" s="105"/>
      <c r="E3618" s="105" t="s">
        <v>300</v>
      </c>
      <c r="O3618" s="8"/>
      <c r="P3618" s="8"/>
      <c r="Q3618" s="8"/>
      <c r="R3618" s="8"/>
      <c r="S3618" s="8"/>
      <c r="T3618" s="8"/>
      <c r="U3618" s="8"/>
      <c r="V3618" s="8">
        <f ca="1">AA3616</f>
        <v>7259.9070010102951</v>
      </c>
    </row>
    <row r="3619" spans="1:26" x14ac:dyDescent="0.3">
      <c r="A3619" t="s">
        <v>347</v>
      </c>
      <c r="C3619" s="23"/>
      <c r="D3619" s="23"/>
      <c r="E3619" s="23"/>
    </row>
    <row r="3620" spans="1:26" x14ac:dyDescent="0.3">
      <c r="A3620" t="s">
        <v>347</v>
      </c>
      <c r="C3620" s="11"/>
      <c r="D3620" s="11"/>
      <c r="E3620" s="11" t="s">
        <v>140</v>
      </c>
      <c r="W3620" s="8">
        <f ca="1">SUM(W3622:W3625)</f>
        <v>87611.12107031011</v>
      </c>
      <c r="X3620" s="8">
        <f ca="1">SUM(X3622:X3625)</f>
        <v>2660.3702868394475</v>
      </c>
      <c r="Y3620" s="8">
        <f ca="1">SUM(Y3622:Y3625)</f>
        <v>2060.2938649985122</v>
      </c>
      <c r="Z3620" s="8">
        <f ca="1">SUM(Z3622:Z3625)</f>
        <v>4.1255907599118755</v>
      </c>
    </row>
    <row r="3621" spans="1:26" x14ac:dyDescent="0.3">
      <c r="A3621" t="s">
        <v>347</v>
      </c>
      <c r="C3621" s="11"/>
      <c r="D3621" s="11"/>
      <c r="E3621" s="11"/>
      <c r="W3621" s="8"/>
      <c r="X3621" s="8"/>
      <c r="Y3621" s="8"/>
      <c r="Z3621" s="8"/>
    </row>
    <row r="3622" spans="1:26" x14ac:dyDescent="0.3">
      <c r="A3622" t="s">
        <v>347</v>
      </c>
      <c r="E3622" t="s">
        <v>131</v>
      </c>
      <c r="G3622" s="23" t="s">
        <v>120</v>
      </c>
      <c r="W3622" s="6">
        <f ca="1">W3631*W3576</f>
        <v>86100.584500132347</v>
      </c>
    </row>
    <row r="3623" spans="1:26" x14ac:dyDescent="0.3">
      <c r="A3623" t="s">
        <v>347</v>
      </c>
      <c r="G3623" s="23"/>
      <c r="W3623" s="6"/>
    </row>
    <row r="3624" spans="1:26" x14ac:dyDescent="0.3">
      <c r="A3624" t="s">
        <v>347</v>
      </c>
      <c r="E3624" t="s">
        <v>200</v>
      </c>
      <c r="G3624" s="23" t="s">
        <v>120</v>
      </c>
      <c r="W3624" s="6">
        <f ca="1">W3633*W3575</f>
        <v>1510.5365701777616</v>
      </c>
      <c r="X3624" s="27">
        <f ca="1">X3603*X3575</f>
        <v>1465.2204730724288</v>
      </c>
      <c r="Y3624" s="27">
        <f ca="1">Y3603*Y3575</f>
        <v>2042.167426156379</v>
      </c>
      <c r="Z3624" s="27">
        <f>Z3603*Z3575</f>
        <v>0</v>
      </c>
    </row>
    <row r="3625" spans="1:26" x14ac:dyDescent="0.3">
      <c r="A3625" t="s">
        <v>347</v>
      </c>
      <c r="E3625" t="s">
        <v>200</v>
      </c>
      <c r="G3625" s="24" t="s">
        <v>122</v>
      </c>
      <c r="W3625" s="6"/>
      <c r="X3625" s="27">
        <f ca="1">X3604*(W3575+X3575)</f>
        <v>1195.1498137670187</v>
      </c>
      <c r="Y3625" s="27">
        <f ca="1">Y3604*(X3575+Y3575)</f>
        <v>18.126438842133133</v>
      </c>
      <c r="Z3625" s="27">
        <f ca="1">Z3604*(Y3575+Z3575)</f>
        <v>4.1255907599118755</v>
      </c>
    </row>
    <row r="3626" spans="1:26" x14ac:dyDescent="0.3">
      <c r="A3626" t="s">
        <v>347</v>
      </c>
    </row>
    <row r="3627" spans="1:26" x14ac:dyDescent="0.3">
      <c r="A3627" t="s">
        <v>347</v>
      </c>
      <c r="C3627" s="11"/>
      <c r="D3627" s="11"/>
      <c r="E3627" s="11" t="s">
        <v>283</v>
      </c>
      <c r="W3627" s="8">
        <f ca="1">SUM(W3624:Z3625)</f>
        <v>6235.3263127756327</v>
      </c>
    </row>
    <row r="3628" spans="1:26" x14ac:dyDescent="0.3">
      <c r="A3628" t="s">
        <v>347</v>
      </c>
    </row>
    <row r="3629" spans="1:26" x14ac:dyDescent="0.3">
      <c r="A3629" t="s">
        <v>347</v>
      </c>
      <c r="E3629" t="s">
        <v>202</v>
      </c>
      <c r="W3629" s="28">
        <f ca="1">W3631*(X3575+Y3575)</f>
        <v>57400.389666754891</v>
      </c>
    </row>
    <row r="3630" spans="1:26" x14ac:dyDescent="0.3">
      <c r="A3630" t="s">
        <v>347</v>
      </c>
    </row>
    <row r="3631" spans="1:26" x14ac:dyDescent="0.3">
      <c r="A3631" t="s">
        <v>347</v>
      </c>
      <c r="B3631" t="str">
        <f>C3542</f>
        <v>IL 14/1.1.1.1.1.1.1.1.1.1.1.1.1</v>
      </c>
      <c r="C3631" t="str">
        <f>C3551</f>
        <v>IL 15/1.1.1.1.1.1.1.1.1.1.1.1.1.1</v>
      </c>
      <c r="E3631" s="72" t="s">
        <v>132</v>
      </c>
      <c r="W3631" s="73">
        <f ca="1">W3595*V3577</f>
        <v>746.20506566781364</v>
      </c>
    </row>
    <row r="3632" spans="1:26" x14ac:dyDescent="0.3">
      <c r="A3632" t="s">
        <v>347</v>
      </c>
    </row>
    <row r="3633" spans="1:23" x14ac:dyDescent="0.3">
      <c r="A3633" t="s">
        <v>347</v>
      </c>
      <c r="E3633" t="s">
        <v>201</v>
      </c>
      <c r="P3633" s="7"/>
      <c r="Q3633" s="7"/>
      <c r="R3633" s="7"/>
      <c r="S3633" s="7"/>
      <c r="T3633" s="7"/>
      <c r="U3633" s="7"/>
      <c r="V3633" s="7"/>
      <c r="W3633" s="7">
        <f ca="1">W3595*V3578</f>
        <v>39.273950824621807</v>
      </c>
    </row>
  </sheetData>
  <mergeCells count="55">
    <mergeCell ref="E3549:Y3549"/>
    <mergeCell ref="Z3549:AT3549"/>
    <mergeCell ref="E3282:Y3282"/>
    <mergeCell ref="Z3282:AT3282"/>
    <mergeCell ref="E3371:Y3371"/>
    <mergeCell ref="Z3371:AT3371"/>
    <mergeCell ref="E3460:Y3460"/>
    <mergeCell ref="Z3460:AT3460"/>
    <mergeCell ref="E3015:Y3015"/>
    <mergeCell ref="Z3015:AT3015"/>
    <mergeCell ref="E3104:Y3104"/>
    <mergeCell ref="Z3104:AT3104"/>
    <mergeCell ref="E3193:Y3193"/>
    <mergeCell ref="Z3193:AT3193"/>
    <mergeCell ref="E2400:AH2400"/>
    <mergeCell ref="E2487:AH2487"/>
    <mergeCell ref="E2574:Y2574"/>
    <mergeCell ref="Z2574:AT2574"/>
    <mergeCell ref="E2661:AH2661"/>
    <mergeCell ref="E2313:AH2313"/>
    <mergeCell ref="E1342:Y1342"/>
    <mergeCell ref="E1429:Y1429"/>
    <mergeCell ref="E1518:Y1518"/>
    <mergeCell ref="E1607:Y1607"/>
    <mergeCell ref="E1694:AH1694"/>
    <mergeCell ref="E1783:AH1783"/>
    <mergeCell ref="E1872:AH1872"/>
    <mergeCell ref="E1959:Y1959"/>
    <mergeCell ref="E2048:AH2048"/>
    <mergeCell ref="E2137:Y2137"/>
    <mergeCell ref="E2226:Y2226"/>
    <mergeCell ref="E1255:AH1255"/>
    <mergeCell ref="E298:Y298"/>
    <mergeCell ref="E385:AH385"/>
    <mergeCell ref="E472:Y472"/>
    <mergeCell ref="E559:AH559"/>
    <mergeCell ref="E646:Y646"/>
    <mergeCell ref="E733:AH733"/>
    <mergeCell ref="E820:Y820"/>
    <mergeCell ref="E907:Y907"/>
    <mergeCell ref="E994:AH994"/>
    <mergeCell ref="E1081:AH1081"/>
    <mergeCell ref="E1168:Y1168"/>
    <mergeCell ref="E46:AJ46"/>
    <mergeCell ref="E124:M124"/>
    <mergeCell ref="N124:V124"/>
    <mergeCell ref="W124:AE124"/>
    <mergeCell ref="E211:S211"/>
    <mergeCell ref="T211:AH211"/>
    <mergeCell ref="E2748:Y2748"/>
    <mergeCell ref="Z2748:AT2748"/>
    <mergeCell ref="E2837:Y2837"/>
    <mergeCell ref="Z2837:AT2837"/>
    <mergeCell ref="E2926:Y2926"/>
    <mergeCell ref="Z2926:AT2926"/>
  </mergeCells>
  <phoneticPr fontId="5" type="noConversion"/>
  <hyperlinks>
    <hyperlink ref="E1256" location="Model!A504" display="From (7) IL 3/2.2" xr:uid="{B31AF4A9-6755-4FD7-8A8F-BB65A606D2D1}"/>
  </hyperlink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4D2A4-7D2A-4D66-9AE2-D5D477EB4C1A}">
  <sheetPr codeName="Sheet1">
    <tabColor rgb="FF9933FF"/>
  </sheetPr>
  <dimension ref="A2:AB110"/>
  <sheetViews>
    <sheetView topLeftCell="A2" zoomScale="70" zoomScaleNormal="70" workbookViewId="0">
      <pane ySplit="1" topLeftCell="A3" activePane="bottomLeft" state="frozen"/>
      <selection activeCell="A2" sqref="A2"/>
      <selection pane="bottomLeft" activeCell="I57" sqref="I57:K57"/>
    </sheetView>
  </sheetViews>
  <sheetFormatPr defaultRowHeight="15.6" x14ac:dyDescent="0.3"/>
  <cols>
    <col min="1" max="1" width="3" customWidth="1"/>
    <col min="2" max="2" width="3.59765625" customWidth="1"/>
    <col min="3" max="3" width="15.69921875" style="35" customWidth="1"/>
    <col min="4" max="5" width="15.59765625" style="35" customWidth="1"/>
    <col min="6" max="6" width="15.69921875" style="35" customWidth="1"/>
    <col min="7" max="7" width="15.59765625" style="35" customWidth="1"/>
    <col min="8" max="8" width="15.69921875" style="35" customWidth="1"/>
    <col min="9" max="9" width="15.59765625" style="35" customWidth="1"/>
    <col min="10" max="12" width="15.69921875" style="35" customWidth="1"/>
    <col min="13" max="13" width="15.59765625" style="35" customWidth="1"/>
    <col min="14" max="14" width="15.5" customWidth="1"/>
    <col min="15" max="15" width="15.59765625" customWidth="1"/>
    <col min="16" max="16" width="14.19921875" customWidth="1"/>
    <col min="17" max="17" width="13.8984375" customWidth="1"/>
  </cols>
  <sheetData>
    <row r="2" spans="3:27" x14ac:dyDescent="0.3">
      <c r="C2" s="35">
        <v>1</v>
      </c>
      <c r="D2" s="35">
        <v>2</v>
      </c>
      <c r="E2" s="35">
        <v>3</v>
      </c>
      <c r="F2" s="35">
        <v>4</v>
      </c>
      <c r="G2" s="35">
        <v>5</v>
      </c>
      <c r="H2" s="35">
        <v>6</v>
      </c>
      <c r="I2" s="35">
        <v>7</v>
      </c>
      <c r="J2" s="35">
        <v>8</v>
      </c>
      <c r="K2" s="35">
        <v>9</v>
      </c>
      <c r="L2" s="35">
        <v>10</v>
      </c>
      <c r="M2" s="35">
        <v>11</v>
      </c>
      <c r="N2" s="35">
        <v>12</v>
      </c>
      <c r="O2" s="35">
        <v>13</v>
      </c>
      <c r="P2" s="35">
        <v>14</v>
      </c>
      <c r="Q2" s="35">
        <v>15</v>
      </c>
      <c r="R2" s="35">
        <v>16</v>
      </c>
    </row>
    <row r="3" spans="3:27" ht="16.2" thickBot="1" x14ac:dyDescent="0.35"/>
    <row r="4" spans="3:27" ht="16.2" thickBot="1" x14ac:dyDescent="0.35">
      <c r="C4" s="93" t="s">
        <v>207</v>
      </c>
      <c r="V4">
        <v>0.3</v>
      </c>
      <c r="W4">
        <v>0.05</v>
      </c>
      <c r="X4">
        <v>0.03</v>
      </c>
    </row>
    <row r="5" spans="3:27" x14ac:dyDescent="0.3">
      <c r="C5" s="167" t="s">
        <v>228</v>
      </c>
      <c r="D5" s="167"/>
      <c r="E5" s="167"/>
    </row>
    <row r="6" spans="3:27" x14ac:dyDescent="0.3"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W6">
        <v>0.7</v>
      </c>
      <c r="X6">
        <v>0.7</v>
      </c>
      <c r="Y6">
        <v>0.7</v>
      </c>
    </row>
    <row r="7" spans="3:27" ht="16.2" thickBot="1" x14ac:dyDescent="0.35">
      <c r="D7" s="31"/>
    </row>
    <row r="8" spans="3:27" ht="16.2" thickBot="1" x14ac:dyDescent="0.35">
      <c r="D8" s="34" t="s">
        <v>208</v>
      </c>
      <c r="X8">
        <v>1</v>
      </c>
      <c r="Y8">
        <v>1</v>
      </c>
      <c r="Z8">
        <v>1</v>
      </c>
    </row>
    <row r="9" spans="3:27" x14ac:dyDescent="0.3">
      <c r="C9" s="47"/>
      <c r="D9" s="165" t="s">
        <v>214</v>
      </c>
      <c r="E9" s="165"/>
      <c r="F9" s="165"/>
      <c r="Y9">
        <v>1</v>
      </c>
      <c r="Z9">
        <v>1</v>
      </c>
      <c r="AA9">
        <v>1</v>
      </c>
    </row>
    <row r="11" spans="3:27" ht="16.2" thickBot="1" x14ac:dyDescent="0.35">
      <c r="F11" s="49" t="s">
        <v>209</v>
      </c>
      <c r="V11">
        <f>V4</f>
        <v>0.3</v>
      </c>
      <c r="W11">
        <f>(1-V11)*W4</f>
        <v>3.4999999999999996E-2</v>
      </c>
    </row>
    <row r="12" spans="3:27" x14ac:dyDescent="0.3">
      <c r="D12" s="37"/>
      <c r="E12" s="37"/>
      <c r="F12" s="169" t="s">
        <v>217</v>
      </c>
      <c r="G12" s="169"/>
      <c r="H12" s="169"/>
    </row>
    <row r="13" spans="3:27" ht="24" customHeight="1" x14ac:dyDescent="0.3"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W13">
        <f>V11*W6</f>
        <v>0.21</v>
      </c>
    </row>
    <row r="14" spans="3:27" ht="16.2" thickBot="1" x14ac:dyDescent="0.35">
      <c r="F14" s="33"/>
      <c r="G14" s="53"/>
      <c r="K14" s="37"/>
      <c r="L14" s="37"/>
      <c r="M14" s="37"/>
    </row>
    <row r="15" spans="3:27" ht="16.2" thickBot="1" x14ac:dyDescent="0.35">
      <c r="E15" s="34" t="s">
        <v>210</v>
      </c>
      <c r="K15" s="37"/>
      <c r="L15" s="37"/>
      <c r="M15" s="37"/>
    </row>
    <row r="16" spans="3:27" x14ac:dyDescent="0.3">
      <c r="E16" s="165" t="s">
        <v>227</v>
      </c>
      <c r="F16" s="165"/>
      <c r="G16" s="165" t="s">
        <v>144</v>
      </c>
      <c r="K16" s="37"/>
      <c r="L16" s="37"/>
      <c r="M16" s="37"/>
    </row>
    <row r="18" spans="1:24" ht="16.2" thickBot="1" x14ac:dyDescent="0.35">
      <c r="E18" s="47"/>
      <c r="F18" s="53"/>
      <c r="G18" s="49" t="s">
        <v>205</v>
      </c>
    </row>
    <row r="19" spans="1:24" x14ac:dyDescent="0.3">
      <c r="D19" s="47"/>
      <c r="E19" s="47"/>
      <c r="F19" s="53"/>
      <c r="G19" s="167" t="s">
        <v>213</v>
      </c>
      <c r="H19" s="167"/>
      <c r="I19" s="167"/>
    </row>
    <row r="20" spans="1:24" ht="16.2" thickBot="1" x14ac:dyDescent="0.35"/>
    <row r="21" spans="1:24" ht="16.2" thickBot="1" x14ac:dyDescent="0.35">
      <c r="G21" s="51" t="s">
        <v>211</v>
      </c>
    </row>
    <row r="22" spans="1:24" x14ac:dyDescent="0.3">
      <c r="G22" s="165" t="s">
        <v>216</v>
      </c>
      <c r="H22" s="165"/>
      <c r="I22" s="165"/>
    </row>
    <row r="24" spans="1:24" ht="16.2" thickBot="1" x14ac:dyDescent="0.35">
      <c r="F24" s="47"/>
      <c r="H24" s="52"/>
      <c r="I24" s="49" t="s">
        <v>212</v>
      </c>
    </row>
    <row r="25" spans="1:24" x14ac:dyDescent="0.3">
      <c r="I25" s="167" t="s">
        <v>229</v>
      </c>
      <c r="J25" s="167"/>
      <c r="K25" s="167"/>
    </row>
    <row r="26" spans="1:24" x14ac:dyDescent="0.3">
      <c r="A26" s="62"/>
      <c r="B26" s="62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</row>
    <row r="27" spans="1:24" ht="15.6" customHeight="1" thickBot="1" x14ac:dyDescent="0.35"/>
    <row r="28" spans="1:24" ht="16.2" thickBot="1" x14ac:dyDescent="0.35">
      <c r="F28" s="54" t="s">
        <v>222</v>
      </c>
    </row>
    <row r="29" spans="1:24" ht="16.2" thickBot="1" x14ac:dyDescent="0.35">
      <c r="F29" s="165" t="s">
        <v>223</v>
      </c>
      <c r="G29" s="165"/>
      <c r="H29" s="165"/>
    </row>
    <row r="30" spans="1:24" ht="16.2" thickBot="1" x14ac:dyDescent="0.35">
      <c r="G30" s="40"/>
    </row>
    <row r="31" spans="1:24" ht="16.2" thickBot="1" x14ac:dyDescent="0.35">
      <c r="H31" s="38" t="s">
        <v>225</v>
      </c>
      <c r="K31" s="47"/>
      <c r="L31" s="68"/>
      <c r="M31" s="67"/>
      <c r="N31" s="32"/>
    </row>
    <row r="32" spans="1:24" x14ac:dyDescent="0.3">
      <c r="H32" s="167" t="s">
        <v>226</v>
      </c>
      <c r="I32" s="167"/>
      <c r="J32" s="167"/>
      <c r="K32" s="47"/>
      <c r="L32" s="68"/>
      <c r="M32" s="67"/>
      <c r="N32" s="32"/>
      <c r="V32">
        <f>1</f>
        <v>1</v>
      </c>
      <c r="W32">
        <f>V32*(1-V4)</f>
        <v>0.7</v>
      </c>
      <c r="X32">
        <f>W32*(1-W4)+W41*(1-W6)</f>
        <v>0.75499999999999989</v>
      </c>
    </row>
    <row r="33" spans="5:27" ht="16.2" thickBot="1" x14ac:dyDescent="0.35">
      <c r="N33" s="32"/>
    </row>
    <row r="34" spans="5:27" ht="16.2" thickBot="1" x14ac:dyDescent="0.35">
      <c r="H34" s="34" t="s">
        <v>231</v>
      </c>
      <c r="N34" s="32"/>
    </row>
    <row r="35" spans="5:27" x14ac:dyDescent="0.3">
      <c r="H35" s="165" t="s">
        <v>232</v>
      </c>
      <c r="I35" s="165"/>
      <c r="J35" s="165"/>
      <c r="L35" s="37"/>
      <c r="M35" s="37"/>
      <c r="N35" s="32"/>
    </row>
    <row r="36" spans="5:27" ht="16.2" thickBot="1" x14ac:dyDescent="0.35">
      <c r="E36" s="47"/>
      <c r="F36" s="31"/>
      <c r="G36" s="53"/>
    </row>
    <row r="37" spans="5:27" ht="16.2" thickBot="1" x14ac:dyDescent="0.35">
      <c r="E37" s="47"/>
      <c r="F37" s="31"/>
      <c r="G37" s="53"/>
      <c r="H37" s="51" t="s">
        <v>235</v>
      </c>
    </row>
    <row r="38" spans="5:27" x14ac:dyDescent="0.3">
      <c r="E38" s="47"/>
      <c r="F38" s="31"/>
      <c r="G38" s="53"/>
      <c r="H38" s="165" t="s">
        <v>236</v>
      </c>
      <c r="I38" s="165"/>
      <c r="J38" s="165"/>
      <c r="K38" s="59"/>
    </row>
    <row r="39" spans="5:27" x14ac:dyDescent="0.3">
      <c r="E39" s="47"/>
      <c r="F39" s="31"/>
      <c r="G39" s="53"/>
      <c r="K39" s="59"/>
    </row>
    <row r="40" spans="5:27" ht="16.2" thickBot="1" x14ac:dyDescent="0.35">
      <c r="E40" s="47"/>
      <c r="F40" s="31"/>
      <c r="G40" s="53"/>
    </row>
    <row r="41" spans="5:27" ht="16.2" thickBot="1" x14ac:dyDescent="0.35">
      <c r="E41" s="55"/>
      <c r="G41" s="52"/>
      <c r="J41" s="42" t="s">
        <v>238</v>
      </c>
      <c r="W41">
        <f>V32*V4</f>
        <v>0.3</v>
      </c>
      <c r="X41">
        <f>W32*W4</f>
        <v>3.4999999999999996E-2</v>
      </c>
      <c r="Y41">
        <f>X32*X4</f>
        <v>2.2649999999999997E-2</v>
      </c>
      <c r="Z41">
        <f>Y32*Y4</f>
        <v>0</v>
      </c>
    </row>
    <row r="42" spans="5:27" x14ac:dyDescent="0.3">
      <c r="J42" s="167" t="s">
        <v>239</v>
      </c>
      <c r="K42" s="167"/>
      <c r="L42" s="167"/>
    </row>
    <row r="43" spans="5:27" x14ac:dyDescent="0.3">
      <c r="X43">
        <f>W41*W6</f>
        <v>0.21</v>
      </c>
      <c r="Y43">
        <f>X41*X6</f>
        <v>2.4499999999999997E-2</v>
      </c>
      <c r="Z43">
        <f>Y41*Y6</f>
        <v>1.5854999999999998E-2</v>
      </c>
      <c r="AA43">
        <f>Z41*Z6</f>
        <v>0</v>
      </c>
    </row>
    <row r="44" spans="5:27" ht="16.2" thickBot="1" x14ac:dyDescent="0.35">
      <c r="F44" s="37"/>
      <c r="G44" s="37"/>
      <c r="J44" s="49" t="s">
        <v>241</v>
      </c>
    </row>
    <row r="45" spans="5:27" x14ac:dyDescent="0.3">
      <c r="F45" s="37"/>
      <c r="G45" s="37"/>
      <c r="H45" s="37"/>
      <c r="J45" s="167" t="s">
        <v>242</v>
      </c>
      <c r="K45" s="167"/>
      <c r="L45" s="167"/>
    </row>
    <row r="46" spans="5:27" ht="16.2" thickBot="1" x14ac:dyDescent="0.35">
      <c r="F46" s="37"/>
      <c r="G46" s="37"/>
      <c r="H46" s="37"/>
    </row>
    <row r="47" spans="5:27" ht="16.2" thickBot="1" x14ac:dyDescent="0.35">
      <c r="F47" s="37"/>
      <c r="G47" s="37"/>
      <c r="H47" s="37"/>
      <c r="J47" s="34" t="s">
        <v>244</v>
      </c>
    </row>
    <row r="48" spans="5:27" x14ac:dyDescent="0.3">
      <c r="F48" s="37"/>
      <c r="G48" s="37"/>
      <c r="H48" s="37"/>
      <c r="J48" s="165" t="s">
        <v>245</v>
      </c>
      <c r="K48" s="165"/>
      <c r="L48" s="165"/>
    </row>
    <row r="49" spans="1:28" ht="16.2" thickBot="1" x14ac:dyDescent="0.35">
      <c r="F49" s="37"/>
      <c r="G49" s="37"/>
      <c r="H49" s="37"/>
    </row>
    <row r="50" spans="1:28" ht="16.2" thickBot="1" x14ac:dyDescent="0.35">
      <c r="F50" s="37"/>
      <c r="G50" s="37"/>
      <c r="L50" s="42" t="s">
        <v>247</v>
      </c>
    </row>
    <row r="51" spans="1:28" x14ac:dyDescent="0.3">
      <c r="F51" s="37"/>
      <c r="G51" s="37"/>
      <c r="H51" s="37"/>
      <c r="L51" s="167" t="s">
        <v>248</v>
      </c>
      <c r="M51" s="167"/>
      <c r="N51" s="167"/>
    </row>
    <row r="52" spans="1:28" x14ac:dyDescent="0.3">
      <c r="F52" s="37"/>
      <c r="G52" s="37"/>
      <c r="H52" s="37"/>
      <c r="L52" s="57"/>
      <c r="M52" s="57"/>
      <c r="N52" s="63"/>
    </row>
    <row r="53" spans="1:28" x14ac:dyDescent="0.3">
      <c r="A53" s="62"/>
      <c r="B53" s="62"/>
      <c r="C53" s="61"/>
      <c r="D53" s="61"/>
      <c r="E53" s="61"/>
      <c r="F53" s="64"/>
      <c r="G53" s="64"/>
      <c r="H53" s="64"/>
      <c r="I53" s="61"/>
      <c r="J53" s="61"/>
      <c r="K53" s="61"/>
      <c r="L53" s="65"/>
      <c r="M53" s="65"/>
      <c r="N53" s="66"/>
      <c r="O53" s="62"/>
      <c r="P53" s="62"/>
      <c r="Q53" s="62"/>
      <c r="R53" s="62"/>
      <c r="S53" s="62"/>
      <c r="T53" s="62"/>
    </row>
    <row r="54" spans="1:28" x14ac:dyDescent="0.3">
      <c r="J54" s="37"/>
      <c r="K54" s="37"/>
    </row>
    <row r="55" spans="1:28" x14ac:dyDescent="0.3">
      <c r="G55" s="165" t="s">
        <v>251</v>
      </c>
      <c r="H55" s="165"/>
      <c r="I55" s="165"/>
      <c r="Z55" t="e">
        <f>#REF!*Y9</f>
        <v>#REF!</v>
      </c>
      <c r="AA55" t="e">
        <f>#REF!*Z9+Z55</f>
        <v>#REF!</v>
      </c>
      <c r="AB55" t="e">
        <f>#REF!*AA9+AA55</f>
        <v>#REF!</v>
      </c>
    </row>
    <row r="56" spans="1:28" x14ac:dyDescent="0.3">
      <c r="G56" s="37"/>
      <c r="AA56" t="e">
        <f>Z55*Z11</f>
        <v>#REF!</v>
      </c>
    </row>
    <row r="57" spans="1:28" x14ac:dyDescent="0.3">
      <c r="G57" s="37"/>
      <c r="I57" s="168" t="s">
        <v>256</v>
      </c>
      <c r="J57" s="168"/>
      <c r="K57" s="168"/>
    </row>
    <row r="58" spans="1:28" x14ac:dyDescent="0.3">
      <c r="G58" s="37"/>
    </row>
    <row r="59" spans="1:28" x14ac:dyDescent="0.3">
      <c r="I59" s="165" t="s">
        <v>258</v>
      </c>
      <c r="J59" s="165"/>
      <c r="K59" s="165"/>
    </row>
    <row r="60" spans="1:28" x14ac:dyDescent="0.3">
      <c r="G60" s="37"/>
    </row>
    <row r="61" spans="1:28" x14ac:dyDescent="0.3">
      <c r="G61" s="37"/>
      <c r="I61" s="165" t="s">
        <v>259</v>
      </c>
      <c r="J61" s="165"/>
      <c r="K61" s="165"/>
    </row>
    <row r="62" spans="1:28" x14ac:dyDescent="0.3">
      <c r="Y62">
        <f>X32*(1-X4)+X41*(1-X6)</f>
        <v>0.74284999999999979</v>
      </c>
      <c r="Z62">
        <f>Y41*(1-Y6)+Y43*(1-Y8)+Y62</f>
        <v>0.74964499999999978</v>
      </c>
      <c r="AA62" t="e">
        <f>Z43*(1-Z8)+#REF!*(1-Z9)+Z62</f>
        <v>#REF!</v>
      </c>
      <c r="AB62" t="e">
        <f>AA43*(1-AA8)+#REF!*(1-AA9)+AA62</f>
        <v>#REF!</v>
      </c>
    </row>
    <row r="64" spans="1:28" x14ac:dyDescent="0.3">
      <c r="J64" s="167" t="s">
        <v>262</v>
      </c>
      <c r="K64" s="167"/>
      <c r="L64" s="167"/>
    </row>
    <row r="65" spans="9:15" x14ac:dyDescent="0.3">
      <c r="I65" s="37"/>
    </row>
    <row r="67" spans="9:15" x14ac:dyDescent="0.3">
      <c r="K67" s="167" t="s">
        <v>265</v>
      </c>
      <c r="L67" s="167"/>
      <c r="M67" s="167"/>
    </row>
    <row r="69" spans="9:15" x14ac:dyDescent="0.3">
      <c r="K69" s="167" t="s">
        <v>266</v>
      </c>
      <c r="L69" s="167"/>
      <c r="M69" s="167"/>
    </row>
    <row r="70" spans="9:15" x14ac:dyDescent="0.3">
      <c r="I70" s="37"/>
    </row>
    <row r="71" spans="9:15" x14ac:dyDescent="0.3">
      <c r="K71" s="168" t="s">
        <v>267</v>
      </c>
      <c r="L71" s="168"/>
      <c r="M71" s="168"/>
    </row>
    <row r="73" spans="9:15" x14ac:dyDescent="0.3">
      <c r="K73" s="166" t="s">
        <v>270</v>
      </c>
      <c r="L73" s="166"/>
      <c r="M73" s="166"/>
    </row>
    <row r="75" spans="9:15" x14ac:dyDescent="0.3">
      <c r="J75" s="37"/>
      <c r="K75" s="165" t="s">
        <v>271</v>
      </c>
      <c r="L75" s="165"/>
      <c r="M75" s="165"/>
    </row>
    <row r="76" spans="9:15" x14ac:dyDescent="0.3">
      <c r="K76" s="57"/>
      <c r="L76" s="57"/>
      <c r="M76" s="57"/>
    </row>
    <row r="77" spans="9:15" x14ac:dyDescent="0.3">
      <c r="K77" s="165" t="s">
        <v>272</v>
      </c>
      <c r="L77" s="165"/>
      <c r="M77" s="165"/>
    </row>
    <row r="79" spans="9:15" x14ac:dyDescent="0.3">
      <c r="M79" s="163" t="s">
        <v>287</v>
      </c>
      <c r="N79" s="163"/>
      <c r="O79" s="163"/>
    </row>
    <row r="80" spans="9:15" x14ac:dyDescent="0.3">
      <c r="M80" s="57"/>
    </row>
    <row r="81" spans="8:17" x14ac:dyDescent="0.3">
      <c r="M81" s="163" t="s">
        <v>289</v>
      </c>
      <c r="N81" s="163"/>
      <c r="O81" s="163"/>
    </row>
    <row r="83" spans="8:17" x14ac:dyDescent="0.3">
      <c r="M83" s="163" t="s">
        <v>291</v>
      </c>
      <c r="N83" s="163"/>
      <c r="O83" s="163"/>
    </row>
    <row r="85" spans="8:17" x14ac:dyDescent="0.3">
      <c r="M85" s="165" t="s">
        <v>293</v>
      </c>
      <c r="N85" s="165"/>
      <c r="O85" s="165"/>
    </row>
    <row r="87" spans="8:17" x14ac:dyDescent="0.3">
      <c r="K87" s="57"/>
      <c r="L87" s="57"/>
      <c r="M87" s="57"/>
      <c r="O87" s="163" t="s">
        <v>297</v>
      </c>
      <c r="P87" s="163"/>
      <c r="Q87" s="163"/>
    </row>
    <row r="89" spans="8:17" x14ac:dyDescent="0.3">
      <c r="H89" s="37"/>
      <c r="I89" s="37"/>
      <c r="J89" s="164" t="s">
        <v>169</v>
      </c>
      <c r="K89" s="163"/>
      <c r="L89" s="163"/>
      <c r="M89" s="163"/>
      <c r="N89" s="163"/>
      <c r="O89" s="163"/>
    </row>
    <row r="92" spans="8:17" x14ac:dyDescent="0.3">
      <c r="L92" s="164" t="s">
        <v>170</v>
      </c>
      <c r="M92" s="163"/>
      <c r="N92" s="163"/>
      <c r="O92" s="163"/>
      <c r="P92" s="163"/>
      <c r="Q92" s="163"/>
    </row>
    <row r="95" spans="8:17" x14ac:dyDescent="0.3">
      <c r="L95" s="44" t="s">
        <v>143</v>
      </c>
      <c r="M95" s="44"/>
      <c r="N95" s="30"/>
      <c r="O95" s="30"/>
      <c r="P95" s="30"/>
      <c r="Q95" s="30"/>
    </row>
    <row r="98" spans="13:21" x14ac:dyDescent="0.3">
      <c r="M98" s="45" t="s">
        <v>143</v>
      </c>
      <c r="N98" s="30"/>
      <c r="O98" s="30"/>
      <c r="P98" s="30"/>
      <c r="Q98" s="30"/>
      <c r="R98" s="30"/>
    </row>
    <row r="101" spans="13:21" x14ac:dyDescent="0.3">
      <c r="N101" s="30" t="s">
        <v>143</v>
      </c>
      <c r="O101" s="30"/>
      <c r="P101" s="30"/>
      <c r="Q101" s="30"/>
      <c r="R101" s="30"/>
      <c r="S101" s="30"/>
    </row>
    <row r="104" spans="13:21" x14ac:dyDescent="0.3">
      <c r="N104" s="30" t="s">
        <v>143</v>
      </c>
      <c r="O104" s="30"/>
      <c r="P104" s="30"/>
      <c r="Q104" s="30"/>
      <c r="R104" s="30"/>
      <c r="S104" s="30"/>
    </row>
    <row r="107" spans="13:21" x14ac:dyDescent="0.3">
      <c r="N107" s="30" t="s">
        <v>168</v>
      </c>
      <c r="O107" s="30"/>
      <c r="P107" s="30"/>
      <c r="Q107" s="30"/>
      <c r="R107" s="30"/>
      <c r="S107" s="30"/>
    </row>
    <row r="110" spans="13:21" x14ac:dyDescent="0.3">
      <c r="P110" s="30" t="s">
        <v>167</v>
      </c>
      <c r="Q110" s="30"/>
      <c r="R110" s="30"/>
      <c r="S110" s="30"/>
      <c r="T110" s="30"/>
      <c r="U110" s="30"/>
    </row>
  </sheetData>
  <mergeCells count="33">
    <mergeCell ref="J42:L42"/>
    <mergeCell ref="C5:E5"/>
    <mergeCell ref="D9:F9"/>
    <mergeCell ref="F12:H12"/>
    <mergeCell ref="E16:G16"/>
    <mergeCell ref="G19:I19"/>
    <mergeCell ref="G22:I22"/>
    <mergeCell ref="I25:K25"/>
    <mergeCell ref="F29:H29"/>
    <mergeCell ref="H32:J32"/>
    <mergeCell ref="H35:J35"/>
    <mergeCell ref="H38:J38"/>
    <mergeCell ref="K73:M73"/>
    <mergeCell ref="J45:L45"/>
    <mergeCell ref="J48:L48"/>
    <mergeCell ref="L51:N51"/>
    <mergeCell ref="G55:I55"/>
    <mergeCell ref="I57:K57"/>
    <mergeCell ref="I59:K59"/>
    <mergeCell ref="I61:K61"/>
    <mergeCell ref="J64:L64"/>
    <mergeCell ref="K67:M67"/>
    <mergeCell ref="K69:M69"/>
    <mergeCell ref="K71:M71"/>
    <mergeCell ref="O87:Q87"/>
    <mergeCell ref="J89:O89"/>
    <mergeCell ref="L92:Q92"/>
    <mergeCell ref="K77:M77"/>
    <mergeCell ref="K75:M75"/>
    <mergeCell ref="M79:O79"/>
    <mergeCell ref="M81:O81"/>
    <mergeCell ref="M83:O83"/>
    <mergeCell ref="M85:O85"/>
  </mergeCells>
  <hyperlinks>
    <hyperlink ref="I57:K57" location="SchGrArr!H31" display="(17) IL 5/1.1.2.1.2 Full" xr:uid="{D042722A-FD1E-4F1A-847F-829756BFD971}"/>
    <hyperlink ref="K71:M71" location="SchGrArr!J41" display="(23) IL 5/1.2.2.1.2 Full" xr:uid="{7FD249DE-12D7-433C-8E8C-3EF4A4DEF838}"/>
    <hyperlink ref="K73:M73" location="SchGrArr!J38" display="(24) IL 5/2.1.1.2.2 Full" xr:uid="{B10F29B0-B4B2-443B-92C2-DDDC08D531AF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CAA32-6F31-47A4-B969-F6FBCB3EB368}">
  <dimension ref="A1:I26"/>
  <sheetViews>
    <sheetView topLeftCell="A6" zoomScaleNormal="100" workbookViewId="0">
      <selection activeCell="I21" sqref="I21"/>
    </sheetView>
  </sheetViews>
  <sheetFormatPr defaultRowHeight="15.6" x14ac:dyDescent="0.3"/>
  <cols>
    <col min="1" max="1" width="9" style="129"/>
    <col min="2" max="2" width="12.59765625" style="129" customWidth="1"/>
    <col min="3" max="3" width="13" style="129" customWidth="1"/>
    <col min="4" max="4" width="13.09765625" style="129" customWidth="1"/>
    <col min="5" max="5" width="12.19921875" style="129" customWidth="1"/>
    <col min="6" max="9" width="9" style="129"/>
  </cols>
  <sheetData>
    <row r="1" spans="1:9" ht="76.8" x14ac:dyDescent="0.3">
      <c r="A1" s="130" t="s">
        <v>321</v>
      </c>
      <c r="B1" s="130" t="s">
        <v>322</v>
      </c>
      <c r="C1" s="130" t="s">
        <v>323</v>
      </c>
      <c r="D1" s="130" t="s">
        <v>323</v>
      </c>
      <c r="E1" s="130" t="s">
        <v>323</v>
      </c>
      <c r="F1" s="130" t="s">
        <v>323</v>
      </c>
      <c r="G1" s="130" t="s">
        <v>323</v>
      </c>
      <c r="H1" s="130" t="s">
        <v>323</v>
      </c>
      <c r="I1" s="130" t="s">
        <v>323</v>
      </c>
    </row>
    <row r="2" spans="1:9" ht="57.6" x14ac:dyDescent="0.3">
      <c r="A2" s="130" t="s">
        <v>324</v>
      </c>
      <c r="B2" s="130" t="s">
        <v>325</v>
      </c>
      <c r="C2" s="130" t="s">
        <v>326</v>
      </c>
      <c r="D2" s="130" t="s">
        <v>326</v>
      </c>
      <c r="E2" s="130" t="s">
        <v>326</v>
      </c>
      <c r="F2" s="130" t="s">
        <v>326</v>
      </c>
      <c r="G2" s="130" t="s">
        <v>326</v>
      </c>
      <c r="H2" s="130" t="s">
        <v>326</v>
      </c>
      <c r="I2" s="130" t="s">
        <v>326</v>
      </c>
    </row>
    <row r="3" spans="1:9" ht="38.4" x14ac:dyDescent="0.3">
      <c r="A3" s="131"/>
      <c r="B3" s="130" t="s">
        <v>327</v>
      </c>
      <c r="C3" s="132">
        <v>500</v>
      </c>
      <c r="D3" s="132">
        <v>500</v>
      </c>
      <c r="E3" s="132">
        <v>500</v>
      </c>
      <c r="F3" s="132">
        <v>500</v>
      </c>
      <c r="G3" s="132">
        <v>500</v>
      </c>
      <c r="H3" s="132">
        <v>1000</v>
      </c>
      <c r="I3" s="132">
        <v>1000</v>
      </c>
    </row>
    <row r="4" spans="1:9" ht="19.2" x14ac:dyDescent="0.3">
      <c r="A4" s="131"/>
      <c r="B4" s="130" t="s">
        <v>328</v>
      </c>
      <c r="C4" s="132">
        <v>600</v>
      </c>
      <c r="D4" s="132">
        <v>600</v>
      </c>
      <c r="E4" s="132">
        <v>600</v>
      </c>
      <c r="F4" s="132">
        <v>600</v>
      </c>
      <c r="G4" s="132">
        <v>600</v>
      </c>
      <c r="H4" s="132">
        <v>1200</v>
      </c>
      <c r="I4" s="132">
        <v>1200</v>
      </c>
    </row>
    <row r="5" spans="1:9" ht="38.4" x14ac:dyDescent="0.3">
      <c r="A5" s="131"/>
      <c r="B5" s="130" t="s">
        <v>6</v>
      </c>
      <c r="C5" s="132">
        <v>1.2</v>
      </c>
      <c r="D5" s="132">
        <v>1.2</v>
      </c>
      <c r="E5" s="132">
        <v>1.2</v>
      </c>
      <c r="F5" s="132">
        <v>1.2</v>
      </c>
      <c r="G5" s="132">
        <v>1.2</v>
      </c>
      <c r="H5" s="132">
        <v>1.2</v>
      </c>
      <c r="I5" s="132">
        <v>1.2</v>
      </c>
    </row>
    <row r="6" spans="1:9" ht="38.4" x14ac:dyDescent="0.3">
      <c r="A6" s="131"/>
      <c r="B6" s="130" t="s">
        <v>329</v>
      </c>
      <c r="C6" s="133">
        <v>0.3</v>
      </c>
      <c r="D6" s="133">
        <v>0.2</v>
      </c>
      <c r="E6" s="133">
        <v>0.15</v>
      </c>
      <c r="F6" s="133">
        <v>0.15</v>
      </c>
      <c r="G6" s="133">
        <v>0.1</v>
      </c>
      <c r="H6" s="133">
        <v>0.15</v>
      </c>
      <c r="I6" s="133">
        <v>0.1</v>
      </c>
    </row>
    <row r="7" spans="1:9" ht="19.2" x14ac:dyDescent="0.3">
      <c r="A7" s="131"/>
      <c r="B7" s="130" t="s">
        <v>36</v>
      </c>
      <c r="C7" s="133">
        <v>0.1</v>
      </c>
      <c r="D7" s="133">
        <v>1</v>
      </c>
      <c r="E7" s="133">
        <v>1</v>
      </c>
      <c r="F7" s="133">
        <v>1</v>
      </c>
      <c r="G7" s="133">
        <v>1</v>
      </c>
      <c r="H7" s="133">
        <v>1</v>
      </c>
      <c r="I7" s="133">
        <v>1</v>
      </c>
    </row>
    <row r="8" spans="1:9" ht="19.2" x14ac:dyDescent="0.3">
      <c r="A8" s="131"/>
      <c r="B8" s="130" t="s">
        <v>330</v>
      </c>
      <c r="C8" s="133">
        <v>0.9</v>
      </c>
      <c r="D8" s="133">
        <v>0.95</v>
      </c>
      <c r="E8" s="133">
        <v>0.95</v>
      </c>
      <c r="F8" s="133">
        <v>0.95</v>
      </c>
      <c r="G8" s="133">
        <v>0.95</v>
      </c>
      <c r="H8" s="133">
        <v>0.95</v>
      </c>
      <c r="I8" s="133">
        <v>0.95</v>
      </c>
    </row>
    <row r="11" spans="1:9" x14ac:dyDescent="0.3">
      <c r="C11" s="129" t="s">
        <v>331</v>
      </c>
      <c r="D11" s="129" t="s">
        <v>334</v>
      </c>
      <c r="E11" s="129" t="s">
        <v>335</v>
      </c>
    </row>
    <row r="12" spans="1:9" x14ac:dyDescent="0.3">
      <c r="A12" s="134" t="s">
        <v>333</v>
      </c>
      <c r="C12" s="135">
        <v>0.2</v>
      </c>
      <c r="D12" s="135">
        <v>0.25</v>
      </c>
      <c r="E12" s="135">
        <v>0.13</v>
      </c>
      <c r="F12" s="135"/>
      <c r="G12" s="135"/>
    </row>
    <row r="13" spans="1:9" x14ac:dyDescent="0.3">
      <c r="A13" s="134" t="s">
        <v>121</v>
      </c>
      <c r="C13" s="135"/>
      <c r="D13" s="135">
        <v>0.8</v>
      </c>
      <c r="E13" s="135">
        <v>0.8</v>
      </c>
      <c r="F13" s="135">
        <v>0.8</v>
      </c>
      <c r="G13" s="135"/>
    </row>
    <row r="14" spans="1:9" x14ac:dyDescent="0.3">
      <c r="A14" s="134" t="s">
        <v>299</v>
      </c>
      <c r="C14" s="135"/>
      <c r="D14" s="135"/>
      <c r="E14" s="135">
        <v>1</v>
      </c>
      <c r="F14" s="135">
        <v>1</v>
      </c>
      <c r="G14" s="135">
        <v>1</v>
      </c>
    </row>
    <row r="19" spans="1:7" x14ac:dyDescent="0.3">
      <c r="B19" s="129" t="s">
        <v>332</v>
      </c>
      <c r="C19" s="129" t="s">
        <v>336</v>
      </c>
      <c r="D19" s="129" t="s">
        <v>337</v>
      </c>
      <c r="E19" s="129" t="s">
        <v>338</v>
      </c>
    </row>
    <row r="21" spans="1:7" x14ac:dyDescent="0.3">
      <c r="A21" s="134" t="s">
        <v>333</v>
      </c>
      <c r="B21" s="136">
        <v>1</v>
      </c>
      <c r="C21" s="129">
        <f>B21*(1-C12)</f>
        <v>0.8</v>
      </c>
      <c r="D21" s="129">
        <f>C21*(1-D12)+C22*(1-D13)</f>
        <v>0.64000000000000012</v>
      </c>
    </row>
    <row r="22" spans="1:7" x14ac:dyDescent="0.3">
      <c r="A22" s="134" t="s">
        <v>121</v>
      </c>
      <c r="C22" s="129">
        <f>B21*C12</f>
        <v>0.2</v>
      </c>
      <c r="D22" s="129">
        <f>C21*D12</f>
        <v>0.2</v>
      </c>
      <c r="E22" s="129">
        <f>D21*E12</f>
        <v>8.3200000000000024E-2</v>
      </c>
    </row>
    <row r="23" spans="1:7" x14ac:dyDescent="0.3">
      <c r="A23" s="134" t="s">
        <v>299</v>
      </c>
      <c r="D23" s="129">
        <f>C22*D13</f>
        <v>0.16000000000000003</v>
      </c>
      <c r="E23" s="129">
        <f>D22*E13</f>
        <v>0.16000000000000003</v>
      </c>
      <c r="F23" s="129">
        <f>E22*F13</f>
        <v>6.6560000000000022E-2</v>
      </c>
    </row>
    <row r="24" spans="1:7" x14ac:dyDescent="0.3">
      <c r="E24" s="129">
        <f>D23*E14</f>
        <v>0.16000000000000003</v>
      </c>
      <c r="F24" s="129">
        <f>E23*F14+E24</f>
        <v>0.32000000000000006</v>
      </c>
      <c r="G24" s="129">
        <f>F23*G14+F24</f>
        <v>0.38656000000000007</v>
      </c>
    </row>
    <row r="26" spans="1:7" x14ac:dyDescent="0.3">
      <c r="A26" s="129" t="s">
        <v>339</v>
      </c>
      <c r="E26" s="129">
        <f>D21*(1-E12)+D22*(1-E13)</f>
        <v>0.59680000000000011</v>
      </c>
      <c r="F26" s="129">
        <f>E26+E22*(1-F13)</f>
        <v>0.6134400000000001</v>
      </c>
      <c r="G26" s="129">
        <f>F26</f>
        <v>0.6134400000000001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509E7-FDED-4C67-B6B2-3F4A12750D9E}">
  <sheetPr codeName="Sheet2">
    <tabColor rgb="FFFF0066"/>
  </sheetPr>
  <dimension ref="A1:AP2821"/>
  <sheetViews>
    <sheetView zoomScale="90" zoomScaleNormal="90" workbookViewId="0">
      <pane xSplit="3" ySplit="1" topLeftCell="D137" activePane="bottomRight" state="frozen"/>
      <selection pane="topRight" activeCell="D1" sqref="D1"/>
      <selection pane="bottomLeft" activeCell="A2" sqref="A2"/>
      <selection pane="bottomRight" activeCell="A201" sqref="A26:XFD201"/>
    </sheetView>
  </sheetViews>
  <sheetFormatPr defaultRowHeight="15.6" x14ac:dyDescent="0.3"/>
  <cols>
    <col min="1" max="1" width="20.19921875" customWidth="1"/>
    <col min="2" max="2" width="13.8984375" customWidth="1"/>
    <col min="3" max="3" width="14.69921875" customWidth="1"/>
    <col min="4" max="4" width="16.69921875" bestFit="1" customWidth="1"/>
    <col min="5" max="6" width="11.8984375" bestFit="1" customWidth="1"/>
    <col min="7" max="7" width="10.09765625" customWidth="1"/>
    <col min="8" max="8" width="11.8984375" bestFit="1" customWidth="1"/>
    <col min="9" max="9" width="10.09765625" bestFit="1" customWidth="1"/>
    <col min="10" max="10" width="11.8984375" bestFit="1" customWidth="1"/>
    <col min="11" max="12" width="10.09765625" bestFit="1" customWidth="1"/>
    <col min="13" max="13" width="11.8984375" customWidth="1"/>
    <col min="14" max="14" width="12" customWidth="1"/>
    <col min="15" max="19" width="10.19921875" bestFit="1" customWidth="1"/>
  </cols>
  <sheetData>
    <row r="1" spans="1:32" x14ac:dyDescent="0.3">
      <c r="A1" t="s">
        <v>234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</row>
    <row r="2" spans="1:32" x14ac:dyDescent="0.3">
      <c r="C2" t="s">
        <v>253</v>
      </c>
    </row>
    <row r="3" spans="1:32" x14ac:dyDescent="0.3">
      <c r="A3" t="s">
        <v>136</v>
      </c>
      <c r="C3" s="8">
        <f>SUM(D3:AB3)</f>
        <v>1317342.5861322149</v>
      </c>
      <c r="D3" s="6">
        <f t="shared" ref="D3:S3" si="0">SUMIF($A$37:$A$3083,$A3,D$37:D$3083)</f>
        <v>320512.8205128205</v>
      </c>
      <c r="E3" s="6">
        <f t="shared" si="0"/>
        <v>205128.20512820513</v>
      </c>
      <c r="F3" s="6">
        <f t="shared" si="0"/>
        <v>131282.05128205128</v>
      </c>
      <c r="G3" s="6">
        <f t="shared" si="0"/>
        <v>173448.07589743589</v>
      </c>
      <c r="H3" s="6">
        <f t="shared" si="0"/>
        <v>168240.40894358975</v>
      </c>
      <c r="I3" s="6">
        <f t="shared" si="0"/>
        <v>109888.58950892306</v>
      </c>
      <c r="J3" s="6">
        <f t="shared" si="0"/>
        <v>53878.004991487687</v>
      </c>
      <c r="K3" s="6">
        <f t="shared" si="0"/>
        <v>94537.467927466321</v>
      </c>
      <c r="L3" s="6">
        <f t="shared" si="0"/>
        <v>47427.890649973706</v>
      </c>
      <c r="M3" s="6">
        <f t="shared" si="0"/>
        <v>3480.9147017157275</v>
      </c>
      <c r="N3" s="6">
        <f t="shared" si="0"/>
        <v>8911.1416363922654</v>
      </c>
      <c r="O3" s="6">
        <f t="shared" si="0"/>
        <v>0</v>
      </c>
      <c r="P3" s="6">
        <f t="shared" si="0"/>
        <v>607.01495215349041</v>
      </c>
      <c r="Q3" s="6">
        <f t="shared" si="0"/>
        <v>0</v>
      </c>
      <c r="R3" s="6">
        <f t="shared" si="0"/>
        <v>0</v>
      </c>
      <c r="S3" s="6">
        <f t="shared" si="0"/>
        <v>0</v>
      </c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3">
      <c r="A4" s="99" t="s">
        <v>307</v>
      </c>
      <c r="C4" s="8"/>
      <c r="D4" s="6">
        <f>D3</f>
        <v>320512.8205128205</v>
      </c>
      <c r="E4" s="6">
        <f>E3+D4</f>
        <v>525641.02564102563</v>
      </c>
      <c r="F4" s="6">
        <f t="shared" ref="F4:S4" si="1">F3+E4</f>
        <v>656923.07692307688</v>
      </c>
      <c r="G4" s="6">
        <f t="shared" si="1"/>
        <v>830371.15282051277</v>
      </c>
      <c r="H4" s="6">
        <f t="shared" si="1"/>
        <v>998611.56176410255</v>
      </c>
      <c r="I4" s="6">
        <f t="shared" si="1"/>
        <v>1108500.1512730257</v>
      </c>
      <c r="J4" s="6">
        <f t="shared" si="1"/>
        <v>1162378.1562645133</v>
      </c>
      <c r="K4" s="6">
        <f t="shared" si="1"/>
        <v>1256915.6241919796</v>
      </c>
      <c r="L4" s="6">
        <f t="shared" si="1"/>
        <v>1304343.5148419533</v>
      </c>
      <c r="M4" s="6">
        <f t="shared" si="1"/>
        <v>1307824.4295436691</v>
      </c>
      <c r="N4" s="6">
        <f t="shared" si="1"/>
        <v>1316735.5711800614</v>
      </c>
      <c r="O4" s="6">
        <f t="shared" si="1"/>
        <v>1316735.5711800614</v>
      </c>
      <c r="P4" s="6">
        <f t="shared" si="1"/>
        <v>1317342.5861322149</v>
      </c>
      <c r="Q4" s="6">
        <f t="shared" si="1"/>
        <v>1317342.5861322149</v>
      </c>
      <c r="R4" s="6">
        <f t="shared" si="1"/>
        <v>1317342.5861322149</v>
      </c>
      <c r="S4" s="6">
        <f t="shared" si="1"/>
        <v>1317342.5861322149</v>
      </c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6" spans="1:32" x14ac:dyDescent="0.3">
      <c r="A6" t="s">
        <v>119</v>
      </c>
      <c r="C6" s="8">
        <f>SUM(D6:AB6)</f>
        <v>3912531.8991167606</v>
      </c>
      <c r="D6" s="6">
        <f t="shared" ref="D6:S6" si="2">SUMIF($A$37:$A$3083,$A6,D$37:D$3083)</f>
        <v>480769.23076923081</v>
      </c>
      <c r="E6" s="6">
        <f t="shared" si="2"/>
        <v>615384.61538461538</v>
      </c>
      <c r="F6" s="6">
        <f t="shared" si="2"/>
        <v>590769.23076923075</v>
      </c>
      <c r="G6" s="6">
        <f t="shared" si="2"/>
        <v>638264.4215384617</v>
      </c>
      <c r="H6" s="6">
        <f t="shared" si="2"/>
        <v>660849.8432</v>
      </c>
      <c r="I6" s="6">
        <f t="shared" si="2"/>
        <v>329665.76852676918</v>
      </c>
      <c r="J6" s="6">
        <f t="shared" si="2"/>
        <v>291803.09934436379</v>
      </c>
      <c r="K6" s="6">
        <f t="shared" si="2"/>
        <v>159771.31198588651</v>
      </c>
      <c r="L6" s="6">
        <f t="shared" si="2"/>
        <v>125755.77066280905</v>
      </c>
      <c r="M6" s="6">
        <f t="shared" si="2"/>
        <v>5221.3720525735916</v>
      </c>
      <c r="N6" s="6">
        <f t="shared" si="2"/>
        <v>13366.712454588396</v>
      </c>
      <c r="O6" s="6">
        <f t="shared" si="2"/>
        <v>0</v>
      </c>
      <c r="P6" s="6">
        <f t="shared" si="2"/>
        <v>910.52242823023562</v>
      </c>
      <c r="Q6" s="6">
        <f t="shared" si="2"/>
        <v>0</v>
      </c>
      <c r="R6" s="6">
        <f t="shared" si="2"/>
        <v>0</v>
      </c>
      <c r="S6" s="6">
        <f t="shared" si="2"/>
        <v>0</v>
      </c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8" spans="1:32" x14ac:dyDescent="0.3">
      <c r="A8" t="s">
        <v>302</v>
      </c>
      <c r="C8" s="96">
        <f>SUM(D8:AB8)</f>
        <v>1304177.2997055862</v>
      </c>
      <c r="D8" s="6">
        <f t="shared" ref="D8:S8" si="3">SUMIF($A$37:$A$3083,$A8,D$37:D$3083)</f>
        <v>160256.41025641025</v>
      </c>
      <c r="E8" s="6">
        <f t="shared" si="3"/>
        <v>205128.20512820513</v>
      </c>
      <c r="F8" s="6">
        <f t="shared" si="3"/>
        <v>196923.07692307694</v>
      </c>
      <c r="G8" s="6">
        <f t="shared" si="3"/>
        <v>212754.80717948722</v>
      </c>
      <c r="H8" s="6">
        <f t="shared" si="3"/>
        <v>220283.28106666671</v>
      </c>
      <c r="I8" s="6">
        <f t="shared" si="3"/>
        <v>109888.58950892306</v>
      </c>
      <c r="J8" s="6">
        <f t="shared" si="3"/>
        <v>97267.699781454605</v>
      </c>
      <c r="K8" s="6">
        <f t="shared" si="3"/>
        <v>53257.103995295503</v>
      </c>
      <c r="L8" s="6">
        <f t="shared" si="3"/>
        <v>41918.590220936363</v>
      </c>
      <c r="M8" s="6">
        <f t="shared" si="3"/>
        <v>1740.4573508578637</v>
      </c>
      <c r="N8" s="6">
        <f t="shared" si="3"/>
        <v>4455.5708181961327</v>
      </c>
      <c r="O8" s="6">
        <f t="shared" si="3"/>
        <v>0</v>
      </c>
      <c r="P8" s="6">
        <f t="shared" si="3"/>
        <v>303.50747607674521</v>
      </c>
      <c r="Q8" s="6">
        <f t="shared" si="3"/>
        <v>0</v>
      </c>
      <c r="R8" s="6">
        <f t="shared" si="3"/>
        <v>0</v>
      </c>
      <c r="S8" s="6">
        <f t="shared" si="3"/>
        <v>0</v>
      </c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</row>
    <row r="9" spans="1:32" x14ac:dyDescent="0.3">
      <c r="A9" s="106" t="s">
        <v>300</v>
      </c>
      <c r="C9" s="96">
        <f>SUM(D9:AB9)</f>
        <v>-979607.07540266973</v>
      </c>
      <c r="D9" s="6">
        <f>-SUMIF($A$37:$A$3083,$A9,D$37:D$3083)</f>
        <v>-89846.153846153844</v>
      </c>
      <c r="E9" s="6">
        <f t="shared" ref="E9:S9" si="4">-SUMIF($A$37:$A$3083,$A9,E$37:E$3083)</f>
        <v>-115003.07692307692</v>
      </c>
      <c r="F9" s="6">
        <f t="shared" si="4"/>
        <v>-110402.95384615386</v>
      </c>
      <c r="G9" s="6">
        <f t="shared" si="4"/>
        <v>-119278.85509710773</v>
      </c>
      <c r="H9" s="6">
        <f t="shared" si="4"/>
        <v>-235449.89430747245</v>
      </c>
      <c r="I9" s="6">
        <f t="shared" si="4"/>
        <v>-61607.938822282638</v>
      </c>
      <c r="J9" s="6">
        <f t="shared" si="4"/>
        <v>-127740.82064503533</v>
      </c>
      <c r="K9" s="6">
        <f t="shared" si="4"/>
        <v>-54260.948597109353</v>
      </c>
      <c r="L9" s="6">
        <f t="shared" si="4"/>
        <v>-58409.363613852736</v>
      </c>
      <c r="M9" s="6">
        <f t="shared" si="4"/>
        <v>-975.77000918495298</v>
      </c>
      <c r="N9" s="6">
        <f t="shared" si="4"/>
        <v>-6208.3923780744908</v>
      </c>
      <c r="O9" s="6">
        <f t="shared" si="4"/>
        <v>0</v>
      </c>
      <c r="P9" s="6">
        <f t="shared" si="4"/>
        <v>-422.90731716533674</v>
      </c>
      <c r="Q9" s="6">
        <f t="shared" si="4"/>
        <v>0</v>
      </c>
      <c r="R9" s="6">
        <f t="shared" si="4"/>
        <v>0</v>
      </c>
      <c r="S9" s="6">
        <f t="shared" si="4"/>
        <v>0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spans="1:32" s="107" customFormat="1" x14ac:dyDescent="0.3">
      <c r="A10" s="107" t="s">
        <v>303</v>
      </c>
      <c r="C10" s="110">
        <f>C8+C9</f>
        <v>324570.22430291644</v>
      </c>
      <c r="D10" s="108">
        <f>D8+D9</f>
        <v>70410.256410256407</v>
      </c>
      <c r="E10" s="108">
        <f t="shared" ref="E10:S10" si="5">E8+E9</f>
        <v>90125.128205128203</v>
      </c>
      <c r="F10" s="108">
        <f t="shared" si="5"/>
        <v>86520.123076923075</v>
      </c>
      <c r="G10" s="108">
        <f t="shared" si="5"/>
        <v>93475.952082379488</v>
      </c>
      <c r="H10" s="108">
        <f t="shared" si="5"/>
        <v>-15166.613240805746</v>
      </c>
      <c r="I10" s="108">
        <f t="shared" si="5"/>
        <v>48280.650686640423</v>
      </c>
      <c r="J10" s="108">
        <f t="shared" si="5"/>
        <v>-30473.120863580727</v>
      </c>
      <c r="K10" s="108">
        <f t="shared" si="5"/>
        <v>-1003.8446018138493</v>
      </c>
      <c r="L10" s="108">
        <f t="shared" si="5"/>
        <v>-16490.773392916373</v>
      </c>
      <c r="M10" s="108">
        <f t="shared" si="5"/>
        <v>764.68734167291075</v>
      </c>
      <c r="N10" s="108">
        <f t="shared" si="5"/>
        <v>-1752.8215598783581</v>
      </c>
      <c r="O10" s="108">
        <f t="shared" si="5"/>
        <v>0</v>
      </c>
      <c r="P10" s="108">
        <f t="shared" si="5"/>
        <v>-119.39984108859153</v>
      </c>
      <c r="Q10" s="108">
        <f t="shared" si="5"/>
        <v>0</v>
      </c>
      <c r="R10" s="108">
        <f t="shared" si="5"/>
        <v>0</v>
      </c>
      <c r="S10" s="108">
        <f t="shared" si="5"/>
        <v>0</v>
      </c>
      <c r="T10" s="108"/>
      <c r="U10" s="108"/>
      <c r="V10" s="108"/>
      <c r="W10" s="108"/>
      <c r="X10" s="108"/>
      <c r="Y10" s="108"/>
      <c r="Z10" s="108"/>
      <c r="AA10" s="108"/>
      <c r="AB10" s="108"/>
      <c r="AC10" s="108"/>
      <c r="AD10" s="108"/>
      <c r="AE10" s="108"/>
      <c r="AF10" s="108"/>
    </row>
    <row r="12" spans="1:32" x14ac:dyDescent="0.3">
      <c r="A12" s="11" t="s">
        <v>140</v>
      </c>
      <c r="C12" s="8">
        <f>SUM(D12:AB12)</f>
        <v>1645433.8602563331</v>
      </c>
      <c r="D12" s="28">
        <f t="shared" ref="D12:S14" si="6">SUMIF($A$37:$A$3083,$A12,D$37:D$3083)</f>
        <v>128205.12820512819</v>
      </c>
      <c r="E12" s="28">
        <f t="shared" si="6"/>
        <v>196153.84615384613</v>
      </c>
      <c r="F12" s="28">
        <f t="shared" si="6"/>
        <v>223435.89743589744</v>
      </c>
      <c r="G12" s="28">
        <f t="shared" si="6"/>
        <v>242091.02523076924</v>
      </c>
      <c r="H12" s="28">
        <f t="shared" si="6"/>
        <v>216585.17603282051</v>
      </c>
      <c r="I12" s="28">
        <f t="shared" si="6"/>
        <v>214874.25338190771</v>
      </c>
      <c r="J12" s="28">
        <f t="shared" si="6"/>
        <v>156450.14053175651</v>
      </c>
      <c r="K12" s="28">
        <f t="shared" si="6"/>
        <v>105892.8776628935</v>
      </c>
      <c r="L12" s="28">
        <f t="shared" si="6"/>
        <v>88443.069615508037</v>
      </c>
      <c r="M12" s="28">
        <f t="shared" si="6"/>
        <v>43962.334879902919</v>
      </c>
      <c r="N12" s="28">
        <f t="shared" si="6"/>
        <v>23349.686015671115</v>
      </c>
      <c r="O12" s="28">
        <f t="shared" si="6"/>
        <v>3305.2110823625185</v>
      </c>
      <c r="P12" s="28">
        <f t="shared" si="6"/>
        <v>2309.5017290422743</v>
      </c>
      <c r="Q12" s="28">
        <f t="shared" si="6"/>
        <v>226.50802358808323</v>
      </c>
      <c r="R12" s="28">
        <f t="shared" si="6"/>
        <v>145.45595790978012</v>
      </c>
      <c r="S12" s="28">
        <f t="shared" si="6"/>
        <v>3.7483173295478025</v>
      </c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</row>
    <row r="13" spans="1:32" x14ac:dyDescent="0.3">
      <c r="A13" t="s">
        <v>131</v>
      </c>
      <c r="C13" s="96">
        <f t="shared" ref="C13:C14" si="7">SUM(D13:AB13)</f>
        <v>643745.48172887799</v>
      </c>
      <c r="D13" s="6">
        <f t="shared" si="6"/>
        <v>102564.10256410256</v>
      </c>
      <c r="E13" s="6">
        <f t="shared" si="6"/>
        <v>131282.05128205128</v>
      </c>
      <c r="F13" s="6">
        <f t="shared" si="6"/>
        <v>126030.76923076925</v>
      </c>
      <c r="G13" s="6">
        <f t="shared" si="6"/>
        <v>136163.07659487182</v>
      </c>
      <c r="H13" s="6">
        <f t="shared" si="6"/>
        <v>54944.294754461531</v>
      </c>
      <c r="I13" s="6">
        <f t="shared" si="6"/>
        <v>70328.697285710761</v>
      </c>
      <c r="J13" s="6">
        <f t="shared" si="6"/>
        <v>5988.3700315623364</v>
      </c>
      <c r="K13" s="6">
        <f t="shared" si="6"/>
        <v>15330.227280799583</v>
      </c>
      <c r="L13" s="6">
        <f t="shared" si="6"/>
        <v>0</v>
      </c>
      <c r="M13" s="6">
        <f t="shared" si="6"/>
        <v>1113.8927045490329</v>
      </c>
      <c r="N13" s="6">
        <f t="shared" si="6"/>
        <v>0</v>
      </c>
      <c r="O13" s="6">
        <f t="shared" si="6"/>
        <v>0</v>
      </c>
      <c r="P13" s="6">
        <f t="shared" si="6"/>
        <v>0</v>
      </c>
      <c r="Q13" s="6">
        <f t="shared" si="6"/>
        <v>0</v>
      </c>
      <c r="R13" s="6">
        <f t="shared" si="6"/>
        <v>0</v>
      </c>
      <c r="S13" s="6">
        <f t="shared" si="6"/>
        <v>0</v>
      </c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</row>
    <row r="14" spans="1:32" x14ac:dyDescent="0.3">
      <c r="A14" t="s">
        <v>200</v>
      </c>
      <c r="C14" s="96">
        <f t="shared" si="7"/>
        <v>1001688.3785274556</v>
      </c>
      <c r="D14" s="6">
        <f t="shared" si="6"/>
        <v>25641.025641025633</v>
      </c>
      <c r="E14" s="6">
        <f t="shared" si="6"/>
        <v>64871.794871794853</v>
      </c>
      <c r="F14" s="6">
        <f t="shared" si="6"/>
        <v>97405.128205128174</v>
      </c>
      <c r="G14" s="6">
        <f t="shared" si="6"/>
        <v>105927.94863589742</v>
      </c>
      <c r="H14" s="6">
        <f t="shared" si="6"/>
        <v>161640.88127835898</v>
      </c>
      <c r="I14" s="6">
        <f t="shared" si="6"/>
        <v>144545.55609619693</v>
      </c>
      <c r="J14" s="6">
        <f t="shared" si="6"/>
        <v>150461.77050019416</v>
      </c>
      <c r="K14" s="6">
        <f t="shared" si="6"/>
        <v>90562.65038209394</v>
      </c>
      <c r="L14" s="6">
        <f t="shared" si="6"/>
        <v>88443.069615508037</v>
      </c>
      <c r="M14" s="6">
        <f t="shared" si="6"/>
        <v>42848.442175353892</v>
      </c>
      <c r="N14" s="6">
        <f t="shared" si="6"/>
        <v>23349.686015671115</v>
      </c>
      <c r="O14" s="6">
        <f t="shared" si="6"/>
        <v>3305.2110823625189</v>
      </c>
      <c r="P14" s="6">
        <f t="shared" si="6"/>
        <v>2309.5017290422747</v>
      </c>
      <c r="Q14" s="6">
        <f t="shared" si="6"/>
        <v>226.50802358808323</v>
      </c>
      <c r="R14" s="6">
        <f t="shared" si="6"/>
        <v>145.45595790978012</v>
      </c>
      <c r="S14" s="6">
        <f t="shared" si="6"/>
        <v>3.7483173295478025</v>
      </c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</row>
    <row r="15" spans="1:32" x14ac:dyDescent="0.3">
      <c r="D15" s="7">
        <f>D13+D14-D12</f>
        <v>0</v>
      </c>
      <c r="E15" s="7">
        <f t="shared" ref="E15:M15" si="8">E13+E14-E12</f>
        <v>0</v>
      </c>
      <c r="F15" s="7">
        <f t="shared" si="8"/>
        <v>0</v>
      </c>
      <c r="G15" s="7">
        <f t="shared" si="8"/>
        <v>0</v>
      </c>
      <c r="H15" s="7">
        <f t="shared" si="8"/>
        <v>0</v>
      </c>
      <c r="I15" s="7">
        <f t="shared" si="8"/>
        <v>0</v>
      </c>
      <c r="J15" s="7">
        <f t="shared" si="8"/>
        <v>0</v>
      </c>
      <c r="K15" s="7">
        <f t="shared" si="8"/>
        <v>0</v>
      </c>
      <c r="L15" s="7">
        <f t="shared" si="8"/>
        <v>0</v>
      </c>
      <c r="M15" s="7">
        <f t="shared" si="8"/>
        <v>0</v>
      </c>
      <c r="N15" s="7">
        <f t="shared" ref="N15" si="9">N13+N14-N12</f>
        <v>0</v>
      </c>
      <c r="O15" s="7">
        <f t="shared" ref="O15" si="10">O13+O14-O12</f>
        <v>0</v>
      </c>
      <c r="P15" s="7">
        <f t="shared" ref="P15" si="11">P13+P14-P12</f>
        <v>0</v>
      </c>
      <c r="Q15" s="7">
        <f t="shared" ref="Q15" si="12">Q13+Q14-Q12</f>
        <v>0</v>
      </c>
      <c r="R15" s="7">
        <f t="shared" ref="R15" si="13">R13+R14-R12</f>
        <v>0</v>
      </c>
      <c r="S15" s="7">
        <f t="shared" ref="S15" si="14">S13+S14-S12</f>
        <v>0</v>
      </c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</row>
    <row r="16" spans="1:32" x14ac:dyDescent="0.3">
      <c r="A16" t="s">
        <v>308</v>
      </c>
      <c r="D16" s="7">
        <f>D12</f>
        <v>128205.12820512819</v>
      </c>
      <c r="E16" s="7">
        <f>E12+D16</f>
        <v>324358.97435897432</v>
      </c>
      <c r="F16" s="7">
        <f t="shared" ref="F16:S16" si="15">F12+E16</f>
        <v>547794.87179487175</v>
      </c>
      <c r="G16" s="7">
        <f t="shared" si="15"/>
        <v>789885.89702564105</v>
      </c>
      <c r="H16" s="7">
        <f t="shared" si="15"/>
        <v>1006471.0730584615</v>
      </c>
      <c r="I16" s="7">
        <f t="shared" si="15"/>
        <v>1221345.3264403692</v>
      </c>
      <c r="J16" s="7">
        <f t="shared" si="15"/>
        <v>1377795.4669721257</v>
      </c>
      <c r="K16" s="7">
        <f t="shared" si="15"/>
        <v>1483688.3446350191</v>
      </c>
      <c r="L16" s="7">
        <f t="shared" si="15"/>
        <v>1572131.414250527</v>
      </c>
      <c r="M16" s="7">
        <f t="shared" si="15"/>
        <v>1616093.7491304299</v>
      </c>
      <c r="N16" s="7">
        <f t="shared" si="15"/>
        <v>1639443.4351461011</v>
      </c>
      <c r="O16" s="7">
        <f t="shared" si="15"/>
        <v>1642748.6462284636</v>
      </c>
      <c r="P16" s="7">
        <f t="shared" si="15"/>
        <v>1645058.1479575059</v>
      </c>
      <c r="Q16" s="7">
        <f t="shared" si="15"/>
        <v>1645284.6559810939</v>
      </c>
      <c r="R16" s="7">
        <f t="shared" si="15"/>
        <v>1645430.1119390037</v>
      </c>
      <c r="S16" s="7">
        <f t="shared" si="15"/>
        <v>1645433.8602563331</v>
      </c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</row>
    <row r="17" spans="1:32" x14ac:dyDescent="0.3"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</row>
    <row r="18" spans="1:32" x14ac:dyDescent="0.3">
      <c r="A18" t="s">
        <v>295</v>
      </c>
      <c r="D18" s="7">
        <f>D12-D3</f>
        <v>-192307.69230769231</v>
      </c>
      <c r="E18" s="7">
        <f t="shared" ref="E18:Q18" si="16">E12-E3</f>
        <v>-8974.3589743589982</v>
      </c>
      <c r="F18" s="7">
        <f t="shared" si="16"/>
        <v>92153.846153846156</v>
      </c>
      <c r="G18" s="7">
        <f t="shared" si="16"/>
        <v>68642.949333333352</v>
      </c>
      <c r="H18" s="7">
        <f t="shared" si="16"/>
        <v>48344.767089230765</v>
      </c>
      <c r="I18" s="7">
        <f t="shared" si="16"/>
        <v>104985.66387298465</v>
      </c>
      <c r="J18" s="7">
        <f t="shared" si="16"/>
        <v>102572.13554026882</v>
      </c>
      <c r="K18" s="7">
        <f t="shared" si="16"/>
        <v>11355.40973542718</v>
      </c>
      <c r="L18" s="7">
        <f t="shared" si="16"/>
        <v>41015.178965534331</v>
      </c>
      <c r="M18" s="7">
        <f t="shared" si="16"/>
        <v>40481.420178187189</v>
      </c>
      <c r="N18" s="7">
        <f t="shared" si="16"/>
        <v>14438.54437927885</v>
      </c>
      <c r="O18" s="7">
        <f t="shared" si="16"/>
        <v>3305.2110823625185</v>
      </c>
      <c r="P18" s="7">
        <f t="shared" si="16"/>
        <v>1702.4867768887839</v>
      </c>
      <c r="Q18" s="7">
        <f t="shared" si="16"/>
        <v>226.50802358808323</v>
      </c>
      <c r="R18" s="7">
        <f t="shared" ref="R18:S18" si="17">R12-R3</f>
        <v>145.45595790978012</v>
      </c>
      <c r="S18" s="7">
        <f t="shared" si="17"/>
        <v>3.7483173295478025</v>
      </c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</row>
    <row r="19" spans="1:32" x14ac:dyDescent="0.3"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</row>
    <row r="20" spans="1:32" x14ac:dyDescent="0.3">
      <c r="A20" t="s">
        <v>296</v>
      </c>
      <c r="D20" s="7">
        <f>D18</f>
        <v>-192307.69230769231</v>
      </c>
      <c r="E20" s="7">
        <f>D20+E18</f>
        <v>-201282.05128205131</v>
      </c>
      <c r="F20" s="7">
        <f t="shared" ref="F20:Q20" si="18">E20+F18</f>
        <v>-109128.20512820515</v>
      </c>
      <c r="G20" s="7">
        <f t="shared" si="18"/>
        <v>-40485.255794871802</v>
      </c>
      <c r="H20" s="7">
        <f t="shared" si="18"/>
        <v>7859.5112943589629</v>
      </c>
      <c r="I20" s="7">
        <f t="shared" si="18"/>
        <v>112845.17516734361</v>
      </c>
      <c r="J20" s="7">
        <f t="shared" si="18"/>
        <v>215417.31070761243</v>
      </c>
      <c r="K20" s="7">
        <f t="shared" si="18"/>
        <v>226772.72044303961</v>
      </c>
      <c r="L20" s="7">
        <f t="shared" si="18"/>
        <v>267787.89940857393</v>
      </c>
      <c r="M20" s="7">
        <f t="shared" si="18"/>
        <v>308269.31958676112</v>
      </c>
      <c r="N20" s="7">
        <f t="shared" si="18"/>
        <v>322707.86396603996</v>
      </c>
      <c r="O20" s="7">
        <f t="shared" si="18"/>
        <v>326013.07504840248</v>
      </c>
      <c r="P20" s="7">
        <f t="shared" si="18"/>
        <v>327715.56182529125</v>
      </c>
      <c r="Q20" s="7">
        <f t="shared" si="18"/>
        <v>327942.06984887936</v>
      </c>
      <c r="R20" s="7">
        <f t="shared" ref="R20" si="19">Q20+R18</f>
        <v>328087.52580678911</v>
      </c>
      <c r="S20" s="109">
        <f t="shared" ref="S20" si="20">R20+S18</f>
        <v>328091.27412411867</v>
      </c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</row>
    <row r="21" spans="1:32" x14ac:dyDescent="0.3"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3">
      <c r="A22" t="s">
        <v>310</v>
      </c>
      <c r="C22" s="21">
        <f>C12/C3-1</f>
        <v>0.24905539195192272</v>
      </c>
      <c r="D22" s="21">
        <f t="shared" ref="D22:S22" si="21">D12/D3-1</f>
        <v>-0.60000000000000009</v>
      </c>
      <c r="E22" s="21">
        <f t="shared" si="21"/>
        <v>-4.3750000000000067E-2</v>
      </c>
      <c r="F22" s="21">
        <f t="shared" si="21"/>
        <v>0.70195312499999996</v>
      </c>
      <c r="G22" s="21">
        <f t="shared" si="21"/>
        <v>0.39575503491848263</v>
      </c>
      <c r="H22" s="21">
        <f t="shared" si="21"/>
        <v>0.28735526377281073</v>
      </c>
      <c r="I22" s="21">
        <f t="shared" si="21"/>
        <v>0.95538275941252038</v>
      </c>
      <c r="J22" s="21">
        <f t="shared" si="21"/>
        <v>1.9037849593071314</v>
      </c>
      <c r="K22" s="21">
        <f t="shared" si="21"/>
        <v>0.12011544189166989</v>
      </c>
      <c r="L22" s="21">
        <f t="shared" si="21"/>
        <v>0.86479028275226644</v>
      </c>
      <c r="M22" s="21">
        <f t="shared" si="21"/>
        <v>11.629535236308456</v>
      </c>
      <c r="N22" s="21">
        <f t="shared" si="21"/>
        <v>1.6202799785285862</v>
      </c>
      <c r="O22" s="21" t="e">
        <f t="shared" si="21"/>
        <v>#DIV/0!</v>
      </c>
      <c r="P22" s="21">
        <f t="shared" si="21"/>
        <v>2.804686722870529</v>
      </c>
      <c r="Q22" s="21" t="e">
        <f t="shared" si="21"/>
        <v>#DIV/0!</v>
      </c>
      <c r="R22" s="21" t="e">
        <f t="shared" si="21"/>
        <v>#DIV/0!</v>
      </c>
      <c r="S22" s="21" t="e">
        <f t="shared" si="21"/>
        <v>#DIV/0!</v>
      </c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</row>
    <row r="23" spans="1:32" x14ac:dyDescent="0.3"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</row>
    <row r="24" spans="1:32" x14ac:dyDescent="0.3">
      <c r="A24" s="99" t="s">
        <v>309</v>
      </c>
      <c r="C24" s="22">
        <f>S24</f>
        <v>0.24905539195192272</v>
      </c>
      <c r="D24" s="21">
        <f>D16/D4-1</f>
        <v>-0.60000000000000009</v>
      </c>
      <c r="E24" s="21">
        <f t="shared" ref="E24:S24" si="22">E16/E4-1</f>
        <v>-0.3829268292682928</v>
      </c>
      <c r="F24" s="21">
        <f t="shared" si="22"/>
        <v>-0.16612021857923498</v>
      </c>
      <c r="G24" s="21">
        <f t="shared" si="22"/>
        <v>-4.8755614471138409E-2</v>
      </c>
      <c r="H24" s="21">
        <f t="shared" si="22"/>
        <v>7.87043891267869E-3</v>
      </c>
      <c r="I24" s="21">
        <f t="shared" si="22"/>
        <v>0.10179987349370201</v>
      </c>
      <c r="J24" s="21">
        <f t="shared" si="22"/>
        <v>0.18532463772365637</v>
      </c>
      <c r="K24" s="21">
        <f t="shared" si="22"/>
        <v>0.18042000280553627</v>
      </c>
      <c r="L24" s="21">
        <f t="shared" si="22"/>
        <v>0.20530473480448252</v>
      </c>
      <c r="M24" s="21">
        <f t="shared" si="22"/>
        <v>0.23571154707235698</v>
      </c>
      <c r="N24" s="21">
        <f t="shared" si="22"/>
        <v>0.24508175447620673</v>
      </c>
      <c r="O24" s="21">
        <f t="shared" si="22"/>
        <v>0.24759191001138414</v>
      </c>
      <c r="P24" s="21">
        <f t="shared" si="22"/>
        <v>0.24877018725059252</v>
      </c>
      <c r="Q24" s="21">
        <f t="shared" si="22"/>
        <v>0.24894213039277324</v>
      </c>
      <c r="R24" s="21">
        <f>R16/R4-1</f>
        <v>0.24905254658932008</v>
      </c>
      <c r="S24" s="21">
        <f t="shared" si="22"/>
        <v>0.24905539195192272</v>
      </c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</row>
    <row r="25" spans="1:32" x14ac:dyDescent="0.3">
      <c r="A25" s="99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</row>
    <row r="26" spans="1:32" x14ac:dyDescent="0.3">
      <c r="A26" t="s">
        <v>280</v>
      </c>
      <c r="B26" s="6">
        <f>Summary!B14</f>
        <v>15600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3">
      <c r="A27" t="s">
        <v>135</v>
      </c>
      <c r="B27" s="6">
        <f>C27/$B$26</f>
        <v>32.051282051282051</v>
      </c>
      <c r="C27" s="6">
        <f>Summary!C15</f>
        <v>500000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</row>
    <row r="28" spans="1:32" x14ac:dyDescent="0.3"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</row>
    <row r="29" spans="1:32" x14ac:dyDescent="0.3">
      <c r="A29" s="11" t="s">
        <v>304</v>
      </c>
      <c r="B29" t="s">
        <v>281</v>
      </c>
      <c r="C29" t="s">
        <v>282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</row>
    <row r="30" spans="1:32" x14ac:dyDescent="0.3">
      <c r="A30" t="s">
        <v>274</v>
      </c>
      <c r="B30" s="6">
        <f t="shared" ref="B30:B34" si="23">C30/$B$26</f>
        <v>32.051282051282051</v>
      </c>
      <c r="C30" s="7">
        <f>Summary!C18</f>
        <v>500000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</row>
    <row r="31" spans="1:32" x14ac:dyDescent="0.3">
      <c r="A31" t="s">
        <v>275</v>
      </c>
      <c r="B31" s="6">
        <f t="shared" si="23"/>
        <v>64.102564102564102</v>
      </c>
      <c r="C31" s="7">
        <f>Summary!C19</f>
        <v>1000000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</row>
    <row r="32" spans="1:32" x14ac:dyDescent="0.3">
      <c r="A32" t="s">
        <v>276</v>
      </c>
      <c r="B32" s="6">
        <f t="shared" si="23"/>
        <v>96.15384615384616</v>
      </c>
      <c r="C32" s="7">
        <f>Summary!C20</f>
        <v>1500000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</row>
    <row r="33" spans="1:32" x14ac:dyDescent="0.3">
      <c r="A33" t="s">
        <v>277</v>
      </c>
      <c r="B33" s="6">
        <f t="shared" si="23"/>
        <v>128.2051282051282</v>
      </c>
      <c r="C33" s="7">
        <f>Summary!C21</f>
        <v>2000000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</row>
    <row r="34" spans="1:32" x14ac:dyDescent="0.3">
      <c r="A34" t="s">
        <v>278</v>
      </c>
      <c r="B34" s="6">
        <f t="shared" si="23"/>
        <v>160.25641025641025</v>
      </c>
      <c r="C34" s="7">
        <f>Summary!C22</f>
        <v>2500000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</row>
    <row r="35" spans="1:32" x14ac:dyDescent="0.3">
      <c r="A35" t="s">
        <v>279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</row>
    <row r="37" spans="1:32" x14ac:dyDescent="0.3">
      <c r="A37" s="170" t="s">
        <v>255</v>
      </c>
      <c r="B37" s="171"/>
      <c r="C37" s="171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1"/>
      <c r="O37" s="171"/>
      <c r="P37" s="171"/>
      <c r="Q37" s="171"/>
      <c r="R37" s="171"/>
      <c r="S37" s="171"/>
      <c r="T37" s="171"/>
      <c r="U37" s="171"/>
      <c r="V37" s="171"/>
      <c r="W37" s="171"/>
      <c r="X37" s="171"/>
      <c r="Y37" s="171"/>
      <c r="Z37" s="171"/>
      <c r="AA37" s="171"/>
      <c r="AB37" s="171"/>
      <c r="AC37" s="171"/>
      <c r="AD37" s="171"/>
      <c r="AE37" s="171"/>
      <c r="AF37" s="171"/>
    </row>
    <row r="38" spans="1:32" x14ac:dyDescent="0.3">
      <c r="A38" s="11"/>
    </row>
    <row r="39" spans="1:32" x14ac:dyDescent="0.3">
      <c r="A39" s="11" t="s">
        <v>124</v>
      </c>
      <c r="B39" s="11" t="s">
        <v>254</v>
      </c>
      <c r="C39" s="11"/>
      <c r="D39" s="112">
        <f>Summary!B10</f>
        <v>10000</v>
      </c>
    </row>
    <row r="40" spans="1:32" x14ac:dyDescent="0.3">
      <c r="D40" s="6"/>
    </row>
    <row r="41" spans="1:32" x14ac:dyDescent="0.3">
      <c r="A41" t="s">
        <v>125</v>
      </c>
      <c r="D41" s="126">
        <f>B30</f>
        <v>32.051282051282051</v>
      </c>
    </row>
    <row r="43" spans="1:32" x14ac:dyDescent="0.3">
      <c r="A43" t="s">
        <v>126</v>
      </c>
      <c r="D43" s="86">
        <f>Summary!B12</f>
        <v>0.5</v>
      </c>
    </row>
    <row r="44" spans="1:32" x14ac:dyDescent="0.3">
      <c r="A44" t="s">
        <v>117</v>
      </c>
      <c r="D44" s="6">
        <f>D43*D41</f>
        <v>16.025641025641026</v>
      </c>
    </row>
    <row r="46" spans="1:32" x14ac:dyDescent="0.3">
      <c r="A46" t="s">
        <v>135</v>
      </c>
      <c r="D46" s="7">
        <f>D41</f>
        <v>32.051282051282051</v>
      </c>
    </row>
    <row r="47" spans="1:32" x14ac:dyDescent="0.3">
      <c r="A47" t="s">
        <v>106</v>
      </c>
      <c r="D47" s="7">
        <f>D46*(1+D43)</f>
        <v>48.07692307692308</v>
      </c>
    </row>
    <row r="49" spans="1:7" x14ac:dyDescent="0.3">
      <c r="A49" t="s">
        <v>136</v>
      </c>
      <c r="D49" s="6">
        <f>D46*D39</f>
        <v>320512.8205128205</v>
      </c>
    </row>
    <row r="50" spans="1:7" x14ac:dyDescent="0.3">
      <c r="A50" t="s">
        <v>119</v>
      </c>
      <c r="D50" s="6">
        <f>D47*D39</f>
        <v>480769.23076923081</v>
      </c>
    </row>
    <row r="52" spans="1:7" x14ac:dyDescent="0.3">
      <c r="A52" t="s">
        <v>302</v>
      </c>
      <c r="D52" s="6">
        <f>D44*D39</f>
        <v>160256.41025641025</v>
      </c>
    </row>
    <row r="54" spans="1:7" x14ac:dyDescent="0.3">
      <c r="A54" t="s">
        <v>127</v>
      </c>
      <c r="D54" s="7">
        <f>$D$47/3</f>
        <v>16.025641025641026</v>
      </c>
      <c r="E54" s="7">
        <f t="shared" ref="E54:F54" si="24">$D$47/3</f>
        <v>16.025641025641026</v>
      </c>
      <c r="F54" s="7">
        <f t="shared" si="24"/>
        <v>16.025641025641026</v>
      </c>
    </row>
    <row r="56" spans="1:7" x14ac:dyDescent="0.3">
      <c r="A56" s="70" t="s">
        <v>128</v>
      </c>
      <c r="B56" s="70"/>
      <c r="C56" s="70"/>
      <c r="D56" s="111">
        <f>Summary!B27</f>
        <v>0.8</v>
      </c>
    </row>
    <row r="57" spans="1:7" x14ac:dyDescent="0.3">
      <c r="A57" t="s">
        <v>129</v>
      </c>
      <c r="D57" s="21">
        <f>1-D56</f>
        <v>0.19999999999999996</v>
      </c>
    </row>
    <row r="59" spans="1:7" x14ac:dyDescent="0.3">
      <c r="A59" s="71" t="s">
        <v>16</v>
      </c>
    </row>
    <row r="60" spans="1:7" x14ac:dyDescent="0.3">
      <c r="A60" t="s">
        <v>17</v>
      </c>
      <c r="C60" s="74">
        <f>Summary!$B$38</f>
        <v>0.2</v>
      </c>
      <c r="D60" s="74">
        <f>Summary!$B$39</f>
        <v>0.25</v>
      </c>
      <c r="E60" s="74">
        <f>Summary!$B$40</f>
        <v>0.13</v>
      </c>
      <c r="F60" s="75"/>
      <c r="G60" s="75"/>
    </row>
    <row r="61" spans="1:7" x14ac:dyDescent="0.3">
      <c r="A61" t="s">
        <v>18</v>
      </c>
      <c r="C61" s="75"/>
      <c r="D61" s="74">
        <f>Summary!$B$41</f>
        <v>0.8</v>
      </c>
      <c r="E61" s="76">
        <f>D61</f>
        <v>0.8</v>
      </c>
      <c r="F61" s="76">
        <f>E61</f>
        <v>0.8</v>
      </c>
      <c r="G61" s="75"/>
    </row>
    <row r="62" spans="1:7" x14ac:dyDescent="0.3">
      <c r="A62" t="s">
        <v>19</v>
      </c>
      <c r="C62" s="75"/>
      <c r="D62" s="75"/>
      <c r="E62" s="74">
        <f>Summary!$B$42</f>
        <v>1</v>
      </c>
      <c r="F62" s="74">
        <f>E62</f>
        <v>1</v>
      </c>
      <c r="G62" s="74">
        <f>F62</f>
        <v>1</v>
      </c>
    </row>
    <row r="63" spans="1:7" x14ac:dyDescent="0.3">
      <c r="A63" t="s">
        <v>20</v>
      </c>
      <c r="G63" s="21"/>
    </row>
    <row r="64" spans="1:7" x14ac:dyDescent="0.3">
      <c r="G64" s="21"/>
    </row>
    <row r="65" spans="1:9" x14ac:dyDescent="0.3">
      <c r="A65" s="11" t="s">
        <v>196</v>
      </c>
      <c r="G65" s="21"/>
    </row>
    <row r="66" spans="1:9" x14ac:dyDescent="0.3">
      <c r="A66" t="s">
        <v>17</v>
      </c>
      <c r="D66" s="22">
        <f>(1-C60)*D57</f>
        <v>0.15999999999999998</v>
      </c>
      <c r="E66" s="22">
        <f>D66*(1-D60)+D67*(1-D61)</f>
        <v>0.15999999999999998</v>
      </c>
    </row>
    <row r="67" spans="1:9" x14ac:dyDescent="0.3">
      <c r="A67" t="s">
        <v>18</v>
      </c>
      <c r="D67" s="22">
        <f>C60</f>
        <v>0.2</v>
      </c>
      <c r="E67" s="22">
        <f>D66*D60</f>
        <v>3.9999999999999994E-2</v>
      </c>
      <c r="F67" s="22">
        <f>E66*E60</f>
        <v>2.0799999999999999E-2</v>
      </c>
      <c r="H67" s="22"/>
    </row>
    <row r="68" spans="1:9" x14ac:dyDescent="0.3">
      <c r="A68" t="s">
        <v>19</v>
      </c>
      <c r="E68" s="22">
        <f>D67*D61</f>
        <v>0.16000000000000003</v>
      </c>
      <c r="F68" s="22">
        <f>E67*E61+E68</f>
        <v>0.19200000000000003</v>
      </c>
      <c r="G68" s="22">
        <f>F67*F61+F68</f>
        <v>0.20864000000000002</v>
      </c>
    </row>
    <row r="69" spans="1:9" x14ac:dyDescent="0.3">
      <c r="E69" s="22"/>
      <c r="F69" s="22"/>
    </row>
    <row r="70" spans="1:9" ht="14.4" customHeight="1" x14ac:dyDescent="0.3">
      <c r="A70" t="s">
        <v>195</v>
      </c>
      <c r="D70" s="22">
        <f>(1-C60)*D56</f>
        <v>0.64000000000000012</v>
      </c>
      <c r="F70" s="29">
        <f>E66*(1-E60)+E67*(1-E61)+E68*(1-E62)</f>
        <v>0.1472</v>
      </c>
      <c r="G70" s="29">
        <f>F67*(1-F61)+F70</f>
        <v>0.15135999999999999</v>
      </c>
      <c r="H70" s="22"/>
    </row>
    <row r="71" spans="1:9" ht="14.4" customHeight="1" x14ac:dyDescent="0.3">
      <c r="D71" s="22"/>
      <c r="F71" s="29"/>
      <c r="G71" s="29"/>
      <c r="H71" s="22"/>
    </row>
    <row r="72" spans="1:9" x14ac:dyDescent="0.3">
      <c r="D72" s="25" t="s">
        <v>32</v>
      </c>
      <c r="I72" s="29"/>
    </row>
    <row r="73" spans="1:9" x14ac:dyDescent="0.3">
      <c r="A73" s="11" t="s">
        <v>124</v>
      </c>
      <c r="D73" s="8">
        <f>SUM(D74:D77)</f>
        <v>10000</v>
      </c>
      <c r="E73" s="8">
        <f t="shared" ref="E73:F73" si="25">SUM(E74:E77)</f>
        <v>3599.9999999999995</v>
      </c>
      <c r="F73" s="8">
        <f t="shared" si="25"/>
        <v>2128</v>
      </c>
    </row>
    <row r="74" spans="1:9" x14ac:dyDescent="0.3">
      <c r="A74" s="23" t="s">
        <v>120</v>
      </c>
      <c r="D74" s="7">
        <f>D39*(1-C60)</f>
        <v>8000</v>
      </c>
      <c r="E74" s="82">
        <f>D112*(1-D60)+D75*(1-D61)</f>
        <v>1599.9999999999995</v>
      </c>
    </row>
    <row r="75" spans="1:9" x14ac:dyDescent="0.3">
      <c r="A75" s="24" t="s">
        <v>122</v>
      </c>
      <c r="D75" s="7">
        <f>D39*C60</f>
        <v>2000</v>
      </c>
      <c r="E75" s="7">
        <f>D112*D60</f>
        <v>399.99999999999989</v>
      </c>
      <c r="F75" s="7">
        <f>E74*E60</f>
        <v>207.99999999999994</v>
      </c>
      <c r="G75" s="7">
        <f>F74*F60</f>
        <v>0</v>
      </c>
    </row>
    <row r="76" spans="1:9" x14ac:dyDescent="0.3">
      <c r="A76" s="23" t="s">
        <v>121</v>
      </c>
      <c r="E76" s="7">
        <f>D75*D61</f>
        <v>1600</v>
      </c>
      <c r="F76" s="7">
        <f>E75*E61</f>
        <v>319.99999999999994</v>
      </c>
      <c r="G76" s="7">
        <f>F75*F61</f>
        <v>166.39999999999998</v>
      </c>
    </row>
    <row r="77" spans="1:9" x14ac:dyDescent="0.3">
      <c r="A77" s="23" t="s">
        <v>138</v>
      </c>
      <c r="E77" s="7"/>
      <c r="F77" s="7">
        <f>E76*E62</f>
        <v>1600</v>
      </c>
      <c r="G77" s="7">
        <f>F76*F62+F77</f>
        <v>1920</v>
      </c>
      <c r="H77" s="7">
        <f>G76*G62+G77</f>
        <v>2086.4</v>
      </c>
    </row>
    <row r="78" spans="1:9" x14ac:dyDescent="0.3">
      <c r="A78" s="23"/>
      <c r="E78" s="7"/>
    </row>
    <row r="79" spans="1:9" x14ac:dyDescent="0.3">
      <c r="A79" s="23" t="s">
        <v>137</v>
      </c>
      <c r="E79" s="7"/>
      <c r="F79" s="7">
        <f>E74*(1-E60)+E75*(1-E61)+E76*(1-E62)</f>
        <v>1471.9999999999995</v>
      </c>
      <c r="G79" s="7">
        <f>F75*(1-F61)+F79</f>
        <v>1513.5999999999995</v>
      </c>
      <c r="H79" s="7">
        <f>G76*(1-G62)+G79</f>
        <v>1513.5999999999995</v>
      </c>
    </row>
    <row r="80" spans="1:9" x14ac:dyDescent="0.3">
      <c r="A80" s="23"/>
      <c r="E80" s="7"/>
    </row>
    <row r="81" spans="1:8" x14ac:dyDescent="0.3">
      <c r="A81" s="11" t="s">
        <v>139</v>
      </c>
      <c r="D81" s="8">
        <f>SUM(D82:D83)</f>
        <v>8000</v>
      </c>
      <c r="E81" s="8">
        <f>SUM(E82:E83)</f>
        <v>1599.9999999999995</v>
      </c>
      <c r="F81" s="8">
        <f>SUM(F82:F83)</f>
        <v>1471.9999999999995</v>
      </c>
      <c r="G81" s="8">
        <f>SUM(G82:G83)</f>
        <v>41.59999999999998</v>
      </c>
    </row>
    <row r="82" spans="1:8" x14ac:dyDescent="0.3">
      <c r="A82" s="23" t="s">
        <v>120</v>
      </c>
      <c r="D82" s="7">
        <f>D74</f>
        <v>8000</v>
      </c>
      <c r="E82" s="7">
        <f>D112*(1-D60)</f>
        <v>1199.9999999999995</v>
      </c>
      <c r="F82" s="7">
        <f>E74*(1-E60)</f>
        <v>1391.9999999999995</v>
      </c>
    </row>
    <row r="83" spans="1:8" x14ac:dyDescent="0.3">
      <c r="A83" s="24" t="s">
        <v>122</v>
      </c>
      <c r="E83" s="7">
        <f>D75*(1-D61)</f>
        <v>399.99999999999989</v>
      </c>
      <c r="F83" s="7">
        <f>E75*(1-E61)</f>
        <v>79.999999999999957</v>
      </c>
      <c r="G83" s="7">
        <f>F75*(1-F61)</f>
        <v>41.59999999999998</v>
      </c>
    </row>
    <row r="84" spans="1:8" x14ac:dyDescent="0.3">
      <c r="A84" s="23"/>
      <c r="E84" s="7"/>
      <c r="F84" s="7">
        <f>E76*(1-E62)</f>
        <v>0</v>
      </c>
      <c r="G84" s="7">
        <f>F76*(1-F62)</f>
        <v>0</v>
      </c>
    </row>
    <row r="85" spans="1:8" x14ac:dyDescent="0.3">
      <c r="A85" s="81" t="s">
        <v>123</v>
      </c>
    </row>
    <row r="86" spans="1:8" x14ac:dyDescent="0.3">
      <c r="A86" s="23" t="s">
        <v>120</v>
      </c>
      <c r="D86" s="7">
        <f>D47-D54</f>
        <v>32.051282051282058</v>
      </c>
      <c r="E86" s="7">
        <f>D86-E54</f>
        <v>16.025641025641033</v>
      </c>
      <c r="F86" s="7">
        <f>E86-F54</f>
        <v>0</v>
      </c>
    </row>
    <row r="87" spans="1:8" x14ac:dyDescent="0.3">
      <c r="A87" s="24" t="s">
        <v>122</v>
      </c>
      <c r="D87" s="7">
        <f>D47</f>
        <v>48.07692307692308</v>
      </c>
      <c r="E87" s="7">
        <f>D86</f>
        <v>32.051282051282058</v>
      </c>
      <c r="F87" s="7">
        <f>E86</f>
        <v>16.025641025641033</v>
      </c>
    </row>
    <row r="88" spans="1:8" x14ac:dyDescent="0.3">
      <c r="A88" s="23" t="s">
        <v>121</v>
      </c>
      <c r="E88" s="7">
        <f>D87</f>
        <v>48.07692307692308</v>
      </c>
      <c r="F88" s="7">
        <f>E87</f>
        <v>32.051282051282058</v>
      </c>
      <c r="G88" s="7">
        <f>F87</f>
        <v>16.025641025641033</v>
      </c>
    </row>
    <row r="89" spans="1:8" x14ac:dyDescent="0.3">
      <c r="A89" s="23"/>
      <c r="F89" s="7"/>
      <c r="G89" s="7"/>
    </row>
    <row r="90" spans="1:8" x14ac:dyDescent="0.3">
      <c r="A90" s="23"/>
      <c r="F90" s="7"/>
      <c r="G90" s="7"/>
    </row>
    <row r="91" spans="1:8" x14ac:dyDescent="0.3">
      <c r="A91" s="11" t="s">
        <v>130</v>
      </c>
      <c r="D91" s="8">
        <f>SUM(D92:D95)</f>
        <v>352564.10256410262</v>
      </c>
      <c r="E91" s="8">
        <f t="shared" ref="E91:G91" si="26">SUM(E92:E95)</f>
        <v>115384.61538461539</v>
      </c>
      <c r="F91" s="8">
        <f t="shared" si="26"/>
        <v>90512.820512820515</v>
      </c>
      <c r="G91" s="8">
        <f t="shared" si="26"/>
        <v>89846.153846153844</v>
      </c>
    </row>
    <row r="92" spans="1:8" x14ac:dyDescent="0.3">
      <c r="A92" s="23" t="s">
        <v>120</v>
      </c>
      <c r="D92" s="7">
        <f t="shared" ref="D92:F93" si="27">D86*D74</f>
        <v>256410.25641025646</v>
      </c>
      <c r="E92" s="7">
        <f t="shared" si="27"/>
        <v>25641.025641025644</v>
      </c>
      <c r="F92" s="7">
        <f t="shared" si="27"/>
        <v>0</v>
      </c>
    </row>
    <row r="93" spans="1:8" x14ac:dyDescent="0.3">
      <c r="A93" s="24" t="s">
        <v>122</v>
      </c>
      <c r="D93" s="7">
        <f t="shared" si="27"/>
        <v>96153.846153846156</v>
      </c>
      <c r="E93" s="7">
        <f t="shared" si="27"/>
        <v>12820.51282051282</v>
      </c>
      <c r="F93" s="7">
        <f t="shared" si="27"/>
        <v>3333.3333333333339</v>
      </c>
      <c r="G93" s="7">
        <f>G87*G75</f>
        <v>0</v>
      </c>
    </row>
    <row r="94" spans="1:8" x14ac:dyDescent="0.3">
      <c r="A94" s="23" t="s">
        <v>121</v>
      </c>
      <c r="E94" s="7">
        <f>E88*E76</f>
        <v>76923.076923076922</v>
      </c>
      <c r="F94" s="7">
        <f>F88*F76</f>
        <v>10256.410256410256</v>
      </c>
      <c r="G94" s="7">
        <f>G88*G76</f>
        <v>2666.6666666666674</v>
      </c>
    </row>
    <row r="95" spans="1:8" x14ac:dyDescent="0.3">
      <c r="A95" s="23" t="s">
        <v>299</v>
      </c>
      <c r="F95" s="8">
        <f>E94</f>
        <v>76923.076923076922</v>
      </c>
      <c r="G95" s="8">
        <f>F94+F95</f>
        <v>87179.487179487172</v>
      </c>
      <c r="H95" s="8">
        <f>G94+G95</f>
        <v>89846.153846153844</v>
      </c>
    </row>
    <row r="96" spans="1:8" x14ac:dyDescent="0.3">
      <c r="A96" s="23"/>
    </row>
    <row r="97" spans="1:8" x14ac:dyDescent="0.3">
      <c r="A97" s="81" t="s">
        <v>300</v>
      </c>
      <c r="D97" s="8">
        <f>H95</f>
        <v>89846.153846153844</v>
      </c>
    </row>
    <row r="98" spans="1:8" x14ac:dyDescent="0.3">
      <c r="A98" s="23" t="s">
        <v>319</v>
      </c>
      <c r="D98" s="7">
        <f>D52-D97</f>
        <v>70410.256410256407</v>
      </c>
    </row>
    <row r="99" spans="1:8" x14ac:dyDescent="0.3">
      <c r="A99" s="11" t="s">
        <v>140</v>
      </c>
      <c r="D99" s="8">
        <f>SUM(D101:D104)</f>
        <v>128205.12820512819</v>
      </c>
      <c r="E99" s="8">
        <f>SUM(E101:E104)</f>
        <v>32051.28205128204</v>
      </c>
      <c r="F99" s="8">
        <f t="shared" ref="F99:G99" si="28">SUM(F101:F104)</f>
        <v>24871.794871794864</v>
      </c>
      <c r="G99" s="8">
        <f t="shared" si="28"/>
        <v>666.66666666666629</v>
      </c>
    </row>
    <row r="100" spans="1:8" x14ac:dyDescent="0.3">
      <c r="A100" s="11"/>
      <c r="D100" s="8"/>
      <c r="E100" s="8"/>
      <c r="F100" s="8"/>
      <c r="G100" s="8"/>
    </row>
    <row r="101" spans="1:8" x14ac:dyDescent="0.3">
      <c r="A101" t="s">
        <v>131</v>
      </c>
      <c r="C101" s="23" t="s">
        <v>120</v>
      </c>
      <c r="D101" s="80">
        <f>D110*D54</f>
        <v>102564.10256410256</v>
      </c>
    </row>
    <row r="102" spans="1:8" x14ac:dyDescent="0.3">
      <c r="C102" s="23"/>
      <c r="D102" s="6"/>
    </row>
    <row r="103" spans="1:8" x14ac:dyDescent="0.3">
      <c r="A103" t="s">
        <v>200</v>
      </c>
      <c r="C103" s="23" t="s">
        <v>120</v>
      </c>
      <c r="D103" s="6">
        <f>D112*D54</f>
        <v>25641.025641025633</v>
      </c>
      <c r="E103" s="27">
        <f>E82*E54</f>
        <v>19230.769230769223</v>
      </c>
      <c r="F103" s="27">
        <f t="shared" ref="F103:G103" si="29">F82*F54</f>
        <v>22307.692307692301</v>
      </c>
      <c r="G103" s="27">
        <f t="shared" si="29"/>
        <v>0</v>
      </c>
      <c r="H103" s="27"/>
    </row>
    <row r="104" spans="1:8" x14ac:dyDescent="0.3">
      <c r="A104" t="s">
        <v>200</v>
      </c>
      <c r="C104" s="24" t="s">
        <v>122</v>
      </c>
      <c r="D104" s="6"/>
      <c r="E104" s="27">
        <f>E83*(D54+E54)</f>
        <v>12820.512820512817</v>
      </c>
      <c r="F104" s="27">
        <f t="shared" ref="F104:G104" si="30">F83*(E54+F54)</f>
        <v>2564.1025641025626</v>
      </c>
      <c r="G104" s="27">
        <f t="shared" si="30"/>
        <v>666.66666666666629</v>
      </c>
      <c r="H104" s="27"/>
    </row>
    <row r="106" spans="1:8" x14ac:dyDescent="0.3">
      <c r="A106" s="11" t="s">
        <v>283</v>
      </c>
      <c r="D106" s="8">
        <f>SUM(D103:G104)</f>
        <v>83230.769230769205</v>
      </c>
    </row>
    <row r="108" spans="1:8" x14ac:dyDescent="0.3">
      <c r="A108" t="s">
        <v>141</v>
      </c>
      <c r="D108" s="28">
        <f>D110*(E54+F54)</f>
        <v>205128.20512820513</v>
      </c>
    </row>
    <row r="110" spans="1:8" x14ac:dyDescent="0.3">
      <c r="A110" t="s">
        <v>132</v>
      </c>
      <c r="D110" s="7">
        <f>D74*D56</f>
        <v>6400</v>
      </c>
    </row>
    <row r="112" spans="1:8" x14ac:dyDescent="0.3">
      <c r="A112" t="s">
        <v>133</v>
      </c>
      <c r="D112" s="7">
        <f>D74*D57</f>
        <v>1599.9999999999995</v>
      </c>
    </row>
    <row r="113" spans="1:27" x14ac:dyDescent="0.3">
      <c r="A113" t="s">
        <v>317</v>
      </c>
      <c r="D113" s="7">
        <f>SUM(D99:G99)</f>
        <v>185794.87179487175</v>
      </c>
    </row>
    <row r="114" spans="1:27" x14ac:dyDescent="0.3">
      <c r="A114" t="s">
        <v>318</v>
      </c>
      <c r="D114" s="7">
        <f>D113-D49</f>
        <v>-134717.94871794875</v>
      </c>
    </row>
    <row r="115" spans="1:27" x14ac:dyDescent="0.3">
      <c r="A115" s="152" t="s">
        <v>215</v>
      </c>
      <c r="B115" s="153"/>
      <c r="C115" s="153"/>
      <c r="D115" s="153"/>
      <c r="E115" s="153"/>
      <c r="F115" s="153"/>
      <c r="G115" s="153"/>
      <c r="H115" s="153"/>
      <c r="I115" s="154"/>
      <c r="J115" s="152"/>
      <c r="K115" s="153"/>
      <c r="L115" s="153"/>
      <c r="M115" s="153"/>
      <c r="N115" s="153"/>
      <c r="O115" s="153"/>
      <c r="P115" s="153"/>
      <c r="Q115" s="153"/>
      <c r="R115" s="154"/>
      <c r="S115" s="152"/>
      <c r="T115" s="153"/>
      <c r="U115" s="153"/>
      <c r="V115" s="153"/>
      <c r="W115" s="153"/>
      <c r="X115" s="153"/>
      <c r="Y115" s="153"/>
      <c r="Z115" s="153"/>
      <c r="AA115" s="154"/>
    </row>
    <row r="117" spans="1:27" x14ac:dyDescent="0.3">
      <c r="A117" t="s">
        <v>197</v>
      </c>
      <c r="E117" s="83">
        <f>D110</f>
        <v>6400</v>
      </c>
    </row>
    <row r="118" spans="1:27" x14ac:dyDescent="0.3">
      <c r="A118" t="s">
        <v>198</v>
      </c>
      <c r="E118" s="7">
        <f>E117*E120</f>
        <v>6400</v>
      </c>
      <c r="H118" s="77">
        <f>D39*H120</f>
        <v>1395.0699839999997</v>
      </c>
    </row>
    <row r="119" spans="1:27" x14ac:dyDescent="0.3">
      <c r="E119" s="7"/>
      <c r="H119" s="77"/>
    </row>
    <row r="120" spans="1:27" s="11" customFormat="1" x14ac:dyDescent="0.3">
      <c r="A120" s="11" t="s">
        <v>134</v>
      </c>
      <c r="E120" s="104">
        <v>1</v>
      </c>
      <c r="H120" s="78">
        <f>H121*H122*H123*H124</f>
        <v>0.13950699839999997</v>
      </c>
    </row>
    <row r="121" spans="1:27" x14ac:dyDescent="0.3">
      <c r="A121" t="s">
        <v>35</v>
      </c>
      <c r="H121" s="79">
        <f>G70</f>
        <v>0.15135999999999999</v>
      </c>
    </row>
    <row r="122" spans="1:27" x14ac:dyDescent="0.3">
      <c r="A122" t="s">
        <v>36</v>
      </c>
      <c r="H122" s="79">
        <f>0.95</f>
        <v>0.95</v>
      </c>
    </row>
    <row r="123" spans="1:27" x14ac:dyDescent="0.3">
      <c r="A123" t="s">
        <v>142</v>
      </c>
      <c r="H123" s="79">
        <v>0.99</v>
      </c>
    </row>
    <row r="124" spans="1:27" x14ac:dyDescent="0.3">
      <c r="A124" t="s">
        <v>37</v>
      </c>
      <c r="H124" s="79">
        <v>0.98</v>
      </c>
    </row>
    <row r="127" spans="1:27" x14ac:dyDescent="0.3">
      <c r="A127" s="99" t="s">
        <v>125</v>
      </c>
      <c r="E127" s="83">
        <f>E128+D41</f>
        <v>64.102564102564102</v>
      </c>
    </row>
    <row r="128" spans="1:27" x14ac:dyDescent="0.3">
      <c r="A128" s="99" t="s">
        <v>135</v>
      </c>
      <c r="E128" s="82">
        <f>$D$46</f>
        <v>32.051282051282051</v>
      </c>
    </row>
    <row r="130" spans="1:7" x14ac:dyDescent="0.3">
      <c r="A130" t="s">
        <v>126</v>
      </c>
      <c r="E130" s="22">
        <f>D43</f>
        <v>0.5</v>
      </c>
    </row>
    <row r="131" spans="1:7" x14ac:dyDescent="0.3">
      <c r="A131" t="s">
        <v>117</v>
      </c>
      <c r="E131" s="7">
        <f>E130*E127</f>
        <v>32.051282051282051</v>
      </c>
    </row>
    <row r="133" spans="1:7" x14ac:dyDescent="0.3">
      <c r="A133" t="s">
        <v>118</v>
      </c>
      <c r="E133" s="7">
        <f>E128</f>
        <v>32.051282051282051</v>
      </c>
    </row>
    <row r="134" spans="1:7" x14ac:dyDescent="0.3">
      <c r="A134" t="s">
        <v>106</v>
      </c>
      <c r="E134" s="7">
        <f>E127*(1+E130)</f>
        <v>96.15384615384616</v>
      </c>
    </row>
    <row r="135" spans="1:7" x14ac:dyDescent="0.3">
      <c r="E135" s="7"/>
    </row>
    <row r="136" spans="1:7" x14ac:dyDescent="0.3">
      <c r="A136" t="s">
        <v>136</v>
      </c>
      <c r="E136" s="7">
        <f>E133*E118</f>
        <v>205128.20512820513</v>
      </c>
    </row>
    <row r="137" spans="1:7" x14ac:dyDescent="0.3">
      <c r="A137" t="s">
        <v>119</v>
      </c>
      <c r="E137" s="7">
        <f>E134*E118</f>
        <v>615384.61538461538</v>
      </c>
    </row>
    <row r="138" spans="1:7" x14ac:dyDescent="0.3">
      <c r="E138" s="7"/>
    </row>
    <row r="139" spans="1:7" x14ac:dyDescent="0.3">
      <c r="A139" t="s">
        <v>302</v>
      </c>
      <c r="E139" s="6">
        <f>E131*E118</f>
        <v>205128.20512820513</v>
      </c>
    </row>
    <row r="140" spans="1:7" x14ac:dyDescent="0.3">
      <c r="E140" s="7"/>
    </row>
    <row r="141" spans="1:7" x14ac:dyDescent="0.3">
      <c r="A141" t="s">
        <v>127</v>
      </c>
      <c r="E141" s="7">
        <f>E134/3</f>
        <v>32.051282051282051</v>
      </c>
      <c r="F141" s="7">
        <f>E134/3</f>
        <v>32.051282051282051</v>
      </c>
      <c r="G141" s="7">
        <f>E134/3</f>
        <v>32.051282051282051</v>
      </c>
    </row>
    <row r="143" spans="1:7" x14ac:dyDescent="0.3">
      <c r="A143" t="s">
        <v>128</v>
      </c>
      <c r="E143" s="21">
        <f>Summary!$B$28</f>
        <v>0.8</v>
      </c>
    </row>
    <row r="144" spans="1:7" x14ac:dyDescent="0.3">
      <c r="A144" t="s">
        <v>129</v>
      </c>
      <c r="E144" s="21">
        <f>1-E143</f>
        <v>0.19999999999999996</v>
      </c>
    </row>
    <row r="146" spans="1:9" x14ac:dyDescent="0.3">
      <c r="A146" s="71" t="s">
        <v>16</v>
      </c>
    </row>
    <row r="147" spans="1:9" x14ac:dyDescent="0.3">
      <c r="A147" t="s">
        <v>17</v>
      </c>
      <c r="D147" s="74">
        <f>Summary!$B$45</f>
        <v>0.2</v>
      </c>
      <c r="E147" s="74">
        <f>Summary!$B$46</f>
        <v>0.25</v>
      </c>
      <c r="F147" s="74">
        <f>Summary!$B$47</f>
        <v>0.13</v>
      </c>
      <c r="G147" s="75"/>
      <c r="H147" s="75"/>
    </row>
    <row r="148" spans="1:9" x14ac:dyDescent="0.3">
      <c r="A148" t="s">
        <v>18</v>
      </c>
      <c r="C148" s="75"/>
      <c r="E148" s="74">
        <f>Summary!$B$48</f>
        <v>0.8</v>
      </c>
      <c r="F148" s="76">
        <f>E148</f>
        <v>0.8</v>
      </c>
      <c r="G148" s="76">
        <f>F148</f>
        <v>0.8</v>
      </c>
      <c r="H148" s="75"/>
    </row>
    <row r="149" spans="1:9" x14ac:dyDescent="0.3">
      <c r="A149" t="s">
        <v>19</v>
      </c>
      <c r="C149" s="75"/>
      <c r="E149" s="75"/>
      <c r="F149" s="74">
        <f>Summary!$B$49</f>
        <v>1</v>
      </c>
      <c r="G149" s="76">
        <f>F149</f>
        <v>1</v>
      </c>
      <c r="H149" s="76">
        <f>G149</f>
        <v>1</v>
      </c>
    </row>
    <row r="150" spans="1:9" x14ac:dyDescent="0.3">
      <c r="A150" t="s">
        <v>20</v>
      </c>
      <c r="H150" s="21"/>
    </row>
    <row r="151" spans="1:9" x14ac:dyDescent="0.3">
      <c r="H151" s="21"/>
    </row>
    <row r="152" spans="1:9" x14ac:dyDescent="0.3">
      <c r="A152" s="11" t="s">
        <v>196</v>
      </c>
      <c r="H152" s="21"/>
    </row>
    <row r="153" spans="1:9" x14ac:dyDescent="0.3">
      <c r="A153" t="s">
        <v>17</v>
      </c>
      <c r="E153" s="22">
        <f>(1-D147)*E144</f>
        <v>0.15999999999999998</v>
      </c>
      <c r="F153" s="22">
        <f>E153*(1-E147)+E154*(1-E148)</f>
        <v>0.15999999999999998</v>
      </c>
    </row>
    <row r="154" spans="1:9" x14ac:dyDescent="0.3">
      <c r="A154" t="s">
        <v>18</v>
      </c>
      <c r="E154" s="22">
        <f>D147</f>
        <v>0.2</v>
      </c>
      <c r="F154" s="22">
        <f>E153*E147</f>
        <v>3.9999999999999994E-2</v>
      </c>
      <c r="G154" s="22">
        <f>F153*F147</f>
        <v>2.0799999999999999E-2</v>
      </c>
      <c r="I154" s="22"/>
    </row>
    <row r="155" spans="1:9" x14ac:dyDescent="0.3">
      <c r="A155" t="s">
        <v>19</v>
      </c>
      <c r="F155" s="22">
        <f>E154*E148</f>
        <v>0.16000000000000003</v>
      </c>
      <c r="G155" s="22">
        <f>F154*F148+F155</f>
        <v>0.19200000000000003</v>
      </c>
      <c r="H155" s="22">
        <f>G154*G148+G155</f>
        <v>0.20864000000000002</v>
      </c>
    </row>
    <row r="156" spans="1:9" x14ac:dyDescent="0.3">
      <c r="F156" s="22"/>
      <c r="G156" s="22"/>
    </row>
    <row r="157" spans="1:9" x14ac:dyDescent="0.3">
      <c r="A157" t="s">
        <v>195</v>
      </c>
      <c r="E157" s="22">
        <f>(1-D147)*E143</f>
        <v>0.64000000000000012</v>
      </c>
      <c r="G157" s="29">
        <f>F153*(1-F147)+F154*(1-F148)+F155*(1-F149)</f>
        <v>0.1472</v>
      </c>
      <c r="H157" s="29">
        <f>G154*(1-G148)+G157</f>
        <v>0.15135999999999999</v>
      </c>
      <c r="I157" s="22"/>
    </row>
    <row r="158" spans="1:9" x14ac:dyDescent="0.3">
      <c r="E158" s="22"/>
      <c r="G158" s="29"/>
      <c r="H158" s="29"/>
      <c r="I158" s="22"/>
    </row>
    <row r="159" spans="1:9" x14ac:dyDescent="0.3">
      <c r="E159" s="25" t="s">
        <v>32</v>
      </c>
    </row>
    <row r="160" spans="1:9" x14ac:dyDescent="0.3">
      <c r="A160" s="11" t="s">
        <v>124</v>
      </c>
      <c r="E160" s="8">
        <f>SUM(E161:E164)</f>
        <v>6400</v>
      </c>
      <c r="F160" s="8">
        <f t="shared" ref="F160:G160" si="31">SUM(F161:F164)</f>
        <v>2304</v>
      </c>
      <c r="G160" s="8">
        <f t="shared" si="31"/>
        <v>1361.92</v>
      </c>
    </row>
    <row r="161" spans="1:10" x14ac:dyDescent="0.3">
      <c r="A161" s="23" t="s">
        <v>120</v>
      </c>
      <c r="E161" s="7">
        <f>E118*(1-D147)</f>
        <v>5120</v>
      </c>
      <c r="F161" s="26">
        <f>E199*(1-E147)+E162*(1-E148)</f>
        <v>1023.9999999999998</v>
      </c>
    </row>
    <row r="162" spans="1:10" x14ac:dyDescent="0.3">
      <c r="A162" s="24" t="s">
        <v>122</v>
      </c>
      <c r="E162" s="7">
        <f>E118*D147</f>
        <v>1280</v>
      </c>
      <c r="F162" s="7">
        <f>E199*E147</f>
        <v>255.99999999999994</v>
      </c>
      <c r="G162" s="7">
        <f>F161*F147</f>
        <v>133.11999999999998</v>
      </c>
      <c r="H162" s="7">
        <f>G161*G147</f>
        <v>0</v>
      </c>
    </row>
    <row r="163" spans="1:10" x14ac:dyDescent="0.3">
      <c r="A163" s="23" t="s">
        <v>121</v>
      </c>
      <c r="F163" s="7">
        <f>E162*E148</f>
        <v>1024</v>
      </c>
      <c r="G163" s="7">
        <f>F162*F148</f>
        <v>204.79999999999995</v>
      </c>
      <c r="H163" s="7">
        <f>G162*G148</f>
        <v>106.49599999999998</v>
      </c>
    </row>
    <row r="164" spans="1:10" x14ac:dyDescent="0.3">
      <c r="A164" s="23" t="s">
        <v>138</v>
      </c>
      <c r="F164" s="7"/>
      <c r="G164" s="7">
        <f>F163*F149</f>
        <v>1024</v>
      </c>
      <c r="H164" s="7">
        <f>G163*G149+G164</f>
        <v>1228.8</v>
      </c>
      <c r="I164" s="7">
        <f>H163*H149+H164</f>
        <v>1335.2959999999998</v>
      </c>
    </row>
    <row r="165" spans="1:10" x14ac:dyDescent="0.3">
      <c r="A165" s="23"/>
      <c r="F165" s="7"/>
    </row>
    <row r="166" spans="1:10" x14ac:dyDescent="0.3">
      <c r="A166" s="23" t="s">
        <v>137</v>
      </c>
      <c r="F166" s="7"/>
      <c r="G166" s="7">
        <f>F161*(1-F147)+F162*(1-F148)+F163*(1-F149)</f>
        <v>942.0799999999997</v>
      </c>
      <c r="H166" s="7">
        <f>G162*(1-G148)+G166</f>
        <v>968.70399999999972</v>
      </c>
      <c r="I166" s="7">
        <f>H163*(1-H149)+H166</f>
        <v>968.70399999999972</v>
      </c>
    </row>
    <row r="167" spans="1:10" x14ac:dyDescent="0.3">
      <c r="A167" s="23"/>
      <c r="F167" s="7"/>
    </row>
    <row r="168" spans="1:10" x14ac:dyDescent="0.3">
      <c r="A168" s="11" t="s">
        <v>139</v>
      </c>
      <c r="E168" s="8">
        <f>SUM(E169:E170)</f>
        <v>5120</v>
      </c>
      <c r="F168" s="8">
        <f>SUM(F169:F170)</f>
        <v>1023.9999999999998</v>
      </c>
      <c r="G168" s="8">
        <f>SUM(G169:G170)</f>
        <v>942.0799999999997</v>
      </c>
      <c r="H168" s="8">
        <f>SUM(H169:H170)</f>
        <v>26.623999999999988</v>
      </c>
    </row>
    <row r="169" spans="1:10" x14ac:dyDescent="0.3">
      <c r="A169" s="23" t="s">
        <v>120</v>
      </c>
      <c r="E169" s="7">
        <f>E161</f>
        <v>5120</v>
      </c>
      <c r="F169" s="7">
        <f>E199*(1-E147)</f>
        <v>767.99999999999977</v>
      </c>
      <c r="G169" s="7">
        <f>F161*(1-F147)</f>
        <v>890.87999999999977</v>
      </c>
    </row>
    <row r="170" spans="1:10" x14ac:dyDescent="0.3">
      <c r="A170" s="24" t="s">
        <v>122</v>
      </c>
      <c r="F170" s="7">
        <f>E162*(1-E148)</f>
        <v>255.99999999999994</v>
      </c>
      <c r="G170" s="7">
        <f>F162*(1-F148)</f>
        <v>51.199999999999974</v>
      </c>
      <c r="H170" s="7">
        <f>G162*(1-G148)</f>
        <v>26.623999999999988</v>
      </c>
    </row>
    <row r="171" spans="1:10" x14ac:dyDescent="0.3">
      <c r="A171" s="23"/>
      <c r="F171" s="7"/>
      <c r="G171" s="7">
        <f>F163*(1-F149)</f>
        <v>0</v>
      </c>
      <c r="H171" s="7">
        <f>G163*(1-G149)</f>
        <v>0</v>
      </c>
    </row>
    <row r="172" spans="1:10" x14ac:dyDescent="0.3">
      <c r="A172" s="81" t="s">
        <v>123</v>
      </c>
    </row>
    <row r="173" spans="1:10" x14ac:dyDescent="0.3">
      <c r="A173" s="23" t="s">
        <v>120</v>
      </c>
      <c r="E173" s="7">
        <f>E134-E141</f>
        <v>64.102564102564116</v>
      </c>
      <c r="F173" s="7">
        <f>E173-F141</f>
        <v>32.051282051282065</v>
      </c>
      <c r="G173" s="7">
        <f>F173-G141</f>
        <v>0</v>
      </c>
    </row>
    <row r="174" spans="1:10" x14ac:dyDescent="0.3">
      <c r="A174" s="24" t="s">
        <v>122</v>
      </c>
      <c r="E174" s="7">
        <f>E134</f>
        <v>96.15384615384616</v>
      </c>
      <c r="F174" s="7">
        <f>E173</f>
        <v>64.102564102564116</v>
      </c>
      <c r="G174" s="7">
        <f>F173</f>
        <v>32.051282051282065</v>
      </c>
      <c r="J174" s="103"/>
    </row>
    <row r="175" spans="1:10" x14ac:dyDescent="0.3">
      <c r="A175" s="23" t="s">
        <v>121</v>
      </c>
      <c r="F175" s="7">
        <f>E174</f>
        <v>96.15384615384616</v>
      </c>
      <c r="G175" s="7">
        <f>F174</f>
        <v>64.102564102564116</v>
      </c>
      <c r="H175" s="7">
        <f>G174</f>
        <v>32.051282051282065</v>
      </c>
    </row>
    <row r="176" spans="1:10" x14ac:dyDescent="0.3">
      <c r="A176" s="23"/>
      <c r="G176" s="7"/>
      <c r="H176" s="7"/>
    </row>
    <row r="177" spans="1:9" x14ac:dyDescent="0.3">
      <c r="A177" s="23"/>
      <c r="G177" s="7"/>
      <c r="H177" s="7"/>
      <c r="I177" t="s">
        <v>273</v>
      </c>
    </row>
    <row r="178" spans="1:9" x14ac:dyDescent="0.3">
      <c r="A178" s="11" t="s">
        <v>130</v>
      </c>
      <c r="E178" s="8">
        <f>SUM(E179:E182)</f>
        <v>451282.05128205137</v>
      </c>
      <c r="F178" s="8">
        <f t="shared" ref="F178:H178" si="32">SUM(F179:F182)</f>
        <v>147692.30769230769</v>
      </c>
      <c r="G178" s="8">
        <f t="shared" si="32"/>
        <v>115856.41025641026</v>
      </c>
      <c r="H178" s="8">
        <f t="shared" si="32"/>
        <v>115003.07692307692</v>
      </c>
    </row>
    <row r="179" spans="1:9" x14ac:dyDescent="0.3">
      <c r="A179" s="23" t="s">
        <v>120</v>
      </c>
      <c r="E179" s="7">
        <f t="shared" ref="E179:G179" si="33">E173*E161</f>
        <v>328205.12820512825</v>
      </c>
      <c r="F179" s="7">
        <f t="shared" si="33"/>
        <v>32820.512820512828</v>
      </c>
      <c r="G179" s="7">
        <f t="shared" si="33"/>
        <v>0</v>
      </c>
    </row>
    <row r="180" spans="1:9" x14ac:dyDescent="0.3">
      <c r="A180" s="24" t="s">
        <v>122</v>
      </c>
      <c r="E180" s="7">
        <f t="shared" ref="E180:G180" si="34">E174*E162</f>
        <v>123076.92307692309</v>
      </c>
      <c r="F180" s="7">
        <f t="shared" si="34"/>
        <v>16410.25641025641</v>
      </c>
      <c r="G180" s="7">
        <f t="shared" si="34"/>
        <v>4266.6666666666679</v>
      </c>
      <c r="H180" s="7">
        <f>H174*H162</f>
        <v>0</v>
      </c>
    </row>
    <row r="181" spans="1:9" x14ac:dyDescent="0.3">
      <c r="A181" s="23" t="s">
        <v>121</v>
      </c>
      <c r="F181" s="7">
        <f>F175*F163</f>
        <v>98461.538461538468</v>
      </c>
      <c r="G181" s="7">
        <f>G175*G163</f>
        <v>13128.205128205129</v>
      </c>
      <c r="H181" s="7">
        <f>H175*H163</f>
        <v>3413.3333333333344</v>
      </c>
    </row>
    <row r="182" spans="1:9" x14ac:dyDescent="0.3">
      <c r="A182" s="23" t="s">
        <v>299</v>
      </c>
      <c r="G182" s="8">
        <f>F181</f>
        <v>98461.538461538468</v>
      </c>
      <c r="H182" s="8">
        <f>G181+G182</f>
        <v>111589.74358974359</v>
      </c>
      <c r="I182" s="8">
        <f>H181+H182</f>
        <v>115003.07692307692</v>
      </c>
    </row>
    <row r="183" spans="1:9" x14ac:dyDescent="0.3">
      <c r="A183" s="23"/>
    </row>
    <row r="184" spans="1:9" x14ac:dyDescent="0.3">
      <c r="A184" s="81" t="s">
        <v>300</v>
      </c>
      <c r="E184" s="8">
        <f>I182</f>
        <v>115003.07692307692</v>
      </c>
    </row>
    <row r="185" spans="1:9" x14ac:dyDescent="0.3">
      <c r="A185" s="128" t="s">
        <v>319</v>
      </c>
      <c r="E185" s="7">
        <f>E139-E184</f>
        <v>90125.128205128203</v>
      </c>
    </row>
    <row r="186" spans="1:9" x14ac:dyDescent="0.3">
      <c r="A186" s="11" t="s">
        <v>140</v>
      </c>
      <c r="E186" s="8">
        <f>SUM(E188:E191)</f>
        <v>164102.56410256409</v>
      </c>
      <c r="F186" s="8">
        <f>SUM(F188:F191)</f>
        <v>41025.641025641016</v>
      </c>
      <c r="G186" s="8">
        <f t="shared" ref="G186:H186" si="35">SUM(G188:G191)</f>
        <v>31835.897435897426</v>
      </c>
      <c r="H186" s="8">
        <f t="shared" si="35"/>
        <v>853.33333333333292</v>
      </c>
    </row>
    <row r="187" spans="1:9" x14ac:dyDescent="0.3">
      <c r="A187" s="11"/>
      <c r="E187" s="8"/>
      <c r="F187" s="8"/>
      <c r="G187" s="8"/>
      <c r="H187" s="8"/>
    </row>
    <row r="188" spans="1:9" x14ac:dyDescent="0.3">
      <c r="A188" t="s">
        <v>131</v>
      </c>
      <c r="C188" s="23" t="s">
        <v>120</v>
      </c>
      <c r="E188" s="6">
        <f>E197*E141</f>
        <v>131282.05128205128</v>
      </c>
    </row>
    <row r="189" spans="1:9" x14ac:dyDescent="0.3">
      <c r="C189" s="23"/>
      <c r="E189" s="6"/>
    </row>
    <row r="190" spans="1:9" x14ac:dyDescent="0.3">
      <c r="A190" t="s">
        <v>200</v>
      </c>
      <c r="C190" s="23" t="s">
        <v>120</v>
      </c>
      <c r="E190" s="6">
        <f>E199*E141</f>
        <v>32820.512820512813</v>
      </c>
      <c r="F190" s="27">
        <f>F169*F141</f>
        <v>24615.384615384606</v>
      </c>
      <c r="G190" s="27">
        <f t="shared" ref="G190:H190" si="36">G169*G141</f>
        <v>28553.846153846145</v>
      </c>
      <c r="H190" s="27">
        <f t="shared" si="36"/>
        <v>0</v>
      </c>
      <c r="I190" s="27"/>
    </row>
    <row r="191" spans="1:9" x14ac:dyDescent="0.3">
      <c r="A191" t="s">
        <v>200</v>
      </c>
      <c r="C191" s="24" t="s">
        <v>122</v>
      </c>
      <c r="E191" s="6"/>
      <c r="F191" s="27">
        <f>F170*(E141+F141)</f>
        <v>16410.256410256407</v>
      </c>
      <c r="G191" s="27">
        <f t="shared" ref="G191" si="37">G170*(F141+G141)</f>
        <v>3282.0512820512804</v>
      </c>
      <c r="H191" s="27">
        <f t="shared" ref="H191" si="38">H170*(G141+H141)</f>
        <v>853.33333333333292</v>
      </c>
      <c r="I191" s="27"/>
    </row>
    <row r="193" spans="1:30" x14ac:dyDescent="0.3">
      <c r="A193" s="11" t="s">
        <v>283</v>
      </c>
      <c r="E193" s="8">
        <f>SUM(E190:H191)</f>
        <v>106535.38461538458</v>
      </c>
    </row>
    <row r="195" spans="1:30" x14ac:dyDescent="0.3">
      <c r="A195" t="s">
        <v>141</v>
      </c>
      <c r="E195" s="28">
        <f>E197*(F141+G141)</f>
        <v>262564.10256410256</v>
      </c>
    </row>
    <row r="197" spans="1:30" x14ac:dyDescent="0.3">
      <c r="A197" t="s">
        <v>132</v>
      </c>
      <c r="E197" s="73">
        <f>E161*E143</f>
        <v>4096</v>
      </c>
    </row>
    <row r="199" spans="1:30" x14ac:dyDescent="0.3">
      <c r="A199" t="s">
        <v>203</v>
      </c>
      <c r="E199" s="7">
        <f>E161*E144</f>
        <v>1023.9999999999998</v>
      </c>
    </row>
    <row r="200" spans="1:30" x14ac:dyDescent="0.3">
      <c r="A200" t="s">
        <v>317</v>
      </c>
      <c r="E200" s="7">
        <f>SUM(E186:H186)</f>
        <v>237817.43589743591</v>
      </c>
    </row>
    <row r="201" spans="1:30" x14ac:dyDescent="0.3">
      <c r="A201" t="s">
        <v>318</v>
      </c>
      <c r="E201" s="7">
        <f>E200-E136</f>
        <v>32689.23076923078</v>
      </c>
    </row>
    <row r="202" spans="1:30" x14ac:dyDescent="0.3">
      <c r="A202" s="160" t="s">
        <v>219</v>
      </c>
      <c r="B202" s="161"/>
      <c r="C202" s="161"/>
      <c r="D202" s="161"/>
      <c r="E202" s="161"/>
      <c r="F202" s="161"/>
      <c r="G202" s="161"/>
      <c r="H202" s="161"/>
      <c r="I202" s="161"/>
      <c r="J202" s="161"/>
      <c r="K202" s="161"/>
      <c r="L202" s="161"/>
      <c r="M202" s="161"/>
      <c r="N202" s="161"/>
      <c r="O202" s="162"/>
      <c r="P202" s="160"/>
      <c r="Q202" s="161"/>
      <c r="R202" s="161"/>
      <c r="S202" s="161"/>
      <c r="T202" s="161"/>
      <c r="U202" s="161"/>
      <c r="V202" s="161"/>
      <c r="W202" s="161"/>
      <c r="X202" s="161"/>
      <c r="Y202" s="161"/>
      <c r="Z202" s="161"/>
      <c r="AA202" s="161"/>
      <c r="AB202" s="161"/>
      <c r="AC202" s="161"/>
      <c r="AD202" s="162"/>
    </row>
    <row r="204" spans="1:30" x14ac:dyDescent="0.3">
      <c r="A204" t="s">
        <v>197</v>
      </c>
      <c r="G204" s="83">
        <f>D39</f>
        <v>10000</v>
      </c>
    </row>
    <row r="205" spans="1:30" x14ac:dyDescent="0.3">
      <c r="A205" t="s">
        <v>199</v>
      </c>
      <c r="G205" s="7">
        <f>G207*G204</f>
        <v>1395.0699839999997</v>
      </c>
      <c r="J205" s="77"/>
    </row>
    <row r="206" spans="1:30" x14ac:dyDescent="0.3">
      <c r="G206" s="7"/>
      <c r="J206" s="77"/>
    </row>
    <row r="207" spans="1:30" x14ac:dyDescent="0.3">
      <c r="A207" s="11" t="s">
        <v>134</v>
      </c>
      <c r="B207" s="11"/>
      <c r="C207" s="11"/>
      <c r="G207" s="85">
        <f>G208*G209*G210*G211</f>
        <v>0.13950699839999997</v>
      </c>
      <c r="H207" s="11"/>
      <c r="I207" s="11"/>
      <c r="K207" s="11"/>
    </row>
    <row r="208" spans="1:30" x14ac:dyDescent="0.3">
      <c r="A208" t="s">
        <v>35</v>
      </c>
      <c r="G208" s="84">
        <f>H157</f>
        <v>0.15135999999999999</v>
      </c>
    </row>
    <row r="209" spans="1:7" x14ac:dyDescent="0.3">
      <c r="A209" t="s">
        <v>36</v>
      </c>
      <c r="G209" s="86">
        <f>0.95</f>
        <v>0.95</v>
      </c>
    </row>
    <row r="210" spans="1:7" x14ac:dyDescent="0.3">
      <c r="A210" t="s">
        <v>142</v>
      </c>
      <c r="G210" s="86">
        <v>0.99</v>
      </c>
    </row>
    <row r="211" spans="1:7" x14ac:dyDescent="0.3">
      <c r="A211" t="s">
        <v>37</v>
      </c>
      <c r="G211" s="86">
        <v>0.98</v>
      </c>
    </row>
    <row r="214" spans="1:7" x14ac:dyDescent="0.3">
      <c r="A214" t="s">
        <v>125</v>
      </c>
      <c r="G214" s="83">
        <f>$B$31</f>
        <v>64.102564102564102</v>
      </c>
    </row>
    <row r="215" spans="1:7" x14ac:dyDescent="0.3">
      <c r="A215" t="s">
        <v>135</v>
      </c>
      <c r="G215" s="101">
        <f>G214</f>
        <v>64.102564102564102</v>
      </c>
    </row>
    <row r="217" spans="1:7" x14ac:dyDescent="0.3">
      <c r="A217" t="s">
        <v>126</v>
      </c>
      <c r="G217" s="88">
        <f>$D$43</f>
        <v>0.5</v>
      </c>
    </row>
    <row r="218" spans="1:7" x14ac:dyDescent="0.3">
      <c r="A218" t="s">
        <v>117</v>
      </c>
      <c r="G218" s="7">
        <f>G217*G214</f>
        <v>32.051282051282051</v>
      </c>
    </row>
    <row r="220" spans="1:7" s="102" customFormat="1" x14ac:dyDescent="0.3">
      <c r="A220" s="102" t="s">
        <v>118</v>
      </c>
      <c r="G220" s="27">
        <f>G215</f>
        <v>64.102564102564102</v>
      </c>
    </row>
    <row r="221" spans="1:7" x14ac:dyDescent="0.3">
      <c r="A221" t="s">
        <v>106</v>
      </c>
      <c r="G221" s="7">
        <f>G214*(1+G217)</f>
        <v>96.15384615384616</v>
      </c>
    </row>
    <row r="222" spans="1:7" x14ac:dyDescent="0.3">
      <c r="G222" s="7"/>
    </row>
    <row r="223" spans="1:7" x14ac:dyDescent="0.3">
      <c r="A223" t="s">
        <v>136</v>
      </c>
      <c r="G223" s="7">
        <f>G220*G205</f>
        <v>89427.563076923063</v>
      </c>
    </row>
    <row r="224" spans="1:7" x14ac:dyDescent="0.3">
      <c r="A224" t="s">
        <v>119</v>
      </c>
      <c r="G224" s="7">
        <f>G221*G205</f>
        <v>134141.34461538459</v>
      </c>
    </row>
    <row r="225" spans="1:10" x14ac:dyDescent="0.3">
      <c r="G225" s="7"/>
    </row>
    <row r="226" spans="1:10" x14ac:dyDescent="0.3">
      <c r="A226" t="s">
        <v>302</v>
      </c>
      <c r="G226" s="6">
        <f>G218*G205</f>
        <v>44713.781538461531</v>
      </c>
    </row>
    <row r="227" spans="1:10" x14ac:dyDescent="0.3">
      <c r="G227" s="7"/>
    </row>
    <row r="228" spans="1:10" x14ac:dyDescent="0.3">
      <c r="A228" t="s">
        <v>127</v>
      </c>
      <c r="G228" s="7">
        <f>G221/3</f>
        <v>32.051282051282051</v>
      </c>
      <c r="H228" s="7">
        <f>G221/3</f>
        <v>32.051282051282051</v>
      </c>
      <c r="I228" s="7">
        <f>G221/3</f>
        <v>32.051282051282051</v>
      </c>
    </row>
    <row r="230" spans="1:10" x14ac:dyDescent="0.3">
      <c r="A230" t="s">
        <v>128</v>
      </c>
      <c r="G230" s="21">
        <f>Summary!D28</f>
        <v>0.8</v>
      </c>
    </row>
    <row r="231" spans="1:10" x14ac:dyDescent="0.3">
      <c r="A231" t="s">
        <v>129</v>
      </c>
      <c r="G231" s="21">
        <f>1-G230</f>
        <v>0.19999999999999996</v>
      </c>
    </row>
    <row r="233" spans="1:10" x14ac:dyDescent="0.3">
      <c r="A233" s="71" t="s">
        <v>16</v>
      </c>
    </row>
    <row r="234" spans="1:10" x14ac:dyDescent="0.3">
      <c r="A234" t="s">
        <v>17</v>
      </c>
      <c r="F234" s="74">
        <f>Summary!$C$45</f>
        <v>0.2</v>
      </c>
      <c r="G234" s="74">
        <f>Summary!$C$46</f>
        <v>0.25</v>
      </c>
      <c r="H234" s="74">
        <f>Summary!$C$47</f>
        <v>0.13</v>
      </c>
      <c r="I234" s="75"/>
      <c r="J234" s="75"/>
    </row>
    <row r="235" spans="1:10" x14ac:dyDescent="0.3">
      <c r="A235" t="s">
        <v>18</v>
      </c>
      <c r="C235" s="75"/>
      <c r="G235" s="74">
        <f>Summary!$C$48</f>
        <v>0.8</v>
      </c>
      <c r="H235" s="76">
        <f>G235</f>
        <v>0.8</v>
      </c>
      <c r="I235" s="76">
        <f>H235</f>
        <v>0.8</v>
      </c>
      <c r="J235" s="75"/>
    </row>
    <row r="236" spans="1:10" x14ac:dyDescent="0.3">
      <c r="A236" t="s">
        <v>19</v>
      </c>
      <c r="C236" s="75"/>
      <c r="G236" s="75"/>
      <c r="H236" s="74">
        <f>Summary!$C$49</f>
        <v>1</v>
      </c>
      <c r="I236" s="76">
        <f>H236</f>
        <v>1</v>
      </c>
      <c r="J236" s="76">
        <f>I236</f>
        <v>1</v>
      </c>
    </row>
    <row r="237" spans="1:10" x14ac:dyDescent="0.3">
      <c r="A237" t="s">
        <v>20</v>
      </c>
      <c r="J237" s="21"/>
    </row>
    <row r="238" spans="1:10" x14ac:dyDescent="0.3">
      <c r="J238" s="21"/>
    </row>
    <row r="239" spans="1:10" x14ac:dyDescent="0.3">
      <c r="A239" s="11" t="s">
        <v>196</v>
      </c>
      <c r="J239" s="21"/>
    </row>
    <row r="240" spans="1:10" x14ac:dyDescent="0.3">
      <c r="A240" t="s">
        <v>17</v>
      </c>
      <c r="G240" s="22">
        <f>(1-F234)*G231</f>
        <v>0.15999999999999998</v>
      </c>
      <c r="H240" s="22">
        <f>G240*(1-G234)+G241*(1-G235)</f>
        <v>0.15999999999999998</v>
      </c>
    </row>
    <row r="241" spans="1:11" x14ac:dyDescent="0.3">
      <c r="A241" t="s">
        <v>18</v>
      </c>
      <c r="G241" s="22">
        <f>F234</f>
        <v>0.2</v>
      </c>
      <c r="H241" s="22">
        <f>G240*G234</f>
        <v>3.9999999999999994E-2</v>
      </c>
      <c r="I241" s="22">
        <f>H240*H234</f>
        <v>2.0799999999999999E-2</v>
      </c>
      <c r="K241" s="22"/>
    </row>
    <row r="242" spans="1:11" x14ac:dyDescent="0.3">
      <c r="A242" t="s">
        <v>19</v>
      </c>
      <c r="H242" s="22">
        <f>G241*G235</f>
        <v>0.16000000000000003</v>
      </c>
      <c r="I242" s="22">
        <f>H241*H235+H242</f>
        <v>0.19200000000000003</v>
      </c>
      <c r="J242" s="22">
        <f>I241*I235+I242</f>
        <v>0.20864000000000002</v>
      </c>
    </row>
    <row r="243" spans="1:11" x14ac:dyDescent="0.3">
      <c r="H243" s="22"/>
      <c r="I243" s="22"/>
    </row>
    <row r="244" spans="1:11" x14ac:dyDescent="0.3">
      <c r="A244" t="s">
        <v>195</v>
      </c>
      <c r="G244" s="22">
        <f>(1-F234)*G230</f>
        <v>0.64000000000000012</v>
      </c>
      <c r="I244" s="29">
        <f>H240*(1-H234)+H241*(1-H235)+H242*(1-H236)</f>
        <v>0.1472</v>
      </c>
      <c r="J244" s="29">
        <f>I241*(1-I235)+I244</f>
        <v>0.15135999999999999</v>
      </c>
      <c r="K244" s="22"/>
    </row>
    <row r="245" spans="1:11" x14ac:dyDescent="0.3">
      <c r="G245" s="22"/>
      <c r="I245" s="29"/>
      <c r="J245" s="29"/>
      <c r="K245" s="22"/>
    </row>
    <row r="246" spans="1:11" x14ac:dyDescent="0.3">
      <c r="G246" s="25" t="s">
        <v>32</v>
      </c>
    </row>
    <row r="247" spans="1:11" x14ac:dyDescent="0.3">
      <c r="A247" s="11" t="s">
        <v>124</v>
      </c>
      <c r="G247" s="8">
        <f>SUM(G248:G251)</f>
        <v>1395.0699839999997</v>
      </c>
      <c r="H247" s="8">
        <f t="shared" ref="H247:I247" si="39">SUM(H248:H251)</f>
        <v>502.22519423999989</v>
      </c>
      <c r="I247" s="8">
        <f t="shared" si="39"/>
        <v>296.87089259519996</v>
      </c>
    </row>
    <row r="248" spans="1:11" x14ac:dyDescent="0.3">
      <c r="A248" s="23" t="s">
        <v>120</v>
      </c>
      <c r="G248" s="7">
        <f>G205*(1-F234)</f>
        <v>1116.0559871999999</v>
      </c>
      <c r="H248" s="82">
        <f>G286*(1-G234)+G249*(1-G235)</f>
        <v>223.21119743999992</v>
      </c>
    </row>
    <row r="249" spans="1:11" x14ac:dyDescent="0.3">
      <c r="A249" s="24" t="s">
        <v>122</v>
      </c>
      <c r="G249" s="7">
        <f>G205*F234</f>
        <v>279.01399679999997</v>
      </c>
      <c r="H249" s="7">
        <f>G286*G234</f>
        <v>55.80279935999998</v>
      </c>
      <c r="I249" s="7">
        <f>H248*H234</f>
        <v>29.017455667199989</v>
      </c>
      <c r="J249" s="7">
        <f>I248*I234</f>
        <v>0</v>
      </c>
    </row>
    <row r="250" spans="1:11" x14ac:dyDescent="0.3">
      <c r="A250" s="23" t="s">
        <v>121</v>
      </c>
      <c r="H250" s="7">
        <f>G249*G235</f>
        <v>223.21119743999998</v>
      </c>
      <c r="I250" s="7">
        <f>H249*H235</f>
        <v>44.642239487999987</v>
      </c>
      <c r="J250" s="7">
        <f>I249*I235</f>
        <v>23.213964533759992</v>
      </c>
    </row>
    <row r="251" spans="1:11" x14ac:dyDescent="0.3">
      <c r="A251" s="23" t="s">
        <v>138</v>
      </c>
      <c r="H251" s="7"/>
      <c r="I251" s="7">
        <f>H250*H236</f>
        <v>223.21119743999998</v>
      </c>
      <c r="J251" s="7">
        <f>I250*I236+I251</f>
        <v>267.85343692799995</v>
      </c>
      <c r="K251" s="7">
        <f>J250*J236+J251</f>
        <v>291.06740146175991</v>
      </c>
    </row>
    <row r="252" spans="1:11" x14ac:dyDescent="0.3">
      <c r="A252" s="23"/>
      <c r="H252" s="7"/>
    </row>
    <row r="253" spans="1:11" x14ac:dyDescent="0.3">
      <c r="A253" s="23" t="s">
        <v>137</v>
      </c>
      <c r="H253" s="7"/>
      <c r="I253" s="7">
        <f>H248*(1-H234)+H249*(1-H235)+H250*(1-H236)</f>
        <v>205.35430164479993</v>
      </c>
      <c r="J253" s="7">
        <f>I249*(1-I235)+I253</f>
        <v>211.15779277823992</v>
      </c>
      <c r="K253" s="7">
        <f>J250*(1-J236)+J253</f>
        <v>211.15779277823992</v>
      </c>
    </row>
    <row r="254" spans="1:11" x14ac:dyDescent="0.3">
      <c r="A254" s="23"/>
      <c r="H254" s="7"/>
    </row>
    <row r="255" spans="1:11" x14ac:dyDescent="0.3">
      <c r="A255" s="11" t="s">
        <v>139</v>
      </c>
      <c r="G255" s="8">
        <f>SUM(G256:G257)</f>
        <v>1116.0559871999999</v>
      </c>
      <c r="H255" s="8">
        <f>SUM(H256:H257)</f>
        <v>223.21119743999992</v>
      </c>
      <c r="I255" s="8">
        <f>SUM(I256:I257)</f>
        <v>205.35430164479993</v>
      </c>
      <c r="J255" s="8">
        <f>SUM(J256:J257)</f>
        <v>5.803491133439997</v>
      </c>
    </row>
    <row r="256" spans="1:11" x14ac:dyDescent="0.3">
      <c r="A256" s="23" t="s">
        <v>120</v>
      </c>
      <c r="G256" s="7">
        <f>G248</f>
        <v>1116.0559871999999</v>
      </c>
      <c r="H256" s="82">
        <f>G286*(1-G234)</f>
        <v>167.40839807999993</v>
      </c>
      <c r="I256" s="7">
        <f>H248*(1-H234)</f>
        <v>194.19374177279994</v>
      </c>
    </row>
    <row r="257" spans="1:11" x14ac:dyDescent="0.3">
      <c r="A257" s="24" t="s">
        <v>122</v>
      </c>
      <c r="H257" s="7">
        <f>G249*(1-G235)</f>
        <v>55.80279935999998</v>
      </c>
      <c r="I257" s="7">
        <f>H249*(1-H235)</f>
        <v>11.160559871999993</v>
      </c>
      <c r="J257" s="7">
        <f>I249*(1-I235)</f>
        <v>5.803491133439997</v>
      </c>
    </row>
    <row r="258" spans="1:11" x14ac:dyDescent="0.3">
      <c r="A258" s="23"/>
      <c r="H258" s="7"/>
      <c r="I258" s="7">
        <f>H250*(1-H236)</f>
        <v>0</v>
      </c>
      <c r="J258" s="7">
        <f>I250*(1-I236)</f>
        <v>0</v>
      </c>
    </row>
    <row r="259" spans="1:11" x14ac:dyDescent="0.3">
      <c r="A259" s="81" t="s">
        <v>123</v>
      </c>
    </row>
    <row r="260" spans="1:11" x14ac:dyDescent="0.3">
      <c r="A260" s="23" t="s">
        <v>120</v>
      </c>
      <c r="G260" s="7">
        <f>G221-G228</f>
        <v>64.102564102564116</v>
      </c>
      <c r="H260" s="7">
        <f>G260-H228</f>
        <v>32.051282051282065</v>
      </c>
      <c r="I260" s="7">
        <f>H260-I228</f>
        <v>0</v>
      </c>
    </row>
    <row r="261" spans="1:11" x14ac:dyDescent="0.3">
      <c r="A261" s="24" t="s">
        <v>122</v>
      </c>
      <c r="G261" s="7">
        <f>G221</f>
        <v>96.15384615384616</v>
      </c>
      <c r="H261" s="7">
        <f>G260</f>
        <v>64.102564102564116</v>
      </c>
      <c r="I261" s="7">
        <f>H260</f>
        <v>32.051282051282065</v>
      </c>
    </row>
    <row r="262" spans="1:11" x14ac:dyDescent="0.3">
      <c r="A262" s="23" t="s">
        <v>121</v>
      </c>
      <c r="H262" s="7">
        <f>G261</f>
        <v>96.15384615384616</v>
      </c>
      <c r="I262" s="7">
        <f>H261</f>
        <v>64.102564102564116</v>
      </c>
      <c r="J262" s="7">
        <f>I261</f>
        <v>32.051282051282065</v>
      </c>
    </row>
    <row r="263" spans="1:11" x14ac:dyDescent="0.3">
      <c r="A263" s="23"/>
      <c r="I263" s="7"/>
      <c r="J263" s="7"/>
    </row>
    <row r="264" spans="1:11" x14ac:dyDescent="0.3">
      <c r="A264" s="23"/>
      <c r="I264" s="7"/>
      <c r="J264" s="7"/>
    </row>
    <row r="265" spans="1:11" x14ac:dyDescent="0.3">
      <c r="A265" s="11" t="s">
        <v>130</v>
      </c>
      <c r="G265" s="8">
        <f>SUM(G266:G269)</f>
        <v>98370.319384615388</v>
      </c>
      <c r="H265" s="8">
        <f t="shared" ref="H265:J265" si="40">SUM(H266:H269)</f>
        <v>32193.922707692305</v>
      </c>
      <c r="I265" s="8">
        <f t="shared" si="40"/>
        <v>25254.343812923074</v>
      </c>
      <c r="J265" s="8">
        <f t="shared" si="40"/>
        <v>25068.334481723075</v>
      </c>
    </row>
    <row r="266" spans="1:11" x14ac:dyDescent="0.3">
      <c r="A266" s="23" t="s">
        <v>120</v>
      </c>
      <c r="G266" s="7">
        <f t="shared" ref="G266:I266" si="41">G260*G248</f>
        <v>71542.050461538471</v>
      </c>
      <c r="H266" s="7">
        <f t="shared" si="41"/>
        <v>7154.2050461538465</v>
      </c>
      <c r="I266" s="7">
        <f t="shared" si="41"/>
        <v>0</v>
      </c>
    </row>
    <row r="267" spans="1:11" x14ac:dyDescent="0.3">
      <c r="A267" s="24" t="s">
        <v>122</v>
      </c>
      <c r="G267" s="7">
        <f t="shared" ref="G267:I267" si="42">G261*G249</f>
        <v>26828.268923076921</v>
      </c>
      <c r="H267" s="7">
        <f t="shared" si="42"/>
        <v>3577.1025230769228</v>
      </c>
      <c r="I267" s="7">
        <f t="shared" si="42"/>
        <v>930.0466560000001</v>
      </c>
      <c r="J267" s="7">
        <f>J261*J249</f>
        <v>0</v>
      </c>
    </row>
    <row r="268" spans="1:11" x14ac:dyDescent="0.3">
      <c r="A268" s="23" t="s">
        <v>121</v>
      </c>
      <c r="H268" s="7">
        <f>H262*H250</f>
        <v>21462.615138461537</v>
      </c>
      <c r="I268" s="7">
        <f>I262*I250</f>
        <v>2861.6820184615381</v>
      </c>
      <c r="J268" s="7">
        <f>J262*J250</f>
        <v>744.03732480000008</v>
      </c>
    </row>
    <row r="269" spans="1:11" x14ac:dyDescent="0.3">
      <c r="A269" s="23" t="s">
        <v>299</v>
      </c>
      <c r="I269" s="8">
        <f>H268</f>
        <v>21462.615138461537</v>
      </c>
      <c r="J269" s="8">
        <f>I269+I268</f>
        <v>24324.297156923076</v>
      </c>
      <c r="K269" s="8">
        <f>J269+J268</f>
        <v>25068.334481723075</v>
      </c>
    </row>
    <row r="270" spans="1:11" x14ac:dyDescent="0.3">
      <c r="A270" s="23"/>
    </row>
    <row r="271" spans="1:11" x14ac:dyDescent="0.3">
      <c r="A271" s="105" t="s">
        <v>300</v>
      </c>
      <c r="G271" s="8">
        <f>K269</f>
        <v>25068.334481723075</v>
      </c>
    </row>
    <row r="272" spans="1:11" x14ac:dyDescent="0.3">
      <c r="A272" s="23"/>
    </row>
    <row r="273" spans="1:11" x14ac:dyDescent="0.3">
      <c r="A273" s="11" t="s">
        <v>140</v>
      </c>
      <c r="G273" s="8">
        <f>SUM(G275:G278)</f>
        <v>35771.025230769228</v>
      </c>
      <c r="H273" s="8">
        <f>SUM(H275:H278)</f>
        <v>8942.7563076923034</v>
      </c>
      <c r="I273" s="8">
        <f t="shared" ref="I273:J273" si="43">SUM(I275:I278)</f>
        <v>6939.5788947692281</v>
      </c>
      <c r="J273" s="8">
        <f t="shared" si="43"/>
        <v>186.00933119999991</v>
      </c>
    </row>
    <row r="274" spans="1:11" x14ac:dyDescent="0.3">
      <c r="A274" s="11"/>
      <c r="G274" s="8"/>
      <c r="H274" s="8"/>
      <c r="I274" s="8"/>
      <c r="J274" s="8"/>
    </row>
    <row r="275" spans="1:11" x14ac:dyDescent="0.3">
      <c r="A275" t="s">
        <v>131</v>
      </c>
      <c r="C275" s="23" t="s">
        <v>120</v>
      </c>
      <c r="G275" s="6">
        <f>G284*G228</f>
        <v>28616.820184615382</v>
      </c>
    </row>
    <row r="276" spans="1:11" x14ac:dyDescent="0.3">
      <c r="C276" s="23"/>
      <c r="G276" s="6"/>
    </row>
    <row r="277" spans="1:11" x14ac:dyDescent="0.3">
      <c r="A277" t="s">
        <v>200</v>
      </c>
      <c r="C277" s="23" t="s">
        <v>120</v>
      </c>
      <c r="G277" s="6">
        <f>G286*G228</f>
        <v>7154.2050461538438</v>
      </c>
      <c r="H277" s="27">
        <f>H256*H228</f>
        <v>5365.6537846153824</v>
      </c>
      <c r="I277" s="27">
        <f t="shared" ref="I277:J277" si="44">I256*I228</f>
        <v>6224.1583901538443</v>
      </c>
      <c r="J277" s="27">
        <f t="shared" si="44"/>
        <v>0</v>
      </c>
      <c r="K277" s="27"/>
    </row>
    <row r="278" spans="1:11" x14ac:dyDescent="0.3">
      <c r="A278" t="s">
        <v>200</v>
      </c>
      <c r="C278" s="24" t="s">
        <v>122</v>
      </c>
      <c r="G278" s="6"/>
      <c r="H278" s="27">
        <f>H257*(G228+H228)</f>
        <v>3577.1025230769219</v>
      </c>
      <c r="I278" s="27">
        <f t="shared" ref="I278" si="45">I257*(H228+I228)</f>
        <v>715.42050461538417</v>
      </c>
      <c r="J278" s="27">
        <f t="shared" ref="J278" si="46">J257*(I228+J228)</f>
        <v>186.00933119999991</v>
      </c>
      <c r="K278" s="27"/>
    </row>
    <row r="280" spans="1:11" x14ac:dyDescent="0.3">
      <c r="A280" s="11" t="s">
        <v>283</v>
      </c>
      <c r="G280" s="8">
        <f>SUM(G277:J278)</f>
        <v>23222.549579815375</v>
      </c>
    </row>
    <row r="282" spans="1:11" x14ac:dyDescent="0.3">
      <c r="A282" t="s">
        <v>202</v>
      </c>
      <c r="G282" s="28">
        <f>G284*(H228+I228)</f>
        <v>57233.640369230765</v>
      </c>
    </row>
    <row r="284" spans="1:11" x14ac:dyDescent="0.3">
      <c r="A284" s="72" t="s">
        <v>132</v>
      </c>
      <c r="G284" s="73">
        <f>G248*G230</f>
        <v>892.84478975999991</v>
      </c>
    </row>
    <row r="286" spans="1:11" x14ac:dyDescent="0.3">
      <c r="A286" t="s">
        <v>201</v>
      </c>
      <c r="G286" s="7">
        <f>G248*G231</f>
        <v>223.21119743999992</v>
      </c>
    </row>
    <row r="289" spans="1:21" x14ac:dyDescent="0.3">
      <c r="A289" s="152" t="s">
        <v>221</v>
      </c>
      <c r="B289" s="153"/>
      <c r="C289" s="153"/>
      <c r="D289" s="153"/>
      <c r="E289" s="153"/>
      <c r="F289" s="153"/>
      <c r="G289" s="153"/>
      <c r="H289" s="153"/>
      <c r="I289" s="153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4"/>
    </row>
    <row r="291" spans="1:21" x14ac:dyDescent="0.3">
      <c r="A291" t="s">
        <v>197</v>
      </c>
      <c r="F291" s="83">
        <f>E197</f>
        <v>4096</v>
      </c>
    </row>
    <row r="292" spans="1:21" x14ac:dyDescent="0.3">
      <c r="A292" t="s">
        <v>199</v>
      </c>
      <c r="F292" s="7">
        <f>F294*F291</f>
        <v>4096</v>
      </c>
      <c r="I292" s="77"/>
    </row>
    <row r="293" spans="1:21" x14ac:dyDescent="0.3">
      <c r="F293" s="7"/>
      <c r="I293" s="77"/>
    </row>
    <row r="294" spans="1:21" x14ac:dyDescent="0.3">
      <c r="A294" s="11" t="s">
        <v>134</v>
      </c>
      <c r="B294" s="11"/>
      <c r="C294" s="11"/>
      <c r="F294" s="104">
        <f>$E$120</f>
        <v>1</v>
      </c>
      <c r="G294" s="11"/>
      <c r="H294" s="11"/>
      <c r="J294" s="11"/>
    </row>
    <row r="295" spans="1:21" x14ac:dyDescent="0.3">
      <c r="A295" t="s">
        <v>35</v>
      </c>
      <c r="F295" s="84">
        <f>H244</f>
        <v>0</v>
      </c>
    </row>
    <row r="296" spans="1:21" x14ac:dyDescent="0.3">
      <c r="A296" t="s">
        <v>36</v>
      </c>
      <c r="F296" s="89">
        <f>0.95</f>
        <v>0.95</v>
      </c>
    </row>
    <row r="297" spans="1:21" x14ac:dyDescent="0.3">
      <c r="A297" t="s">
        <v>142</v>
      </c>
      <c r="F297" s="89">
        <v>0.99</v>
      </c>
    </row>
    <row r="298" spans="1:21" x14ac:dyDescent="0.3">
      <c r="A298" t="s">
        <v>37</v>
      </c>
      <c r="F298" s="89">
        <v>0.98</v>
      </c>
    </row>
    <row r="301" spans="1:21" x14ac:dyDescent="0.3">
      <c r="A301" t="s">
        <v>125</v>
      </c>
      <c r="F301" s="83">
        <f>E127+F302</f>
        <v>96.15384615384616</v>
      </c>
    </row>
    <row r="302" spans="1:21" x14ac:dyDescent="0.3">
      <c r="A302" t="s">
        <v>135</v>
      </c>
      <c r="F302" s="82">
        <f>$D$46</f>
        <v>32.051282051282051</v>
      </c>
    </row>
    <row r="304" spans="1:21" x14ac:dyDescent="0.3">
      <c r="A304" t="s">
        <v>126</v>
      </c>
      <c r="F304" s="88">
        <f>$D$43</f>
        <v>0.5</v>
      </c>
    </row>
    <row r="305" spans="1:8" x14ac:dyDescent="0.3">
      <c r="A305" t="s">
        <v>117</v>
      </c>
      <c r="F305" s="7">
        <f>F304*F301</f>
        <v>48.07692307692308</v>
      </c>
    </row>
    <row r="307" spans="1:8" x14ac:dyDescent="0.3">
      <c r="A307" t="s">
        <v>118</v>
      </c>
      <c r="F307" s="7">
        <f>F302</f>
        <v>32.051282051282051</v>
      </c>
    </row>
    <row r="308" spans="1:8" x14ac:dyDescent="0.3">
      <c r="A308" t="s">
        <v>106</v>
      </c>
      <c r="F308" s="7">
        <f>F301*(1+F304)</f>
        <v>144.23076923076923</v>
      </c>
    </row>
    <row r="309" spans="1:8" x14ac:dyDescent="0.3">
      <c r="F309" s="7"/>
    </row>
    <row r="310" spans="1:8" x14ac:dyDescent="0.3">
      <c r="A310" t="s">
        <v>136</v>
      </c>
      <c r="F310" s="7">
        <f>F307*F292</f>
        <v>131282.05128205128</v>
      </c>
    </row>
    <row r="311" spans="1:8" x14ac:dyDescent="0.3">
      <c r="A311" t="s">
        <v>119</v>
      </c>
      <c r="F311" s="7">
        <f>F308*F292</f>
        <v>590769.23076923075</v>
      </c>
    </row>
    <row r="312" spans="1:8" x14ac:dyDescent="0.3">
      <c r="F312" s="7"/>
    </row>
    <row r="313" spans="1:8" x14ac:dyDescent="0.3">
      <c r="A313" t="s">
        <v>302</v>
      </c>
      <c r="F313" s="6">
        <f>F305*F292</f>
        <v>196923.07692307694</v>
      </c>
    </row>
    <row r="314" spans="1:8" x14ac:dyDescent="0.3">
      <c r="F314" s="7"/>
    </row>
    <row r="315" spans="1:8" x14ac:dyDescent="0.3">
      <c r="A315" t="s">
        <v>127</v>
      </c>
      <c r="F315" s="7">
        <f>F308/3</f>
        <v>48.076923076923073</v>
      </c>
      <c r="G315" s="7">
        <f>F308/3</f>
        <v>48.076923076923073</v>
      </c>
      <c r="H315" s="7">
        <f>F308/3</f>
        <v>48.076923076923073</v>
      </c>
    </row>
    <row r="317" spans="1:8" x14ac:dyDescent="0.3">
      <c r="A317" t="s">
        <v>128</v>
      </c>
      <c r="F317" s="21">
        <f>Summary!B29</f>
        <v>0.8</v>
      </c>
    </row>
    <row r="318" spans="1:8" x14ac:dyDescent="0.3">
      <c r="A318" t="s">
        <v>129</v>
      </c>
      <c r="F318" s="21">
        <f>1-F317</f>
        <v>0.19999999999999996</v>
      </c>
    </row>
    <row r="320" spans="1:8" x14ac:dyDescent="0.3">
      <c r="A320" s="71" t="s">
        <v>16</v>
      </c>
    </row>
    <row r="321" spans="1:10" x14ac:dyDescent="0.3">
      <c r="A321" t="s">
        <v>17</v>
      </c>
      <c r="E321" s="74">
        <f>Summary!$B$52</f>
        <v>0.2</v>
      </c>
      <c r="F321" s="74">
        <f>Summary!$B$53</f>
        <v>0.25</v>
      </c>
      <c r="G321" s="74">
        <f>Summary!$B$54</f>
        <v>0.13</v>
      </c>
      <c r="H321" s="75"/>
      <c r="I321" s="75"/>
    </row>
    <row r="322" spans="1:10" x14ac:dyDescent="0.3">
      <c r="A322" t="s">
        <v>18</v>
      </c>
      <c r="C322" s="75"/>
      <c r="F322" s="74">
        <f>Summary!$B$55</f>
        <v>0.8</v>
      </c>
      <c r="G322" s="76">
        <f>F322</f>
        <v>0.8</v>
      </c>
      <c r="H322" s="76">
        <f>G322</f>
        <v>0.8</v>
      </c>
      <c r="I322" s="75"/>
    </row>
    <row r="323" spans="1:10" x14ac:dyDescent="0.3">
      <c r="A323" t="s">
        <v>19</v>
      </c>
      <c r="C323" s="75"/>
      <c r="F323" s="75"/>
      <c r="G323" s="74">
        <f>Summary!$B$56</f>
        <v>1</v>
      </c>
      <c r="H323" s="74">
        <f>G323</f>
        <v>1</v>
      </c>
      <c r="I323" s="74">
        <f>H323</f>
        <v>1</v>
      </c>
    </row>
    <row r="324" spans="1:10" x14ac:dyDescent="0.3">
      <c r="A324" t="s">
        <v>20</v>
      </c>
      <c r="I324" s="21"/>
    </row>
    <row r="325" spans="1:10" x14ac:dyDescent="0.3">
      <c r="I325" s="21"/>
    </row>
    <row r="326" spans="1:10" x14ac:dyDescent="0.3">
      <c r="A326" s="11" t="s">
        <v>196</v>
      </c>
      <c r="F326" s="90">
        <f>SUM(F327:F330)</f>
        <v>0.36</v>
      </c>
      <c r="G326" s="90">
        <f t="shared" ref="G326:I326" si="47">SUM(G327:G330)</f>
        <v>0.36</v>
      </c>
      <c r="H326" s="90">
        <f t="shared" si="47"/>
        <v>0.21280000000000004</v>
      </c>
      <c r="I326" s="90">
        <f t="shared" si="47"/>
        <v>0.20864000000000002</v>
      </c>
    </row>
    <row r="327" spans="1:10" x14ac:dyDescent="0.3">
      <c r="A327" t="s">
        <v>17</v>
      </c>
      <c r="F327" s="22">
        <f>(1-E321)*F318</f>
        <v>0.15999999999999998</v>
      </c>
      <c r="G327" s="22">
        <f>F327*(1-F321)+F328*(1-F322)</f>
        <v>0.15999999999999998</v>
      </c>
    </row>
    <row r="328" spans="1:10" x14ac:dyDescent="0.3">
      <c r="A328" t="s">
        <v>18</v>
      </c>
      <c r="F328" s="22">
        <f>E321</f>
        <v>0.2</v>
      </c>
      <c r="G328" s="22">
        <f>F327*F321</f>
        <v>3.9999999999999994E-2</v>
      </c>
      <c r="H328" s="22">
        <f>G327*G321</f>
        <v>2.0799999999999999E-2</v>
      </c>
      <c r="J328" s="22"/>
    </row>
    <row r="329" spans="1:10" x14ac:dyDescent="0.3">
      <c r="A329" t="s">
        <v>19</v>
      </c>
      <c r="G329" s="22">
        <f>F328*F322</f>
        <v>0.16000000000000003</v>
      </c>
      <c r="H329" s="22">
        <f>G328*G322+G329</f>
        <v>0.19200000000000003</v>
      </c>
      <c r="I329" s="22">
        <f>H328*H322+H329</f>
        <v>0.20864000000000002</v>
      </c>
    </row>
    <row r="330" spans="1:10" x14ac:dyDescent="0.3">
      <c r="G330" s="22"/>
      <c r="H330" s="22"/>
    </row>
    <row r="331" spans="1:10" x14ac:dyDescent="0.3">
      <c r="A331" t="s">
        <v>195</v>
      </c>
      <c r="F331" s="22">
        <f>(1-E321)*F317</f>
        <v>0.64000000000000012</v>
      </c>
      <c r="H331" s="29">
        <f>G327*(1-G321)+G328*(1-G322)+G329*(1-G323)</f>
        <v>0.1472</v>
      </c>
      <c r="I331" s="29">
        <f>H328*(1-H322)+H331</f>
        <v>0.15135999999999999</v>
      </c>
      <c r="J331" s="22"/>
    </row>
    <row r="332" spans="1:10" x14ac:dyDescent="0.3">
      <c r="F332" s="22"/>
      <c r="H332" s="29"/>
      <c r="I332" s="29"/>
      <c r="J332" s="22"/>
    </row>
    <row r="333" spans="1:10" x14ac:dyDescent="0.3">
      <c r="F333" s="25" t="s">
        <v>32</v>
      </c>
    </row>
    <row r="334" spans="1:10" x14ac:dyDescent="0.3">
      <c r="A334" s="11" t="s">
        <v>124</v>
      </c>
      <c r="F334" s="8">
        <f>SUM(F335:F338)</f>
        <v>4096</v>
      </c>
      <c r="G334" s="8">
        <f t="shared" ref="G334:H334" si="48">SUM(G335:G338)</f>
        <v>1474.56</v>
      </c>
      <c r="H334" s="8">
        <f t="shared" si="48"/>
        <v>871.62880000000007</v>
      </c>
    </row>
    <row r="335" spans="1:10" x14ac:dyDescent="0.3">
      <c r="A335" s="23" t="s">
        <v>120</v>
      </c>
      <c r="F335" s="7">
        <f>F292*(1-E321)</f>
        <v>3276.8</v>
      </c>
      <c r="G335" s="82">
        <f>F373*(1-F321)+F336*(1-F322)</f>
        <v>655.3599999999999</v>
      </c>
    </row>
    <row r="336" spans="1:10" x14ac:dyDescent="0.3">
      <c r="A336" s="24" t="s">
        <v>122</v>
      </c>
      <c r="F336" s="7">
        <f>F292*E321</f>
        <v>819.2</v>
      </c>
      <c r="G336" s="7">
        <f>F373*F321</f>
        <v>163.83999999999997</v>
      </c>
      <c r="H336" s="7">
        <f>G335*G321</f>
        <v>85.196799999999996</v>
      </c>
      <c r="I336" s="7">
        <f>H335*H321</f>
        <v>0</v>
      </c>
    </row>
    <row r="337" spans="1:10" x14ac:dyDescent="0.3">
      <c r="A337" s="23" t="s">
        <v>121</v>
      </c>
      <c r="G337" s="7">
        <f>F336*F322</f>
        <v>655.36000000000013</v>
      </c>
      <c r="H337" s="7">
        <f>G336*G322</f>
        <v>131.07199999999997</v>
      </c>
      <c r="I337" s="7">
        <f>H336*H322</f>
        <v>68.157439999999994</v>
      </c>
    </row>
    <row r="338" spans="1:10" x14ac:dyDescent="0.3">
      <c r="A338" s="23" t="s">
        <v>138</v>
      </c>
      <c r="G338" s="7"/>
      <c r="H338" s="7">
        <f>G337*G323</f>
        <v>655.36000000000013</v>
      </c>
      <c r="I338" s="7">
        <f>H337*H323+H338</f>
        <v>786.43200000000013</v>
      </c>
      <c r="J338" s="7">
        <f>I337*I323+I338</f>
        <v>854.58944000000008</v>
      </c>
    </row>
    <row r="339" spans="1:10" x14ac:dyDescent="0.3">
      <c r="A339" s="23"/>
      <c r="G339" s="7"/>
    </row>
    <row r="340" spans="1:10" x14ac:dyDescent="0.3">
      <c r="A340" s="23" t="s">
        <v>137</v>
      </c>
      <c r="G340" s="7"/>
      <c r="H340" s="7">
        <f>G335*(1-G321)+G336*(1-G322)+G337*(1-G323)</f>
        <v>602.93119999999999</v>
      </c>
      <c r="I340" s="7">
        <f>H336*(1-H322)+H340</f>
        <v>619.97055999999998</v>
      </c>
      <c r="J340" s="7">
        <f>I337*(1-I323)+I340</f>
        <v>619.97055999999998</v>
      </c>
    </row>
    <row r="341" spans="1:10" x14ac:dyDescent="0.3">
      <c r="A341" s="23"/>
      <c r="G341" s="7"/>
    </row>
    <row r="342" spans="1:10" x14ac:dyDescent="0.3">
      <c r="A342" s="11" t="s">
        <v>139</v>
      </c>
      <c r="F342" s="8">
        <f>SUM(F343:F344)</f>
        <v>3276.8</v>
      </c>
      <c r="G342" s="8">
        <f>SUM(G343:G344)</f>
        <v>655.3599999999999</v>
      </c>
      <c r="H342" s="8">
        <f>SUM(H343:H344)</f>
        <v>602.93119999999999</v>
      </c>
      <c r="I342" s="8">
        <f>SUM(I343:I344)</f>
        <v>17.039359999999995</v>
      </c>
    </row>
    <row r="343" spans="1:10" x14ac:dyDescent="0.3">
      <c r="A343" s="23" t="s">
        <v>120</v>
      </c>
      <c r="F343" s="7">
        <f>F335</f>
        <v>3276.8</v>
      </c>
      <c r="G343" s="7">
        <f>F373*(1-F321)</f>
        <v>491.51999999999992</v>
      </c>
      <c r="H343" s="7">
        <f>G335*(1-G321)</f>
        <v>570.16319999999996</v>
      </c>
    </row>
    <row r="344" spans="1:10" x14ac:dyDescent="0.3">
      <c r="A344" s="24" t="s">
        <v>122</v>
      </c>
      <c r="G344" s="7">
        <f>F336*(1-F322)</f>
        <v>163.83999999999997</v>
      </c>
      <c r="H344" s="7">
        <f>G336*(1-G322)</f>
        <v>32.767999999999986</v>
      </c>
      <c r="I344" s="7">
        <f>H336*(1-H322)</f>
        <v>17.039359999999995</v>
      </c>
    </row>
    <row r="345" spans="1:10" x14ac:dyDescent="0.3">
      <c r="A345" s="23"/>
      <c r="G345" s="7"/>
      <c r="H345" s="7">
        <f>G337*(1-G323)</f>
        <v>0</v>
      </c>
      <c r="I345" s="7">
        <f>H337*(1-H323)</f>
        <v>0</v>
      </c>
    </row>
    <row r="346" spans="1:10" x14ac:dyDescent="0.3">
      <c r="A346" s="81" t="s">
        <v>123</v>
      </c>
    </row>
    <row r="347" spans="1:10" x14ac:dyDescent="0.3">
      <c r="A347" s="23" t="s">
        <v>120</v>
      </c>
      <c r="F347" s="7">
        <f>F308-F315</f>
        <v>96.15384615384616</v>
      </c>
      <c r="G347" s="7">
        <f>F347-G315</f>
        <v>48.076923076923087</v>
      </c>
      <c r="H347" s="7">
        <f>G347-H315</f>
        <v>0</v>
      </c>
    </row>
    <row r="348" spans="1:10" x14ac:dyDescent="0.3">
      <c r="A348" s="24" t="s">
        <v>122</v>
      </c>
      <c r="F348" s="7">
        <f>F308</f>
        <v>144.23076923076923</v>
      </c>
      <c r="G348" s="7">
        <f>F347</f>
        <v>96.15384615384616</v>
      </c>
      <c r="H348" s="7">
        <f>G347</f>
        <v>48.076923076923087</v>
      </c>
    </row>
    <row r="349" spans="1:10" x14ac:dyDescent="0.3">
      <c r="A349" s="23" t="s">
        <v>121</v>
      </c>
      <c r="G349" s="7">
        <f>F348</f>
        <v>144.23076923076923</v>
      </c>
      <c r="H349" s="7">
        <f>G348</f>
        <v>96.15384615384616</v>
      </c>
      <c r="I349" s="7">
        <f>H348</f>
        <v>48.076923076923087</v>
      </c>
    </row>
    <row r="350" spans="1:10" x14ac:dyDescent="0.3">
      <c r="A350" s="23"/>
      <c r="H350" s="7"/>
      <c r="I350" s="7"/>
    </row>
    <row r="351" spans="1:10" x14ac:dyDescent="0.3">
      <c r="A351" s="23"/>
      <c r="H351" s="7"/>
      <c r="I351" s="7"/>
    </row>
    <row r="352" spans="1:10" x14ac:dyDescent="0.3">
      <c r="A352" s="11" t="s">
        <v>130</v>
      </c>
      <c r="F352" s="8">
        <f>SUM(F353:F356)</f>
        <v>433230.76923076925</v>
      </c>
      <c r="G352" s="8">
        <f t="shared" ref="G352:I352" si="49">SUM(G353:G356)</f>
        <v>141784.6153846154</v>
      </c>
      <c r="H352" s="8">
        <f t="shared" si="49"/>
        <v>111222.15384615386</v>
      </c>
      <c r="I352" s="8">
        <f t="shared" si="49"/>
        <v>110402.95384615386</v>
      </c>
    </row>
    <row r="353" spans="1:10" x14ac:dyDescent="0.3">
      <c r="A353" s="23" t="s">
        <v>120</v>
      </c>
      <c r="F353" s="7">
        <f>F347*F335</f>
        <v>315076.92307692312</v>
      </c>
      <c r="G353" s="7">
        <f t="shared" ref="G353:H353" si="50">G347*G335</f>
        <v>31507.692307692309</v>
      </c>
      <c r="H353" s="7">
        <f t="shared" si="50"/>
        <v>0</v>
      </c>
    </row>
    <row r="354" spans="1:10" x14ac:dyDescent="0.3">
      <c r="A354" s="24" t="s">
        <v>122</v>
      </c>
      <c r="F354" s="7">
        <f>F348*F336</f>
        <v>118153.84615384616</v>
      </c>
      <c r="G354" s="7">
        <f t="shared" ref="G354:H354" si="51">G348*G336</f>
        <v>15753.846153846152</v>
      </c>
      <c r="H354" s="7">
        <f t="shared" si="51"/>
        <v>4096.0000000000009</v>
      </c>
      <c r="I354" s="7">
        <f>I348*I336</f>
        <v>0</v>
      </c>
    </row>
    <row r="355" spans="1:10" x14ac:dyDescent="0.3">
      <c r="A355" s="23" t="s">
        <v>121</v>
      </c>
      <c r="G355" s="7">
        <f>G349*G337</f>
        <v>94523.076923076937</v>
      </c>
      <c r="H355" s="7">
        <f>H349*H337</f>
        <v>12603.076923076922</v>
      </c>
      <c r="I355" s="7">
        <f>I349*I337</f>
        <v>3276.8000000000006</v>
      </c>
    </row>
    <row r="356" spans="1:10" x14ac:dyDescent="0.3">
      <c r="A356" s="23" t="s">
        <v>299</v>
      </c>
      <c r="H356" s="8">
        <f>G355</f>
        <v>94523.076923076937</v>
      </c>
      <c r="I356" s="8">
        <f>H356+H355</f>
        <v>107126.15384615386</v>
      </c>
      <c r="J356" s="8">
        <f>I356+I355</f>
        <v>110402.95384615386</v>
      </c>
    </row>
    <row r="357" spans="1:10" x14ac:dyDescent="0.3">
      <c r="A357" s="23"/>
    </row>
    <row r="358" spans="1:10" x14ac:dyDescent="0.3">
      <c r="A358" s="105" t="s">
        <v>300</v>
      </c>
      <c r="F358" s="8">
        <f>J356</f>
        <v>110402.95384615386</v>
      </c>
    </row>
    <row r="359" spans="1:10" x14ac:dyDescent="0.3">
      <c r="A359" s="23"/>
    </row>
    <row r="360" spans="1:10" x14ac:dyDescent="0.3">
      <c r="A360" s="11" t="s">
        <v>140</v>
      </c>
      <c r="F360" s="8">
        <f>SUM(F362:F365)</f>
        <v>157538.46153846156</v>
      </c>
      <c r="G360" s="8">
        <f>SUM(G362:G365)</f>
        <v>39384.615384615376</v>
      </c>
      <c r="H360" s="8">
        <f t="shared" ref="H360:I360" si="52">SUM(H362:H365)</f>
        <v>30562.461538461535</v>
      </c>
      <c r="I360" s="8">
        <f t="shared" si="52"/>
        <v>819.1999999999997</v>
      </c>
    </row>
    <row r="361" spans="1:10" x14ac:dyDescent="0.3">
      <c r="A361" s="11"/>
      <c r="F361" s="8"/>
      <c r="G361" s="8"/>
      <c r="H361" s="8"/>
      <c r="I361" s="8"/>
    </row>
    <row r="362" spans="1:10" x14ac:dyDescent="0.3">
      <c r="A362" t="s">
        <v>131</v>
      </c>
      <c r="C362" s="23" t="s">
        <v>120</v>
      </c>
      <c r="F362" s="6">
        <f>F371*F315</f>
        <v>126030.76923076925</v>
      </c>
    </row>
    <row r="363" spans="1:10" x14ac:dyDescent="0.3">
      <c r="C363" s="23"/>
      <c r="F363" s="6"/>
    </row>
    <row r="364" spans="1:10" x14ac:dyDescent="0.3">
      <c r="A364" t="s">
        <v>200</v>
      </c>
      <c r="C364" s="23" t="s">
        <v>120</v>
      </c>
      <c r="F364" s="6">
        <f>F373*F315</f>
        <v>31507.692307692301</v>
      </c>
      <c r="G364" s="27">
        <f>G343*G315</f>
        <v>23630.769230769227</v>
      </c>
      <c r="H364" s="27">
        <f t="shared" ref="H364:I364" si="53">H343*H315</f>
        <v>27411.692307692305</v>
      </c>
      <c r="I364" s="27">
        <f t="shared" si="53"/>
        <v>0</v>
      </c>
      <c r="J364" s="27"/>
    </row>
    <row r="365" spans="1:10" x14ac:dyDescent="0.3">
      <c r="A365" t="s">
        <v>200</v>
      </c>
      <c r="C365" s="24" t="s">
        <v>122</v>
      </c>
      <c r="F365" s="6"/>
      <c r="G365" s="27">
        <f>G344*(F315+G315)</f>
        <v>15753.846153846151</v>
      </c>
      <c r="H365" s="27">
        <f t="shared" ref="H365" si="54">H344*(G315+H315)</f>
        <v>3150.7692307692291</v>
      </c>
      <c r="I365" s="27">
        <f t="shared" ref="I365" si="55">I344*(H315+I315)</f>
        <v>819.1999999999997</v>
      </c>
      <c r="J365" s="27"/>
    </row>
    <row r="367" spans="1:10" x14ac:dyDescent="0.3">
      <c r="A367" s="11" t="s">
        <v>283</v>
      </c>
      <c r="F367" s="8">
        <f>SUM(F364:I365)</f>
        <v>102273.96923076923</v>
      </c>
    </row>
    <row r="369" spans="1:30" x14ac:dyDescent="0.3">
      <c r="A369" t="s">
        <v>202</v>
      </c>
      <c r="F369" s="28">
        <f>F371*(G315+H315)</f>
        <v>252061.5384615385</v>
      </c>
    </row>
    <row r="371" spans="1:30" x14ac:dyDescent="0.3">
      <c r="A371" s="72" t="s">
        <v>132</v>
      </c>
      <c r="F371" s="73">
        <f>F335*F317</f>
        <v>2621.4400000000005</v>
      </c>
    </row>
    <row r="373" spans="1:30" x14ac:dyDescent="0.3">
      <c r="A373" t="s">
        <v>201</v>
      </c>
      <c r="F373" s="7">
        <f>F335*F318</f>
        <v>655.3599999999999</v>
      </c>
    </row>
    <row r="376" spans="1:30" x14ac:dyDescent="0.3">
      <c r="A376" s="160" t="s">
        <v>204</v>
      </c>
      <c r="B376" s="161"/>
      <c r="C376" s="161"/>
      <c r="D376" s="161"/>
      <c r="E376" s="161"/>
      <c r="F376" s="161"/>
      <c r="G376" s="161"/>
      <c r="H376" s="161"/>
      <c r="I376" s="161"/>
      <c r="J376" s="161"/>
      <c r="K376" s="161"/>
      <c r="L376" s="161"/>
      <c r="M376" s="161"/>
      <c r="N376" s="161"/>
      <c r="O376" s="161"/>
      <c r="P376" s="161"/>
      <c r="Q376" s="161"/>
      <c r="R376" s="161"/>
      <c r="S376" s="161"/>
      <c r="T376" s="161"/>
      <c r="U376" s="161"/>
      <c r="V376" s="161"/>
      <c r="W376" s="161"/>
      <c r="X376" s="161"/>
      <c r="Y376" s="161"/>
      <c r="Z376" s="161"/>
      <c r="AA376" s="161"/>
      <c r="AB376" s="161"/>
      <c r="AC376" s="161"/>
      <c r="AD376" s="162"/>
    </row>
    <row r="378" spans="1:30" x14ac:dyDescent="0.3">
      <c r="A378" t="s">
        <v>197</v>
      </c>
      <c r="H378" s="83">
        <f>E118</f>
        <v>6400</v>
      </c>
    </row>
    <row r="379" spans="1:30" x14ac:dyDescent="0.3">
      <c r="A379" t="s">
        <v>206</v>
      </c>
      <c r="H379" s="7">
        <f>H381*H378</f>
        <v>892.8447897599998</v>
      </c>
      <c r="K379" s="77"/>
    </row>
    <row r="380" spans="1:30" x14ac:dyDescent="0.3">
      <c r="H380" s="7"/>
      <c r="K380" s="77"/>
    </row>
    <row r="381" spans="1:30" x14ac:dyDescent="0.3">
      <c r="A381" s="11" t="s">
        <v>134</v>
      </c>
      <c r="B381" s="11"/>
      <c r="C381" s="11"/>
      <c r="H381" s="87">
        <f>H382*H383*H384*H385</f>
        <v>0.13950699839999997</v>
      </c>
      <c r="I381" s="11"/>
      <c r="J381" s="11"/>
      <c r="L381" s="11"/>
    </row>
    <row r="382" spans="1:30" x14ac:dyDescent="0.3">
      <c r="A382" t="s">
        <v>35</v>
      </c>
      <c r="H382" s="84">
        <f>I331</f>
        <v>0.15135999999999999</v>
      </c>
    </row>
    <row r="383" spans="1:30" x14ac:dyDescent="0.3">
      <c r="A383" t="s">
        <v>36</v>
      </c>
      <c r="H383" s="86">
        <f>0.95</f>
        <v>0.95</v>
      </c>
    </row>
    <row r="384" spans="1:30" x14ac:dyDescent="0.3">
      <c r="A384" t="s">
        <v>142</v>
      </c>
      <c r="H384" s="86">
        <v>0.99</v>
      </c>
    </row>
    <row r="385" spans="1:8" x14ac:dyDescent="0.3">
      <c r="A385" t="s">
        <v>37</v>
      </c>
      <c r="H385" s="86">
        <v>0.98</v>
      </c>
    </row>
    <row r="388" spans="1:8" x14ac:dyDescent="0.3">
      <c r="A388" t="s">
        <v>125</v>
      </c>
      <c r="H388" s="83">
        <f>$B$32</f>
        <v>96.15384615384616</v>
      </c>
    </row>
    <row r="389" spans="1:8" x14ac:dyDescent="0.3">
      <c r="A389" s="100" t="s">
        <v>135</v>
      </c>
      <c r="H389" s="101">
        <f>H388</f>
        <v>96.15384615384616</v>
      </c>
    </row>
    <row r="391" spans="1:8" x14ac:dyDescent="0.3">
      <c r="A391" t="s">
        <v>126</v>
      </c>
      <c r="H391" s="88">
        <f>$D$43</f>
        <v>0.5</v>
      </c>
    </row>
    <row r="392" spans="1:8" x14ac:dyDescent="0.3">
      <c r="A392" t="s">
        <v>117</v>
      </c>
      <c r="H392" s="7">
        <f>H391*H388</f>
        <v>48.07692307692308</v>
      </c>
    </row>
    <row r="394" spans="1:8" x14ac:dyDescent="0.3">
      <c r="A394" t="s">
        <v>118</v>
      </c>
      <c r="H394" s="7">
        <f>H389</f>
        <v>96.15384615384616</v>
      </c>
    </row>
    <row r="395" spans="1:8" x14ac:dyDescent="0.3">
      <c r="A395" t="s">
        <v>106</v>
      </c>
      <c r="H395" s="7">
        <f>H388*(1+H391)</f>
        <v>144.23076923076923</v>
      </c>
    </row>
    <row r="396" spans="1:8" x14ac:dyDescent="0.3">
      <c r="H396" s="7"/>
    </row>
    <row r="397" spans="1:8" x14ac:dyDescent="0.3">
      <c r="A397" t="s">
        <v>136</v>
      </c>
      <c r="H397" s="7">
        <f>H394*H379</f>
        <v>85850.460553846147</v>
      </c>
    </row>
    <row r="398" spans="1:8" x14ac:dyDescent="0.3">
      <c r="A398" t="s">
        <v>119</v>
      </c>
      <c r="H398" s="7">
        <f>H395*H379</f>
        <v>128775.69083076919</v>
      </c>
    </row>
    <row r="399" spans="1:8" x14ac:dyDescent="0.3">
      <c r="H399" s="7"/>
    </row>
    <row r="400" spans="1:8" x14ac:dyDescent="0.3">
      <c r="A400" t="s">
        <v>302</v>
      </c>
      <c r="H400" s="6">
        <f>H392*H379</f>
        <v>42925.230276923074</v>
      </c>
    </row>
    <row r="401" spans="1:12" x14ac:dyDescent="0.3">
      <c r="H401" s="7"/>
    </row>
    <row r="402" spans="1:12" x14ac:dyDescent="0.3">
      <c r="A402" t="s">
        <v>127</v>
      </c>
      <c r="H402" s="7">
        <f>H395/3</f>
        <v>48.076923076923073</v>
      </c>
      <c r="I402" s="7">
        <f>H395/3</f>
        <v>48.076923076923073</v>
      </c>
      <c r="J402" s="7">
        <f>H395/3</f>
        <v>48.076923076923073</v>
      </c>
    </row>
    <row r="404" spans="1:12" x14ac:dyDescent="0.3">
      <c r="A404" t="s">
        <v>128</v>
      </c>
      <c r="H404" s="21">
        <f>Summary!D29</f>
        <v>0.8</v>
      </c>
    </row>
    <row r="405" spans="1:12" x14ac:dyDescent="0.3">
      <c r="A405" t="s">
        <v>129</v>
      </c>
      <c r="H405" s="21">
        <f>1-H404</f>
        <v>0.19999999999999996</v>
      </c>
    </row>
    <row r="407" spans="1:12" x14ac:dyDescent="0.3">
      <c r="A407" s="71" t="s">
        <v>16</v>
      </c>
    </row>
    <row r="408" spans="1:12" x14ac:dyDescent="0.3">
      <c r="A408" t="s">
        <v>17</v>
      </c>
      <c r="G408" s="74">
        <f>Summary!$C$52</f>
        <v>0.2</v>
      </c>
      <c r="H408" s="74">
        <f>Summary!$C$53</f>
        <v>0.25</v>
      </c>
      <c r="I408" s="74">
        <f>Summary!$C$54</f>
        <v>0.13</v>
      </c>
      <c r="J408" s="75"/>
      <c r="K408" s="75"/>
    </row>
    <row r="409" spans="1:12" x14ac:dyDescent="0.3">
      <c r="A409" t="s">
        <v>18</v>
      </c>
      <c r="C409" s="75"/>
      <c r="H409" s="74">
        <f>Summary!$C$55</f>
        <v>0.8</v>
      </c>
      <c r="I409" s="76">
        <f>H409</f>
        <v>0.8</v>
      </c>
      <c r="J409" s="76">
        <f>I409</f>
        <v>0.8</v>
      </c>
      <c r="K409" s="75"/>
    </row>
    <row r="410" spans="1:12" x14ac:dyDescent="0.3">
      <c r="A410" t="s">
        <v>19</v>
      </c>
      <c r="C410" s="75"/>
      <c r="H410" s="75"/>
      <c r="I410" s="74">
        <f>Summary!$C$56</f>
        <v>1</v>
      </c>
      <c r="J410" s="74">
        <f>I410</f>
        <v>1</v>
      </c>
      <c r="K410" s="74">
        <f>J410</f>
        <v>1</v>
      </c>
    </row>
    <row r="411" spans="1:12" x14ac:dyDescent="0.3">
      <c r="A411" t="s">
        <v>20</v>
      </c>
      <c r="K411" s="21"/>
    </row>
    <row r="412" spans="1:12" x14ac:dyDescent="0.3">
      <c r="K412" s="21"/>
    </row>
    <row r="413" spans="1:12" x14ac:dyDescent="0.3">
      <c r="A413" s="11" t="s">
        <v>196</v>
      </c>
      <c r="H413" s="90">
        <f>SUM(H414:H417)</f>
        <v>0.36</v>
      </c>
      <c r="I413" s="90">
        <f t="shared" ref="I413" si="56">SUM(I414:I417)</f>
        <v>0.36</v>
      </c>
      <c r="J413" s="90">
        <f t="shared" ref="J413" si="57">SUM(J414:J417)</f>
        <v>0.21280000000000004</v>
      </c>
      <c r="K413" s="90">
        <f t="shared" ref="K413" si="58">SUM(K414:K417)</f>
        <v>0.20864000000000002</v>
      </c>
    </row>
    <row r="414" spans="1:12" x14ac:dyDescent="0.3">
      <c r="A414" t="s">
        <v>17</v>
      </c>
      <c r="H414" s="22">
        <f>(1-G408)*H405</f>
        <v>0.15999999999999998</v>
      </c>
      <c r="I414" s="22">
        <f>H414*(1-H408)+H415*(1-H409)</f>
        <v>0.15999999999999998</v>
      </c>
    </row>
    <row r="415" spans="1:12" x14ac:dyDescent="0.3">
      <c r="A415" t="s">
        <v>18</v>
      </c>
      <c r="H415" s="22">
        <f>G408</f>
        <v>0.2</v>
      </c>
      <c r="I415" s="22">
        <f>H414*H408</f>
        <v>3.9999999999999994E-2</v>
      </c>
      <c r="J415" s="22">
        <f>I414*I408</f>
        <v>2.0799999999999999E-2</v>
      </c>
      <c r="L415" s="22"/>
    </row>
    <row r="416" spans="1:12" x14ac:dyDescent="0.3">
      <c r="A416" t="s">
        <v>19</v>
      </c>
      <c r="I416" s="22">
        <f>H415*H409</f>
        <v>0.16000000000000003</v>
      </c>
      <c r="J416" s="22">
        <f>I415*I409+I416</f>
        <v>0.19200000000000003</v>
      </c>
      <c r="K416" s="22">
        <f>J415*J409+J416</f>
        <v>0.20864000000000002</v>
      </c>
    </row>
    <row r="417" spans="1:12" x14ac:dyDescent="0.3">
      <c r="I417" s="22"/>
      <c r="J417" s="22"/>
    </row>
    <row r="418" spans="1:12" x14ac:dyDescent="0.3">
      <c r="A418" t="s">
        <v>195</v>
      </c>
      <c r="H418" s="22">
        <f>(1-G408)*H404</f>
        <v>0.64000000000000012</v>
      </c>
      <c r="J418" s="29">
        <f>I414*(1-I408)+I415*(1-I409)+I416*(1-I410)</f>
        <v>0.1472</v>
      </c>
      <c r="K418" s="29">
        <f>J415*(1-J409)+J418</f>
        <v>0.15135999999999999</v>
      </c>
      <c r="L418" s="22"/>
    </row>
    <row r="419" spans="1:12" x14ac:dyDescent="0.3">
      <c r="H419" s="22"/>
      <c r="J419" s="29"/>
      <c r="K419" s="29"/>
      <c r="L419" s="22"/>
    </row>
    <row r="420" spans="1:12" x14ac:dyDescent="0.3">
      <c r="H420" s="25" t="s">
        <v>32</v>
      </c>
    </row>
    <row r="421" spans="1:12" x14ac:dyDescent="0.3">
      <c r="A421" s="11" t="s">
        <v>124</v>
      </c>
      <c r="H421" s="8">
        <f>SUM(H422:H425)</f>
        <v>892.84478975999991</v>
      </c>
      <c r="I421" s="8">
        <f t="shared" ref="I421:J421" si="59">SUM(I422:I425)</f>
        <v>321.42412431359992</v>
      </c>
      <c r="J421" s="8">
        <f t="shared" si="59"/>
        <v>189.99737126092799</v>
      </c>
    </row>
    <row r="422" spans="1:12" x14ac:dyDescent="0.3">
      <c r="A422" s="23" t="s">
        <v>120</v>
      </c>
      <c r="H422" s="7">
        <f>H379*(1-G408)</f>
        <v>714.27583180799991</v>
      </c>
      <c r="I422" s="82">
        <f>H460*(1-H408)+H423*(1-H409)</f>
        <v>142.85516636159994</v>
      </c>
    </row>
    <row r="423" spans="1:12" x14ac:dyDescent="0.3">
      <c r="A423" s="24" t="s">
        <v>122</v>
      </c>
      <c r="H423" s="7">
        <f>H379*G408</f>
        <v>178.56895795199998</v>
      </c>
      <c r="I423" s="7">
        <f>H460*H408</f>
        <v>35.713791590399985</v>
      </c>
      <c r="J423" s="7">
        <f>I422*I408</f>
        <v>18.571171627007992</v>
      </c>
      <c r="K423" s="7">
        <f>J422*J408</f>
        <v>0</v>
      </c>
    </row>
    <row r="424" spans="1:12" x14ac:dyDescent="0.3">
      <c r="A424" s="23" t="s">
        <v>121</v>
      </c>
      <c r="I424" s="7">
        <f>H423*H409</f>
        <v>142.8551663616</v>
      </c>
      <c r="J424" s="7">
        <f>I423*I409</f>
        <v>28.57103327231999</v>
      </c>
      <c r="K424" s="7">
        <f>J423*J409</f>
        <v>14.856937301606393</v>
      </c>
    </row>
    <row r="425" spans="1:12" x14ac:dyDescent="0.3">
      <c r="A425" s="23" t="s">
        <v>138</v>
      </c>
      <c r="I425" s="7"/>
      <c r="J425" s="7">
        <f>I424*I410</f>
        <v>142.8551663616</v>
      </c>
      <c r="K425" s="7">
        <f>J424*J410+J425</f>
        <v>171.42619963391999</v>
      </c>
      <c r="L425" s="7">
        <f>K424*K410+K425</f>
        <v>186.28313693552639</v>
      </c>
    </row>
    <row r="426" spans="1:12" x14ac:dyDescent="0.3">
      <c r="A426" s="23"/>
      <c r="I426" s="7"/>
    </row>
    <row r="427" spans="1:12" x14ac:dyDescent="0.3">
      <c r="A427" s="23" t="s">
        <v>137</v>
      </c>
      <c r="I427" s="7"/>
      <c r="J427" s="7">
        <f>I422*(1-I408)+I423*(1-I409)+I424*(1-I410)</f>
        <v>131.42675305267193</v>
      </c>
      <c r="K427" s="7">
        <f>J423*(1-J409)+J427</f>
        <v>135.14098737807353</v>
      </c>
      <c r="L427" s="7">
        <f>K424*(1-K410)+K427</f>
        <v>135.14098737807353</v>
      </c>
    </row>
    <row r="428" spans="1:12" x14ac:dyDescent="0.3">
      <c r="A428" s="23"/>
      <c r="I428" s="7"/>
    </row>
    <row r="429" spans="1:12" x14ac:dyDescent="0.3">
      <c r="A429" s="11" t="s">
        <v>139</v>
      </c>
      <c r="H429" s="8">
        <f>SUM(H430:H431)</f>
        <v>714.27583180799991</v>
      </c>
      <c r="I429" s="8">
        <f>SUM(I430:I431)</f>
        <v>142.85516636159994</v>
      </c>
      <c r="J429" s="8">
        <f>SUM(J430:J431)</f>
        <v>131.42675305267193</v>
      </c>
      <c r="K429" s="8">
        <f>SUM(K430:K431)</f>
        <v>3.7142343254015975</v>
      </c>
    </row>
    <row r="430" spans="1:12" x14ac:dyDescent="0.3">
      <c r="A430" s="23" t="s">
        <v>120</v>
      </c>
      <c r="H430" s="7">
        <f>H422</f>
        <v>714.27583180799991</v>
      </c>
      <c r="I430" s="7">
        <f>H460*(1-H408)</f>
        <v>107.14137477119996</v>
      </c>
      <c r="J430" s="7">
        <f>I422*(1-I408)</f>
        <v>124.28399473459194</v>
      </c>
    </row>
    <row r="431" spans="1:12" x14ac:dyDescent="0.3">
      <c r="A431" s="24" t="s">
        <v>122</v>
      </c>
      <c r="I431" s="7">
        <f>H423*(1-H409)</f>
        <v>35.713791590399985</v>
      </c>
      <c r="J431" s="7">
        <f>I423*(1-I409)</f>
        <v>7.1427583180799958</v>
      </c>
      <c r="K431" s="7">
        <f>J423*(1-J409)</f>
        <v>3.7142343254015975</v>
      </c>
    </row>
    <row r="432" spans="1:12" x14ac:dyDescent="0.3">
      <c r="A432" s="23"/>
      <c r="I432" s="7"/>
      <c r="J432" s="7">
        <f>I424*(1-I410)</f>
        <v>0</v>
      </c>
      <c r="K432" s="7">
        <f>J424*(1-J410)</f>
        <v>0</v>
      </c>
    </row>
    <row r="433" spans="1:12" x14ac:dyDescent="0.3">
      <c r="A433" s="81" t="s">
        <v>123</v>
      </c>
    </row>
    <row r="434" spans="1:12" x14ac:dyDescent="0.3">
      <c r="A434" s="23" t="s">
        <v>120</v>
      </c>
      <c r="H434" s="7">
        <f>H395-H402</f>
        <v>96.15384615384616</v>
      </c>
      <c r="I434" s="7">
        <f>H434-I402</f>
        <v>48.076923076923087</v>
      </c>
      <c r="J434" s="7">
        <f>I434-J402</f>
        <v>0</v>
      </c>
    </row>
    <row r="435" spans="1:12" x14ac:dyDescent="0.3">
      <c r="A435" s="24" t="s">
        <v>122</v>
      </c>
      <c r="H435" s="7">
        <f>H395</f>
        <v>144.23076923076923</v>
      </c>
      <c r="I435" s="7">
        <f>H434</f>
        <v>96.15384615384616</v>
      </c>
      <c r="J435" s="7">
        <f>I434</f>
        <v>48.076923076923087</v>
      </c>
    </row>
    <row r="436" spans="1:12" x14ac:dyDescent="0.3">
      <c r="A436" s="23" t="s">
        <v>121</v>
      </c>
      <c r="I436" s="7">
        <f>H435</f>
        <v>144.23076923076923</v>
      </c>
      <c r="J436" s="7">
        <f>I435</f>
        <v>96.15384615384616</v>
      </c>
      <c r="K436" s="7">
        <f>J435</f>
        <v>48.076923076923087</v>
      </c>
    </row>
    <row r="437" spans="1:12" x14ac:dyDescent="0.3">
      <c r="A437" s="23"/>
      <c r="J437" s="7"/>
      <c r="K437" s="7"/>
    </row>
    <row r="438" spans="1:12" x14ac:dyDescent="0.3">
      <c r="A438" s="23"/>
      <c r="J438" s="7"/>
      <c r="K438" s="7"/>
    </row>
    <row r="439" spans="1:12" x14ac:dyDescent="0.3">
      <c r="A439" s="11" t="s">
        <v>130</v>
      </c>
      <c r="H439" s="8">
        <f>SUM(H440:H443)</f>
        <v>94435.506609230768</v>
      </c>
      <c r="I439" s="8">
        <f t="shared" ref="I439:K439" si="60">SUM(I440:I443)</f>
        <v>30906.165799384613</v>
      </c>
      <c r="J439" s="8">
        <f t="shared" si="60"/>
        <v>24244.170060406155</v>
      </c>
      <c r="K439" s="8">
        <f t="shared" si="60"/>
        <v>24065.601102454155</v>
      </c>
    </row>
    <row r="440" spans="1:12" x14ac:dyDescent="0.3">
      <c r="A440" s="23" t="s">
        <v>120</v>
      </c>
      <c r="H440" s="7">
        <f>H434*H422</f>
        <v>68680.368443076921</v>
      </c>
      <c r="I440" s="7">
        <f t="shared" ref="I440:J440" si="61">I434*I422</f>
        <v>6868.0368443076914</v>
      </c>
      <c r="J440" s="7">
        <f t="shared" si="61"/>
        <v>0</v>
      </c>
    </row>
    <row r="441" spans="1:12" x14ac:dyDescent="0.3">
      <c r="A441" s="24" t="s">
        <v>122</v>
      </c>
      <c r="H441" s="7">
        <f>H435*H423</f>
        <v>25755.138166153843</v>
      </c>
      <c r="I441" s="7">
        <f t="shared" ref="I441:J441" si="62">I435*I423</f>
        <v>3434.0184221538448</v>
      </c>
      <c r="J441" s="7">
        <f t="shared" si="62"/>
        <v>892.8447897599998</v>
      </c>
      <c r="K441" s="7">
        <f>K435*K423</f>
        <v>0</v>
      </c>
    </row>
    <row r="442" spans="1:12" x14ac:dyDescent="0.3">
      <c r="A442" s="23" t="s">
        <v>121</v>
      </c>
      <c r="I442" s="7">
        <f>I436*I424</f>
        <v>20604.110532923078</v>
      </c>
      <c r="J442" s="7">
        <f>J436*J424</f>
        <v>2747.2147377230763</v>
      </c>
      <c r="K442" s="7">
        <f>K436*K424</f>
        <v>714.27583180799979</v>
      </c>
    </row>
    <row r="443" spans="1:12" x14ac:dyDescent="0.3">
      <c r="A443" s="23" t="s">
        <v>301</v>
      </c>
      <c r="J443" s="8">
        <f>I442</f>
        <v>20604.110532923078</v>
      </c>
      <c r="K443" s="8">
        <f>J443+J442</f>
        <v>23351.325270646154</v>
      </c>
      <c r="L443" s="8">
        <f>K443+K442</f>
        <v>24065.601102454155</v>
      </c>
    </row>
    <row r="444" spans="1:12" x14ac:dyDescent="0.3">
      <c r="A444" s="23"/>
    </row>
    <row r="445" spans="1:12" x14ac:dyDescent="0.3">
      <c r="A445" s="105" t="s">
        <v>300</v>
      </c>
      <c r="H445" s="8">
        <f>L443</f>
        <v>24065.601102454155</v>
      </c>
    </row>
    <row r="446" spans="1:12" x14ac:dyDescent="0.3">
      <c r="A446" s="23"/>
    </row>
    <row r="447" spans="1:12" x14ac:dyDescent="0.3">
      <c r="A447" s="11" t="s">
        <v>140</v>
      </c>
      <c r="H447" s="8">
        <f>SUM(H449:H452)</f>
        <v>34340.184221538453</v>
      </c>
      <c r="I447" s="8">
        <f>SUM(I449:I452)</f>
        <v>8585.0460553846115</v>
      </c>
      <c r="J447" s="8">
        <f t="shared" ref="J447:K447" si="63">SUM(J449:J452)</f>
        <v>6661.9957389784577</v>
      </c>
      <c r="K447" s="8">
        <f t="shared" si="63"/>
        <v>178.56895795199986</v>
      </c>
    </row>
    <row r="448" spans="1:12" x14ac:dyDescent="0.3">
      <c r="A448" s="11"/>
      <c r="H448" s="8"/>
      <c r="I448" s="8"/>
      <c r="J448" s="8"/>
      <c r="K448" s="8"/>
    </row>
    <row r="449" spans="1:21" x14ac:dyDescent="0.3">
      <c r="A449" t="s">
        <v>131</v>
      </c>
      <c r="C449" s="23" t="s">
        <v>120</v>
      </c>
      <c r="H449" s="6">
        <f>H458*H402</f>
        <v>27472.147377230765</v>
      </c>
    </row>
    <row r="450" spans="1:21" x14ac:dyDescent="0.3">
      <c r="C450" s="23"/>
      <c r="H450" s="6"/>
    </row>
    <row r="451" spans="1:21" x14ac:dyDescent="0.3">
      <c r="A451" t="s">
        <v>200</v>
      </c>
      <c r="C451" s="23" t="s">
        <v>120</v>
      </c>
      <c r="H451" s="6">
        <f>H460*H402</f>
        <v>6868.0368443076886</v>
      </c>
      <c r="I451" s="27">
        <f>I430*I402</f>
        <v>5151.0276332307667</v>
      </c>
      <c r="J451" s="27">
        <f t="shared" ref="J451:K451" si="64">J430*J402</f>
        <v>5975.1920545476887</v>
      </c>
      <c r="K451" s="27">
        <f t="shared" si="64"/>
        <v>0</v>
      </c>
      <c r="L451" s="27"/>
    </row>
    <row r="452" spans="1:21" x14ac:dyDescent="0.3">
      <c r="A452" t="s">
        <v>200</v>
      </c>
      <c r="C452" s="24" t="s">
        <v>122</v>
      </c>
      <c r="H452" s="6"/>
      <c r="I452" s="27">
        <f>I431*(H402+I402)</f>
        <v>3434.0184221538443</v>
      </c>
      <c r="J452" s="27">
        <f t="shared" ref="J452" si="65">J431*(I402+J402)</f>
        <v>686.80368443076873</v>
      </c>
      <c r="K452" s="27">
        <f t="shared" ref="K452" si="66">K431*(J402+K402)</f>
        <v>178.56895795199986</v>
      </c>
      <c r="L452" s="27"/>
    </row>
    <row r="454" spans="1:21" x14ac:dyDescent="0.3">
      <c r="A454" s="11" t="s">
        <v>283</v>
      </c>
      <c r="H454" s="8">
        <f>SUM(H451:K452)</f>
        <v>22293.647596622755</v>
      </c>
    </row>
    <row r="456" spans="1:21" x14ac:dyDescent="0.3">
      <c r="A456" t="s">
        <v>202</v>
      </c>
      <c r="H456" s="28">
        <f>H458*(I402+J402)</f>
        <v>54944.294754461531</v>
      </c>
    </row>
    <row r="458" spans="1:21" x14ac:dyDescent="0.3">
      <c r="A458" s="72" t="s">
        <v>132</v>
      </c>
      <c r="H458" s="73">
        <f>H422*H404</f>
        <v>571.42066544639999</v>
      </c>
    </row>
    <row r="460" spans="1:21" x14ac:dyDescent="0.3">
      <c r="A460" t="s">
        <v>201</v>
      </c>
      <c r="H460" s="7">
        <f>H422*H405</f>
        <v>142.85516636159994</v>
      </c>
    </row>
    <row r="463" spans="1:21" x14ac:dyDescent="0.3">
      <c r="A463" s="152" t="s">
        <v>218</v>
      </c>
      <c r="B463" s="153"/>
      <c r="C463" s="153"/>
      <c r="D463" s="153"/>
      <c r="E463" s="153"/>
      <c r="F463" s="153"/>
      <c r="G463" s="153"/>
      <c r="H463" s="153"/>
      <c r="I463" s="153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4"/>
    </row>
    <row r="465" spans="1:12" x14ac:dyDescent="0.3">
      <c r="A465" t="s">
        <v>197</v>
      </c>
      <c r="H465" s="83">
        <f>G284</f>
        <v>892.84478975999991</v>
      </c>
    </row>
    <row r="466" spans="1:12" x14ac:dyDescent="0.3">
      <c r="A466" t="s">
        <v>206</v>
      </c>
      <c r="H466" s="7">
        <f>H468*H465</f>
        <v>892.84478975999991</v>
      </c>
      <c r="K466" s="77"/>
    </row>
    <row r="467" spans="1:12" x14ac:dyDescent="0.3">
      <c r="H467" s="7"/>
      <c r="K467" s="77"/>
    </row>
    <row r="468" spans="1:12" x14ac:dyDescent="0.3">
      <c r="A468" s="11" t="s">
        <v>134</v>
      </c>
      <c r="B468" s="11"/>
      <c r="C468" s="11"/>
      <c r="H468" s="104">
        <f>$E$120</f>
        <v>1</v>
      </c>
      <c r="I468" s="11"/>
      <c r="J468" s="11"/>
      <c r="L468" s="11"/>
    </row>
    <row r="469" spans="1:12" x14ac:dyDescent="0.3">
      <c r="A469" t="s">
        <v>35</v>
      </c>
      <c r="H469" s="79">
        <f>J244</f>
        <v>0.15135999999999999</v>
      </c>
    </row>
    <row r="470" spans="1:12" x14ac:dyDescent="0.3">
      <c r="A470" t="s">
        <v>36</v>
      </c>
      <c r="H470" s="79">
        <f>0.95</f>
        <v>0.95</v>
      </c>
    </row>
    <row r="471" spans="1:12" x14ac:dyDescent="0.3">
      <c r="A471" t="s">
        <v>142</v>
      </c>
      <c r="H471" s="79">
        <v>0.99</v>
      </c>
    </row>
    <row r="472" spans="1:12" x14ac:dyDescent="0.3">
      <c r="A472" t="s">
        <v>37</v>
      </c>
      <c r="H472" s="79">
        <v>0.98</v>
      </c>
    </row>
    <row r="475" spans="1:12" x14ac:dyDescent="0.3">
      <c r="A475" t="s">
        <v>125</v>
      </c>
      <c r="H475" s="83">
        <f>G214+H476</f>
        <v>96.15384615384616</v>
      </c>
    </row>
    <row r="476" spans="1:12" x14ac:dyDescent="0.3">
      <c r="A476" t="s">
        <v>135</v>
      </c>
      <c r="H476" s="82">
        <f>$D$46</f>
        <v>32.051282051282051</v>
      </c>
    </row>
    <row r="478" spans="1:12" x14ac:dyDescent="0.3">
      <c r="A478" t="s">
        <v>126</v>
      </c>
      <c r="H478" s="88">
        <f>$D$43</f>
        <v>0.5</v>
      </c>
    </row>
    <row r="479" spans="1:12" x14ac:dyDescent="0.3">
      <c r="A479" t="s">
        <v>117</v>
      </c>
      <c r="H479" s="7">
        <f>H478*H475</f>
        <v>48.07692307692308</v>
      </c>
    </row>
    <row r="481" spans="1:11" x14ac:dyDescent="0.3">
      <c r="A481" t="s">
        <v>118</v>
      </c>
      <c r="H481" s="7">
        <f>H476</f>
        <v>32.051282051282051</v>
      </c>
    </row>
    <row r="482" spans="1:11" x14ac:dyDescent="0.3">
      <c r="A482" t="s">
        <v>106</v>
      </c>
      <c r="H482" s="7">
        <f>H475*(1+H478)</f>
        <v>144.23076923076923</v>
      </c>
    </row>
    <row r="483" spans="1:11" x14ac:dyDescent="0.3">
      <c r="H483" s="7"/>
    </row>
    <row r="484" spans="1:11" x14ac:dyDescent="0.3">
      <c r="A484" t="s">
        <v>136</v>
      </c>
      <c r="H484" s="7">
        <f>H481*H466</f>
        <v>28616.820184615382</v>
      </c>
    </row>
    <row r="485" spans="1:11" x14ac:dyDescent="0.3">
      <c r="A485" t="s">
        <v>119</v>
      </c>
      <c r="H485" s="7">
        <f>H482*H466</f>
        <v>128775.69083076922</v>
      </c>
    </row>
    <row r="486" spans="1:11" x14ac:dyDescent="0.3">
      <c r="H486" s="7"/>
    </row>
    <row r="487" spans="1:11" x14ac:dyDescent="0.3">
      <c r="A487" t="s">
        <v>302</v>
      </c>
      <c r="H487" s="6">
        <f>H479*H466</f>
        <v>42925.230276923074</v>
      </c>
    </row>
    <row r="488" spans="1:11" x14ac:dyDescent="0.3">
      <c r="H488" s="7"/>
    </row>
    <row r="489" spans="1:11" x14ac:dyDescent="0.3">
      <c r="A489" t="s">
        <v>127</v>
      </c>
      <c r="H489" s="7">
        <f>H482/3</f>
        <v>48.076923076923073</v>
      </c>
      <c r="I489" s="7">
        <f>H482/3</f>
        <v>48.076923076923073</v>
      </c>
      <c r="J489" s="7">
        <f>H482/3</f>
        <v>48.076923076923073</v>
      </c>
    </row>
    <row r="491" spans="1:11" x14ac:dyDescent="0.3">
      <c r="A491" t="s">
        <v>128</v>
      </c>
      <c r="H491" s="21">
        <f>Summary!B29</f>
        <v>0.8</v>
      </c>
    </row>
    <row r="492" spans="1:11" x14ac:dyDescent="0.3">
      <c r="A492" t="s">
        <v>129</v>
      </c>
      <c r="H492" s="21">
        <f>1-H491</f>
        <v>0.19999999999999996</v>
      </c>
    </row>
    <row r="494" spans="1:11" x14ac:dyDescent="0.3">
      <c r="A494" s="71" t="s">
        <v>16</v>
      </c>
    </row>
    <row r="495" spans="1:11" x14ac:dyDescent="0.3">
      <c r="A495" t="s">
        <v>17</v>
      </c>
      <c r="G495" s="74">
        <f>Summary!$B$52</f>
        <v>0.2</v>
      </c>
      <c r="H495" s="74">
        <f>Summary!$B$53</f>
        <v>0.25</v>
      </c>
      <c r="I495" s="74">
        <f>Summary!$B$54</f>
        <v>0.13</v>
      </c>
      <c r="J495" s="75"/>
      <c r="K495" s="75"/>
    </row>
    <row r="496" spans="1:11" x14ac:dyDescent="0.3">
      <c r="A496" t="s">
        <v>18</v>
      </c>
      <c r="C496" s="75"/>
      <c r="H496" s="74">
        <f>Summary!$B$55</f>
        <v>0.8</v>
      </c>
      <c r="I496" s="76">
        <f>H496</f>
        <v>0.8</v>
      </c>
      <c r="J496" s="76">
        <f>I496</f>
        <v>0.8</v>
      </c>
      <c r="K496" s="75"/>
    </row>
    <row r="497" spans="1:12" x14ac:dyDescent="0.3">
      <c r="A497" t="s">
        <v>19</v>
      </c>
      <c r="C497" s="75"/>
      <c r="H497" s="75"/>
      <c r="I497" s="74">
        <f>Summary!$B$56</f>
        <v>1</v>
      </c>
      <c r="J497" s="74">
        <f>I497</f>
        <v>1</v>
      </c>
      <c r="K497" s="74">
        <f>J497</f>
        <v>1</v>
      </c>
    </row>
    <row r="498" spans="1:12" x14ac:dyDescent="0.3">
      <c r="A498" t="s">
        <v>20</v>
      </c>
      <c r="K498" s="21"/>
    </row>
    <row r="499" spans="1:12" x14ac:dyDescent="0.3">
      <c r="K499" s="21"/>
    </row>
    <row r="500" spans="1:12" x14ac:dyDescent="0.3">
      <c r="A500" s="11" t="s">
        <v>196</v>
      </c>
      <c r="H500" s="90">
        <f>SUM(H501:H504)</f>
        <v>0.36</v>
      </c>
      <c r="I500" s="90">
        <f t="shared" ref="I500" si="67">SUM(I501:I504)</f>
        <v>0.36</v>
      </c>
      <c r="J500" s="90">
        <f t="shared" ref="J500" si="68">SUM(J501:J504)</f>
        <v>0.21280000000000004</v>
      </c>
      <c r="K500" s="90">
        <f t="shared" ref="K500" si="69">SUM(K501:K504)</f>
        <v>0.20864000000000002</v>
      </c>
    </row>
    <row r="501" spans="1:12" x14ac:dyDescent="0.3">
      <c r="A501" t="s">
        <v>17</v>
      </c>
      <c r="H501" s="22">
        <f>(1-G495)*H492</f>
        <v>0.15999999999999998</v>
      </c>
      <c r="I501" s="22">
        <f>H501*(1-H495)+H502*(1-H496)</f>
        <v>0.15999999999999998</v>
      </c>
    </row>
    <row r="502" spans="1:12" x14ac:dyDescent="0.3">
      <c r="A502" t="s">
        <v>18</v>
      </c>
      <c r="H502" s="22">
        <f>G495</f>
        <v>0.2</v>
      </c>
      <c r="I502" s="22">
        <f>H501*H495</f>
        <v>3.9999999999999994E-2</v>
      </c>
      <c r="J502" s="22">
        <f>I501*I495</f>
        <v>2.0799999999999999E-2</v>
      </c>
      <c r="L502" s="22"/>
    </row>
    <row r="503" spans="1:12" x14ac:dyDescent="0.3">
      <c r="A503" t="s">
        <v>19</v>
      </c>
      <c r="I503" s="22">
        <f>H502*H496</f>
        <v>0.16000000000000003</v>
      </c>
      <c r="J503" s="22">
        <f>I502*I496+I503</f>
        <v>0.19200000000000003</v>
      </c>
      <c r="K503" s="22">
        <f>J502*J496+J503</f>
        <v>0.20864000000000002</v>
      </c>
    </row>
    <row r="504" spans="1:12" x14ac:dyDescent="0.3">
      <c r="I504" s="22"/>
      <c r="J504" s="22"/>
    </row>
    <row r="505" spans="1:12" x14ac:dyDescent="0.3">
      <c r="A505" t="s">
        <v>195</v>
      </c>
      <c r="H505" s="22">
        <f>(1-G495)*H491</f>
        <v>0.64000000000000012</v>
      </c>
      <c r="J505" s="29">
        <f>I501*(1-I495)+I502*(1-I496)+I503*(1-I497)</f>
        <v>0.1472</v>
      </c>
      <c r="K505" s="29">
        <f>J502*(1-J496)+J505</f>
        <v>0.15135999999999999</v>
      </c>
      <c r="L505" s="22"/>
    </row>
    <row r="506" spans="1:12" x14ac:dyDescent="0.3">
      <c r="H506" s="22"/>
      <c r="J506" s="29"/>
      <c r="K506" s="29"/>
      <c r="L506" s="22"/>
    </row>
    <row r="507" spans="1:12" x14ac:dyDescent="0.3">
      <c r="H507" s="25" t="s">
        <v>32</v>
      </c>
    </row>
    <row r="508" spans="1:12" x14ac:dyDescent="0.3">
      <c r="A508" s="11" t="s">
        <v>124</v>
      </c>
      <c r="H508" s="8">
        <f>SUM(H509:H512)</f>
        <v>892.84478976000003</v>
      </c>
      <c r="I508" s="8">
        <f t="shared" ref="I508:J508" si="70">SUM(I509:I512)</f>
        <v>321.42412431359992</v>
      </c>
      <c r="J508" s="8">
        <f t="shared" si="70"/>
        <v>189.99737126092799</v>
      </c>
    </row>
    <row r="509" spans="1:12" x14ac:dyDescent="0.3">
      <c r="A509" s="23" t="s">
        <v>120</v>
      </c>
      <c r="H509" s="7">
        <f>H466*(1-G495)</f>
        <v>714.27583180800002</v>
      </c>
      <c r="I509" s="82">
        <f>H547*(1-H495)+H510*(1-H496)</f>
        <v>142.85516636159997</v>
      </c>
    </row>
    <row r="510" spans="1:12" x14ac:dyDescent="0.3">
      <c r="A510" s="24" t="s">
        <v>122</v>
      </c>
      <c r="H510" s="7">
        <f>H466*G495</f>
        <v>178.56895795200001</v>
      </c>
      <c r="I510" s="7">
        <f>H547*H495</f>
        <v>35.713791590399993</v>
      </c>
      <c r="J510" s="7">
        <f>I509*I495</f>
        <v>18.571171627007995</v>
      </c>
      <c r="K510" s="7">
        <f>J509*J495</f>
        <v>0</v>
      </c>
    </row>
    <row r="511" spans="1:12" x14ac:dyDescent="0.3">
      <c r="A511" s="23" t="s">
        <v>121</v>
      </c>
      <c r="I511" s="7">
        <f>H510*H496</f>
        <v>142.8551663616</v>
      </c>
      <c r="J511" s="7">
        <f>I510*I496</f>
        <v>28.571033272319994</v>
      </c>
      <c r="K511" s="7">
        <f>J510*J496</f>
        <v>14.856937301606397</v>
      </c>
    </row>
    <row r="512" spans="1:12" x14ac:dyDescent="0.3">
      <c r="A512" s="23" t="s">
        <v>138</v>
      </c>
      <c r="I512" s="7"/>
      <c r="J512" s="7">
        <f>I511*I497</f>
        <v>142.8551663616</v>
      </c>
      <c r="K512" s="7">
        <f>J511*J497+J512</f>
        <v>171.42619963391999</v>
      </c>
      <c r="L512" s="7">
        <f>K511*K497+K512</f>
        <v>186.28313693552639</v>
      </c>
    </row>
    <row r="513" spans="1:12" x14ac:dyDescent="0.3">
      <c r="A513" s="23"/>
      <c r="I513" s="7"/>
    </row>
    <row r="514" spans="1:12" x14ac:dyDescent="0.3">
      <c r="A514" s="23" t="s">
        <v>137</v>
      </c>
      <c r="I514" s="7"/>
      <c r="J514" s="7">
        <f>I509*(1-I495)+I510*(1-I496)+I511*(1-I497)</f>
        <v>131.42675305267196</v>
      </c>
      <c r="K514" s="7">
        <f>J510*(1-J496)+J514</f>
        <v>135.14098737807356</v>
      </c>
      <c r="L514" s="7">
        <f>K511*(1-K497)+K514</f>
        <v>135.14098737807356</v>
      </c>
    </row>
    <row r="515" spans="1:12" x14ac:dyDescent="0.3">
      <c r="A515" s="23"/>
      <c r="I515" s="7"/>
    </row>
    <row r="516" spans="1:12" x14ac:dyDescent="0.3">
      <c r="A516" s="11" t="s">
        <v>139</v>
      </c>
      <c r="H516" s="8">
        <f>SUM(H517:H518)</f>
        <v>714.27583180800002</v>
      </c>
      <c r="I516" s="8">
        <f>SUM(I517:I518)</f>
        <v>142.85516636159997</v>
      </c>
      <c r="J516" s="8">
        <f>SUM(J517:J518)</f>
        <v>131.42675305267196</v>
      </c>
      <c r="K516" s="8">
        <f>SUM(K517:K518)</f>
        <v>3.7142343254015984</v>
      </c>
    </row>
    <row r="517" spans="1:12" x14ac:dyDescent="0.3">
      <c r="A517" s="23" t="s">
        <v>120</v>
      </c>
      <c r="H517" s="7">
        <f>H509</f>
        <v>714.27583180800002</v>
      </c>
      <c r="I517" s="7">
        <f>H547*(1-H495)</f>
        <v>107.14137477119998</v>
      </c>
      <c r="J517" s="7">
        <f>I509*(1-I495)</f>
        <v>124.28399473459197</v>
      </c>
    </row>
    <row r="518" spans="1:12" x14ac:dyDescent="0.3">
      <c r="A518" s="24" t="s">
        <v>122</v>
      </c>
      <c r="I518" s="7">
        <f>H510*(1-H496)</f>
        <v>35.713791590399993</v>
      </c>
      <c r="J518" s="7">
        <f>I510*(1-I496)</f>
        <v>7.1427583180799967</v>
      </c>
      <c r="K518" s="7">
        <f>J510*(1-J496)</f>
        <v>3.7142343254015984</v>
      </c>
    </row>
    <row r="519" spans="1:12" x14ac:dyDescent="0.3">
      <c r="A519" s="23"/>
      <c r="I519" s="7"/>
      <c r="J519" s="7">
        <f>I511*(1-I497)</f>
        <v>0</v>
      </c>
      <c r="K519" s="7">
        <f>J511*(1-J497)</f>
        <v>0</v>
      </c>
    </row>
    <row r="520" spans="1:12" x14ac:dyDescent="0.3">
      <c r="A520" s="81" t="s">
        <v>123</v>
      </c>
    </row>
    <row r="521" spans="1:12" x14ac:dyDescent="0.3">
      <c r="A521" s="23" t="s">
        <v>120</v>
      </c>
      <c r="H521" s="7">
        <f>H482-H489</f>
        <v>96.15384615384616</v>
      </c>
      <c r="I521" s="7">
        <f>H521-I489</f>
        <v>48.076923076923087</v>
      </c>
      <c r="J521" s="7">
        <f>I521-J489</f>
        <v>0</v>
      </c>
    </row>
    <row r="522" spans="1:12" x14ac:dyDescent="0.3">
      <c r="A522" s="24" t="s">
        <v>122</v>
      </c>
      <c r="H522" s="7">
        <f>H482</f>
        <v>144.23076923076923</v>
      </c>
      <c r="I522" s="7">
        <f>H521</f>
        <v>96.15384615384616</v>
      </c>
      <c r="J522" s="7">
        <f>I521</f>
        <v>48.076923076923087</v>
      </c>
    </row>
    <row r="523" spans="1:12" x14ac:dyDescent="0.3">
      <c r="A523" s="23" t="s">
        <v>121</v>
      </c>
      <c r="I523" s="7">
        <f>H522</f>
        <v>144.23076923076923</v>
      </c>
      <c r="J523" s="7">
        <f>I522</f>
        <v>96.15384615384616</v>
      </c>
      <c r="K523" s="7">
        <f>J522</f>
        <v>48.076923076923087</v>
      </c>
    </row>
    <row r="524" spans="1:12" x14ac:dyDescent="0.3">
      <c r="A524" s="23"/>
      <c r="J524" s="7"/>
      <c r="K524" s="7"/>
    </row>
    <row r="525" spans="1:12" x14ac:dyDescent="0.3">
      <c r="A525" s="23"/>
      <c r="J525" s="7"/>
      <c r="K525" s="7"/>
    </row>
    <row r="526" spans="1:12" x14ac:dyDescent="0.3">
      <c r="A526" s="11" t="s">
        <v>130</v>
      </c>
      <c r="H526" s="8">
        <f>SUM(H527:H530)</f>
        <v>94435.506609230782</v>
      </c>
      <c r="I526" s="8">
        <f t="shared" ref="I526:K526" si="71">SUM(I527:I530)</f>
        <v>30906.165799384617</v>
      </c>
      <c r="J526" s="8">
        <f t="shared" si="71"/>
        <v>24244.170060406155</v>
      </c>
      <c r="K526" s="8">
        <f t="shared" si="71"/>
        <v>24065.601102454155</v>
      </c>
    </row>
    <row r="527" spans="1:12" x14ac:dyDescent="0.3">
      <c r="A527" s="23" t="s">
        <v>120</v>
      </c>
      <c r="H527" s="7">
        <f>H521*H509</f>
        <v>68680.368443076935</v>
      </c>
      <c r="I527" s="7">
        <f t="shared" ref="I527:J527" si="72">I521*I509</f>
        <v>6868.0368443076923</v>
      </c>
      <c r="J527" s="7">
        <f t="shared" si="72"/>
        <v>0</v>
      </c>
    </row>
    <row r="528" spans="1:12" x14ac:dyDescent="0.3">
      <c r="A528" s="24" t="s">
        <v>122</v>
      </c>
      <c r="H528" s="7">
        <f>H522*H510</f>
        <v>25755.138166153847</v>
      </c>
      <c r="I528" s="7">
        <f t="shared" ref="I528:J528" si="73">I522*I510</f>
        <v>3434.0184221538457</v>
      </c>
      <c r="J528" s="7">
        <f t="shared" si="73"/>
        <v>892.84478976000003</v>
      </c>
      <c r="K528" s="7">
        <f>K522*K510</f>
        <v>0</v>
      </c>
    </row>
    <row r="529" spans="1:12" x14ac:dyDescent="0.3">
      <c r="A529" s="23" t="s">
        <v>121</v>
      </c>
      <c r="I529" s="7">
        <f>I523*I511</f>
        <v>20604.110532923078</v>
      </c>
      <c r="J529" s="7">
        <f>J523*J511</f>
        <v>2747.2147377230767</v>
      </c>
      <c r="K529" s="7">
        <f>K523*K511</f>
        <v>714.27583180800002</v>
      </c>
    </row>
    <row r="530" spans="1:12" x14ac:dyDescent="0.3">
      <c r="A530" s="23" t="s">
        <v>299</v>
      </c>
      <c r="J530" s="8">
        <f>I529</f>
        <v>20604.110532923078</v>
      </c>
      <c r="K530" s="8">
        <f>J530+J529</f>
        <v>23351.325270646154</v>
      </c>
      <c r="L530" s="8">
        <f>K530+K529</f>
        <v>24065.601102454155</v>
      </c>
    </row>
    <row r="531" spans="1:12" x14ac:dyDescent="0.3">
      <c r="A531" s="23"/>
    </row>
    <row r="532" spans="1:12" x14ac:dyDescent="0.3">
      <c r="A532" s="105" t="s">
        <v>300</v>
      </c>
      <c r="H532" s="8">
        <f>L530</f>
        <v>24065.601102454155</v>
      </c>
    </row>
    <row r="533" spans="1:12" x14ac:dyDescent="0.3">
      <c r="A533" s="23"/>
    </row>
    <row r="534" spans="1:12" x14ac:dyDescent="0.3">
      <c r="A534" s="11" t="s">
        <v>140</v>
      </c>
      <c r="H534" s="8">
        <f>SUM(H536:H539)</f>
        <v>34340.184221538453</v>
      </c>
      <c r="I534" s="8">
        <f>SUM(I536:I539)</f>
        <v>8585.0460553846133</v>
      </c>
      <c r="J534" s="8">
        <f t="shared" ref="J534:K534" si="74">SUM(J536:J539)</f>
        <v>6661.9957389784595</v>
      </c>
      <c r="K534" s="8">
        <f t="shared" si="74"/>
        <v>178.56895795199992</v>
      </c>
    </row>
    <row r="535" spans="1:12" x14ac:dyDescent="0.3">
      <c r="A535" s="11"/>
      <c r="H535" s="8"/>
      <c r="I535" s="8"/>
      <c r="J535" s="8"/>
      <c r="K535" s="8"/>
    </row>
    <row r="536" spans="1:12" x14ac:dyDescent="0.3">
      <c r="A536" t="s">
        <v>131</v>
      </c>
      <c r="C536" s="23" t="s">
        <v>120</v>
      </c>
      <c r="H536" s="6">
        <f>H545*H489</f>
        <v>27472.147377230765</v>
      </c>
    </row>
    <row r="537" spans="1:12" x14ac:dyDescent="0.3">
      <c r="C537" s="23"/>
      <c r="H537" s="6"/>
    </row>
    <row r="538" spans="1:12" x14ac:dyDescent="0.3">
      <c r="A538" t="s">
        <v>200</v>
      </c>
      <c r="C538" s="23" t="s">
        <v>120</v>
      </c>
      <c r="H538" s="6">
        <f>H547*H489</f>
        <v>6868.0368443076904</v>
      </c>
      <c r="I538" s="27">
        <f>I517*I489</f>
        <v>5151.0276332307676</v>
      </c>
      <c r="J538" s="27">
        <f t="shared" ref="J538:K538" si="75">J517*J489</f>
        <v>5975.1920545476905</v>
      </c>
      <c r="K538" s="27">
        <f t="shared" si="75"/>
        <v>0</v>
      </c>
      <c r="L538" s="27"/>
    </row>
    <row r="539" spans="1:12" x14ac:dyDescent="0.3">
      <c r="A539" t="s">
        <v>200</v>
      </c>
      <c r="C539" s="24" t="s">
        <v>122</v>
      </c>
      <c r="H539" s="6"/>
      <c r="I539" s="27">
        <f>I518*(H489+I489)</f>
        <v>3434.0184221538452</v>
      </c>
      <c r="J539" s="27">
        <f t="shared" ref="J539" si="76">J518*(I489+J489)</f>
        <v>686.80368443076884</v>
      </c>
      <c r="K539" s="27">
        <f t="shared" ref="K539" si="77">K518*(J489+K489)</f>
        <v>178.56895795199992</v>
      </c>
      <c r="L539" s="27"/>
    </row>
    <row r="541" spans="1:12" x14ac:dyDescent="0.3">
      <c r="A541" s="11" t="s">
        <v>283</v>
      </c>
      <c r="H541" s="8">
        <f>SUM(H538:K539)</f>
        <v>22293.647596622759</v>
      </c>
    </row>
    <row r="543" spans="1:12" x14ac:dyDescent="0.3">
      <c r="A543" t="s">
        <v>202</v>
      </c>
      <c r="H543" s="28">
        <f>H545*(I489+J489)</f>
        <v>54944.294754461531</v>
      </c>
    </row>
    <row r="545" spans="1:30" x14ac:dyDescent="0.3">
      <c r="A545" s="72" t="s">
        <v>132</v>
      </c>
      <c r="H545" s="73">
        <f>H509*H491</f>
        <v>571.42066544639999</v>
      </c>
    </row>
    <row r="547" spans="1:30" x14ac:dyDescent="0.3">
      <c r="A547" t="s">
        <v>201</v>
      </c>
      <c r="H547" s="7">
        <f>H509*H492</f>
        <v>142.85516636159997</v>
      </c>
    </row>
    <row r="550" spans="1:30" x14ac:dyDescent="0.3">
      <c r="A550" s="160" t="s">
        <v>220</v>
      </c>
      <c r="B550" s="161"/>
      <c r="C550" s="161"/>
      <c r="D550" s="161"/>
      <c r="E550" s="161"/>
      <c r="F550" s="161"/>
      <c r="G550" s="161"/>
      <c r="H550" s="161"/>
      <c r="I550" s="161"/>
      <c r="J550" s="161"/>
      <c r="K550" s="161"/>
      <c r="L550" s="161"/>
      <c r="M550" s="161"/>
      <c r="N550" s="161"/>
      <c r="O550" s="161"/>
      <c r="P550" s="161"/>
      <c r="Q550" s="161"/>
      <c r="R550" s="161"/>
      <c r="S550" s="161"/>
      <c r="T550" s="161"/>
      <c r="U550" s="161"/>
      <c r="V550" s="161"/>
      <c r="W550" s="161"/>
      <c r="X550" s="161"/>
      <c r="Y550" s="161"/>
      <c r="Z550" s="161"/>
      <c r="AA550" s="161"/>
      <c r="AB550" s="161"/>
      <c r="AC550" s="161"/>
      <c r="AD550" s="162"/>
    </row>
    <row r="552" spans="1:30" x14ac:dyDescent="0.3">
      <c r="A552" t="s">
        <v>197</v>
      </c>
      <c r="J552" s="83">
        <f>G205</f>
        <v>1395.0699839999997</v>
      </c>
    </row>
    <row r="553" spans="1:30" x14ac:dyDescent="0.3">
      <c r="A553" t="s">
        <v>206</v>
      </c>
      <c r="J553" s="7">
        <f>J555*J552</f>
        <v>194.62202602577594</v>
      </c>
      <c r="M553" s="77"/>
    </row>
    <row r="554" spans="1:30" x14ac:dyDescent="0.3">
      <c r="J554" s="7"/>
      <c r="M554" s="77"/>
    </row>
    <row r="555" spans="1:30" x14ac:dyDescent="0.3">
      <c r="A555" s="11" t="s">
        <v>134</v>
      </c>
      <c r="B555" s="11"/>
      <c r="C555" s="11"/>
      <c r="J555" s="87">
        <f>J556*J557*J558*J559</f>
        <v>0.13950699839999997</v>
      </c>
      <c r="K555" s="11"/>
      <c r="L555" s="11"/>
      <c r="N555" s="11"/>
    </row>
    <row r="556" spans="1:30" x14ac:dyDescent="0.3">
      <c r="A556" t="s">
        <v>35</v>
      </c>
      <c r="J556" s="84">
        <f>J244</f>
        <v>0.15135999999999999</v>
      </c>
    </row>
    <row r="557" spans="1:30" x14ac:dyDescent="0.3">
      <c r="A557" t="s">
        <v>36</v>
      </c>
      <c r="J557" s="86">
        <f>0.95</f>
        <v>0.95</v>
      </c>
    </row>
    <row r="558" spans="1:30" x14ac:dyDescent="0.3">
      <c r="A558" t="s">
        <v>142</v>
      </c>
      <c r="J558" s="86">
        <v>0.99</v>
      </c>
    </row>
    <row r="559" spans="1:30" x14ac:dyDescent="0.3">
      <c r="A559" t="s">
        <v>37</v>
      </c>
      <c r="J559" s="86">
        <v>0.98</v>
      </c>
    </row>
    <row r="562" spans="1:12" x14ac:dyDescent="0.3">
      <c r="A562" t="s">
        <v>125</v>
      </c>
      <c r="J562" s="83">
        <f>$B$32</f>
        <v>96.15384615384616</v>
      </c>
    </row>
    <row r="563" spans="1:12" x14ac:dyDescent="0.3">
      <c r="A563" s="100" t="s">
        <v>135</v>
      </c>
      <c r="J563" s="101">
        <f>J562</f>
        <v>96.15384615384616</v>
      </c>
    </row>
    <row r="565" spans="1:12" x14ac:dyDescent="0.3">
      <c r="A565" t="s">
        <v>126</v>
      </c>
      <c r="J565" s="88">
        <f>$D$43</f>
        <v>0.5</v>
      </c>
    </row>
    <row r="566" spans="1:12" x14ac:dyDescent="0.3">
      <c r="A566" t="s">
        <v>117</v>
      </c>
      <c r="J566" s="7">
        <f>J565*J562</f>
        <v>48.07692307692308</v>
      </c>
    </row>
    <row r="568" spans="1:12" x14ac:dyDescent="0.3">
      <c r="A568" t="s">
        <v>118</v>
      </c>
      <c r="J568" s="7">
        <f>J563</f>
        <v>96.15384615384616</v>
      </c>
    </row>
    <row r="569" spans="1:12" x14ac:dyDescent="0.3">
      <c r="A569" t="s">
        <v>106</v>
      </c>
      <c r="J569" s="7">
        <f>J562*(1+J565)</f>
        <v>144.23076923076923</v>
      </c>
    </row>
    <row r="570" spans="1:12" x14ac:dyDescent="0.3">
      <c r="J570" s="7"/>
    </row>
    <row r="571" spans="1:12" x14ac:dyDescent="0.3">
      <c r="A571" t="s">
        <v>136</v>
      </c>
      <c r="J571" s="7">
        <f>J568*J553</f>
        <v>18713.656348632303</v>
      </c>
    </row>
    <row r="572" spans="1:12" x14ac:dyDescent="0.3">
      <c r="A572" t="s">
        <v>119</v>
      </c>
      <c r="J572" s="7">
        <f>J569*J553</f>
        <v>28070.484522948453</v>
      </c>
    </row>
    <row r="573" spans="1:12" x14ac:dyDescent="0.3">
      <c r="J573" s="7"/>
    </row>
    <row r="574" spans="1:12" x14ac:dyDescent="0.3">
      <c r="A574" t="s">
        <v>302</v>
      </c>
      <c r="J574" s="6">
        <f>J566*J553</f>
        <v>9356.8281743161515</v>
      </c>
    </row>
    <row r="575" spans="1:12" x14ac:dyDescent="0.3">
      <c r="J575" s="7"/>
    </row>
    <row r="576" spans="1:12" x14ac:dyDescent="0.3">
      <c r="A576" t="s">
        <v>127</v>
      </c>
      <c r="J576" s="7">
        <f>J569/3</f>
        <v>48.076923076923073</v>
      </c>
      <c r="K576" s="7">
        <f>J569/3</f>
        <v>48.076923076923073</v>
      </c>
      <c r="L576" s="7">
        <f>J569/3</f>
        <v>48.076923076923073</v>
      </c>
    </row>
    <row r="578" spans="1:14" x14ac:dyDescent="0.3">
      <c r="A578" t="s">
        <v>128</v>
      </c>
      <c r="J578" s="21">
        <f>Summary!D28</f>
        <v>0.8</v>
      </c>
    </row>
    <row r="579" spans="1:14" x14ac:dyDescent="0.3">
      <c r="A579" t="s">
        <v>129</v>
      </c>
      <c r="J579" s="21">
        <f>1-J578</f>
        <v>0.19999999999999996</v>
      </c>
    </row>
    <row r="581" spans="1:14" x14ac:dyDescent="0.3">
      <c r="A581" s="71" t="s">
        <v>16</v>
      </c>
    </row>
    <row r="582" spans="1:14" x14ac:dyDescent="0.3">
      <c r="A582" t="s">
        <v>17</v>
      </c>
      <c r="I582" s="74">
        <f>Summary!$C$52</f>
        <v>0.2</v>
      </c>
      <c r="J582" s="74">
        <f>Summary!$C$53</f>
        <v>0.25</v>
      </c>
      <c r="K582" s="74">
        <f>Summary!$C$54</f>
        <v>0.13</v>
      </c>
      <c r="L582" s="75"/>
      <c r="M582" s="75"/>
    </row>
    <row r="583" spans="1:14" x14ac:dyDescent="0.3">
      <c r="A583" t="s">
        <v>18</v>
      </c>
      <c r="C583" s="75"/>
      <c r="J583" s="74">
        <f>Summary!$C$55</f>
        <v>0.8</v>
      </c>
      <c r="K583" s="76">
        <f>J583</f>
        <v>0.8</v>
      </c>
      <c r="L583" s="76">
        <f>K583</f>
        <v>0.8</v>
      </c>
      <c r="M583" s="75"/>
    </row>
    <row r="584" spans="1:14" x14ac:dyDescent="0.3">
      <c r="A584" t="s">
        <v>19</v>
      </c>
      <c r="C584" s="75"/>
      <c r="J584" s="75"/>
      <c r="K584" s="74">
        <f>Summary!$C$56</f>
        <v>1</v>
      </c>
      <c r="L584" s="74">
        <f>K584</f>
        <v>1</v>
      </c>
      <c r="M584" s="74">
        <f>L584</f>
        <v>1</v>
      </c>
    </row>
    <row r="585" spans="1:14" x14ac:dyDescent="0.3">
      <c r="A585" t="s">
        <v>20</v>
      </c>
      <c r="M585" s="21"/>
    </row>
    <row r="586" spans="1:14" x14ac:dyDescent="0.3">
      <c r="M586" s="21"/>
    </row>
    <row r="587" spans="1:14" x14ac:dyDescent="0.3">
      <c r="A587" s="11" t="s">
        <v>196</v>
      </c>
      <c r="J587" s="90">
        <f>SUM(J588:J591)</f>
        <v>0.36</v>
      </c>
      <c r="K587" s="90">
        <f t="shared" ref="K587" si="78">SUM(K588:K591)</f>
        <v>0.36</v>
      </c>
      <c r="L587" s="90">
        <f t="shared" ref="L587" si="79">SUM(L588:L591)</f>
        <v>0.21280000000000004</v>
      </c>
      <c r="M587" s="90">
        <f t="shared" ref="M587" si="80">SUM(M588:M591)</f>
        <v>0.20864000000000002</v>
      </c>
    </row>
    <row r="588" spans="1:14" x14ac:dyDescent="0.3">
      <c r="A588" t="s">
        <v>17</v>
      </c>
      <c r="J588" s="22">
        <f>(1-I582)*J579</f>
        <v>0.15999999999999998</v>
      </c>
      <c r="K588" s="22">
        <f>J588*(1-J582)+J589*(1-J583)</f>
        <v>0.15999999999999998</v>
      </c>
    </row>
    <row r="589" spans="1:14" x14ac:dyDescent="0.3">
      <c r="A589" t="s">
        <v>18</v>
      </c>
      <c r="J589" s="22">
        <f>I582</f>
        <v>0.2</v>
      </c>
      <c r="K589" s="22">
        <f>J588*J582</f>
        <v>3.9999999999999994E-2</v>
      </c>
      <c r="L589" s="22">
        <f>K588*K582</f>
        <v>2.0799999999999999E-2</v>
      </c>
      <c r="N589" s="22"/>
    </row>
    <row r="590" spans="1:14" x14ac:dyDescent="0.3">
      <c r="A590" t="s">
        <v>19</v>
      </c>
      <c r="K590" s="22">
        <f>J589*J583</f>
        <v>0.16000000000000003</v>
      </c>
      <c r="L590" s="22">
        <f>K589*K583+K590</f>
        <v>0.19200000000000003</v>
      </c>
      <c r="M590" s="22">
        <f>L589*L583+L590</f>
        <v>0.20864000000000002</v>
      </c>
    </row>
    <row r="591" spans="1:14" x14ac:dyDescent="0.3">
      <c r="K591" s="22"/>
      <c r="L591" s="22"/>
    </row>
    <row r="592" spans="1:14" x14ac:dyDescent="0.3">
      <c r="A592" t="s">
        <v>195</v>
      </c>
      <c r="J592" s="22">
        <f>(1-I582)*J578</f>
        <v>0.64000000000000012</v>
      </c>
      <c r="L592" s="29">
        <f>K588*(1-K582)+K589*(1-K583)+K590*(1-K584)</f>
        <v>0.1472</v>
      </c>
      <c r="M592" s="29">
        <f>L589*(1-L583)+L592</f>
        <v>0.15135999999999999</v>
      </c>
      <c r="N592" s="22"/>
    </row>
    <row r="593" spans="1:14" x14ac:dyDescent="0.3">
      <c r="J593" s="22"/>
      <c r="L593" s="29"/>
      <c r="M593" s="29"/>
      <c r="N593" s="22"/>
    </row>
    <row r="594" spans="1:14" x14ac:dyDescent="0.3">
      <c r="J594" s="25" t="s">
        <v>32</v>
      </c>
    </row>
    <row r="595" spans="1:14" x14ac:dyDescent="0.3">
      <c r="A595" s="11" t="s">
        <v>124</v>
      </c>
      <c r="J595" s="8">
        <f>SUM(J596:J599)</f>
        <v>194.62202602577594</v>
      </c>
      <c r="K595" s="8">
        <f t="shared" ref="K595:L595" si="81">SUM(K596:K599)</f>
        <v>70.063929369279336</v>
      </c>
      <c r="L595" s="8">
        <f t="shared" si="81"/>
        <v>41.415567138285127</v>
      </c>
    </row>
    <row r="596" spans="1:14" x14ac:dyDescent="0.3">
      <c r="A596" s="23" t="s">
        <v>120</v>
      </c>
      <c r="J596" s="7">
        <f>J553*(1-I582)</f>
        <v>155.69762082062076</v>
      </c>
      <c r="K596" s="82">
        <f>J634*(1-J582)+J597*(1-J583)</f>
        <v>31.139524164124143</v>
      </c>
    </row>
    <row r="597" spans="1:14" x14ac:dyDescent="0.3">
      <c r="A597" s="24" t="s">
        <v>122</v>
      </c>
      <c r="J597" s="7">
        <f>J553*I582</f>
        <v>38.924405205155189</v>
      </c>
      <c r="K597" s="7">
        <f>J634*J582</f>
        <v>7.7848810410310358</v>
      </c>
      <c r="L597" s="7">
        <f>K596*K582</f>
        <v>4.048138141336139</v>
      </c>
      <c r="M597" s="7">
        <f>L596*L582</f>
        <v>0</v>
      </c>
    </row>
    <row r="598" spans="1:14" x14ac:dyDescent="0.3">
      <c r="A598" s="23" t="s">
        <v>121</v>
      </c>
      <c r="K598" s="7">
        <f>J597*J583</f>
        <v>31.139524164124154</v>
      </c>
      <c r="L598" s="7">
        <f>K597*K583</f>
        <v>6.2279048328248292</v>
      </c>
      <c r="M598" s="7">
        <f>L597*L583</f>
        <v>3.2385105130689116</v>
      </c>
    </row>
    <row r="599" spans="1:14" x14ac:dyDescent="0.3">
      <c r="A599" s="23" t="s">
        <v>138</v>
      </c>
      <c r="K599" s="7"/>
      <c r="L599" s="7">
        <f>K598*K584</f>
        <v>31.139524164124154</v>
      </c>
      <c r="M599" s="7">
        <f>L598*L584+L599</f>
        <v>37.367428996948981</v>
      </c>
      <c r="N599" s="7">
        <f>M598*M584+M599</f>
        <v>40.60593951001789</v>
      </c>
    </row>
    <row r="600" spans="1:14" x14ac:dyDescent="0.3">
      <c r="A600" s="23"/>
      <c r="K600" s="7"/>
    </row>
    <row r="601" spans="1:14" x14ac:dyDescent="0.3">
      <c r="A601" s="23" t="s">
        <v>137</v>
      </c>
      <c r="K601" s="7"/>
      <c r="L601" s="7">
        <f>K596*(1-K582)+K597*(1-K583)+K598*(1-K584)</f>
        <v>28.648362230994213</v>
      </c>
      <c r="M601" s="7">
        <f>L597*(1-L583)+L601</f>
        <v>29.457989859261442</v>
      </c>
      <c r="N601" s="7">
        <f>M598*(1-M584)+M601</f>
        <v>29.457989859261442</v>
      </c>
    </row>
    <row r="602" spans="1:14" x14ac:dyDescent="0.3">
      <c r="A602" s="23"/>
      <c r="K602" s="7"/>
    </row>
    <row r="603" spans="1:14" x14ac:dyDescent="0.3">
      <c r="A603" s="11" t="s">
        <v>139</v>
      </c>
      <c r="J603" s="8">
        <f>SUM(J604:J605)</f>
        <v>155.69762082062076</v>
      </c>
      <c r="K603" s="8">
        <f>SUM(K604:K605)</f>
        <v>31.139524164124143</v>
      </c>
      <c r="L603" s="8">
        <f>SUM(L604:L605)</f>
        <v>28.648362230994213</v>
      </c>
      <c r="M603" s="8">
        <f>SUM(M604:M605)</f>
        <v>0.80962762826722767</v>
      </c>
    </row>
    <row r="604" spans="1:14" x14ac:dyDescent="0.3">
      <c r="A604" s="23" t="s">
        <v>120</v>
      </c>
      <c r="J604" s="7">
        <f>J596</f>
        <v>155.69762082062076</v>
      </c>
      <c r="K604" s="7">
        <f>J634*(1-J582)</f>
        <v>23.354643123093108</v>
      </c>
      <c r="L604" s="7">
        <f>K596*(1-K582)</f>
        <v>27.091386022788004</v>
      </c>
    </row>
    <row r="605" spans="1:14" x14ac:dyDescent="0.3">
      <c r="A605" s="24" t="s">
        <v>122</v>
      </c>
      <c r="K605" s="7">
        <f>J597*(1-J583)</f>
        <v>7.7848810410310358</v>
      </c>
      <c r="L605" s="7">
        <f>K597*(1-K583)</f>
        <v>1.5569762082062069</v>
      </c>
      <c r="M605" s="7">
        <f>L597*(1-L583)</f>
        <v>0.80962762826722767</v>
      </c>
    </row>
    <row r="606" spans="1:14" x14ac:dyDescent="0.3">
      <c r="A606" s="23"/>
      <c r="K606" s="7"/>
      <c r="L606" s="7">
        <f>K598*(1-K584)</f>
        <v>0</v>
      </c>
      <c r="M606" s="7">
        <f>L598*(1-L584)</f>
        <v>0</v>
      </c>
    </row>
    <row r="607" spans="1:14" x14ac:dyDescent="0.3">
      <c r="A607" s="81" t="s">
        <v>123</v>
      </c>
    </row>
    <row r="608" spans="1:14" x14ac:dyDescent="0.3">
      <c r="A608" s="23" t="s">
        <v>120</v>
      </c>
      <c r="J608" s="7">
        <f>J569-J576</f>
        <v>96.15384615384616</v>
      </c>
      <c r="K608" s="7">
        <f>J608-K576</f>
        <v>48.076923076923087</v>
      </c>
      <c r="L608" s="7">
        <f>K608-L576</f>
        <v>0</v>
      </c>
    </row>
    <row r="609" spans="1:14" x14ac:dyDescent="0.3">
      <c r="A609" s="24" t="s">
        <v>122</v>
      </c>
      <c r="J609" s="7">
        <f>J569</f>
        <v>144.23076923076923</v>
      </c>
      <c r="K609" s="7">
        <f>J608</f>
        <v>96.15384615384616</v>
      </c>
      <c r="L609" s="7">
        <f>K608</f>
        <v>48.076923076923087</v>
      </c>
    </row>
    <row r="610" spans="1:14" x14ac:dyDescent="0.3">
      <c r="A610" s="23" t="s">
        <v>121</v>
      </c>
      <c r="K610" s="7">
        <f>J609</f>
        <v>144.23076923076923</v>
      </c>
      <c r="L610" s="7">
        <f>K609</f>
        <v>96.15384615384616</v>
      </c>
      <c r="M610" s="7">
        <f>L609</f>
        <v>48.076923076923087</v>
      </c>
    </row>
    <row r="611" spans="1:14" x14ac:dyDescent="0.3">
      <c r="A611" s="23"/>
      <c r="L611" s="7"/>
      <c r="M611" s="7"/>
    </row>
    <row r="612" spans="1:14" x14ac:dyDescent="0.3">
      <c r="A612" s="23"/>
      <c r="L612" s="7"/>
      <c r="M612" s="7"/>
    </row>
    <row r="613" spans="1:14" x14ac:dyDescent="0.3">
      <c r="A613" s="11" t="s">
        <v>130</v>
      </c>
      <c r="J613" s="8">
        <f>SUM(J614:J617)</f>
        <v>20585.021983495535</v>
      </c>
      <c r="K613" s="8">
        <f t="shared" ref="K613:M613" si="82">SUM(K614:K617)</f>
        <v>6736.9162855076283</v>
      </c>
      <c r="L613" s="8">
        <f t="shared" si="82"/>
        <v>5284.7365528537621</v>
      </c>
      <c r="M613" s="8">
        <f t="shared" si="82"/>
        <v>5245.8121476486067</v>
      </c>
    </row>
    <row r="614" spans="1:14" x14ac:dyDescent="0.3">
      <c r="A614" s="23" t="s">
        <v>120</v>
      </c>
      <c r="J614" s="7">
        <f>J608*J596</f>
        <v>14970.925078905842</v>
      </c>
      <c r="K614" s="7">
        <f t="shared" ref="K614:L614" si="83">K608*K596</f>
        <v>1497.0925078905841</v>
      </c>
      <c r="L614" s="7">
        <f t="shared" si="83"/>
        <v>0</v>
      </c>
    </row>
    <row r="615" spans="1:14" x14ac:dyDescent="0.3">
      <c r="A615" s="24" t="s">
        <v>122</v>
      </c>
      <c r="J615" s="7">
        <f>J609*J597</f>
        <v>5614.0969045896909</v>
      </c>
      <c r="K615" s="7">
        <f t="shared" ref="K615:L615" si="84">K609*K597</f>
        <v>748.54625394529194</v>
      </c>
      <c r="L615" s="7">
        <f t="shared" si="84"/>
        <v>194.62202602577597</v>
      </c>
      <c r="M615" s="7">
        <f>M609*M597</f>
        <v>0</v>
      </c>
    </row>
    <row r="616" spans="1:14" x14ac:dyDescent="0.3">
      <c r="A616" s="23" t="s">
        <v>121</v>
      </c>
      <c r="K616" s="7">
        <f>K610*K598</f>
        <v>4491.2775236717525</v>
      </c>
      <c r="L616" s="7">
        <f>L610*L598</f>
        <v>598.83700315623366</v>
      </c>
      <c r="M616" s="7">
        <f>M610*M598</f>
        <v>155.69762082062078</v>
      </c>
    </row>
    <row r="617" spans="1:14" x14ac:dyDescent="0.3">
      <c r="A617" s="23" t="s">
        <v>299</v>
      </c>
      <c r="L617" s="8">
        <f>K616</f>
        <v>4491.2775236717525</v>
      </c>
      <c r="M617" s="8">
        <f>L617+L616</f>
        <v>5090.1145268279861</v>
      </c>
      <c r="N617" s="8">
        <f>M617+M616</f>
        <v>5245.8121476486067</v>
      </c>
    </row>
    <row r="618" spans="1:14" x14ac:dyDescent="0.3">
      <c r="A618" s="23"/>
    </row>
    <row r="619" spans="1:14" x14ac:dyDescent="0.3">
      <c r="A619" s="105" t="s">
        <v>300</v>
      </c>
      <c r="J619" s="8">
        <f>N617</f>
        <v>5245.8121476486067</v>
      </c>
    </row>
    <row r="620" spans="1:14" x14ac:dyDescent="0.3">
      <c r="A620" s="23"/>
    </row>
    <row r="621" spans="1:14" x14ac:dyDescent="0.3">
      <c r="A621" s="11" t="s">
        <v>140</v>
      </c>
      <c r="J621" s="8">
        <f>SUM(J623:J626)</f>
        <v>7485.4625394529203</v>
      </c>
      <c r="K621" s="8">
        <f>SUM(K623:K626)</f>
        <v>1871.3656348632298</v>
      </c>
      <c r="L621" s="8">
        <f t="shared" ref="L621:M621" si="85">SUM(L623:L626)</f>
        <v>1452.1797326538663</v>
      </c>
      <c r="M621" s="8">
        <f t="shared" si="85"/>
        <v>38.924405205155175</v>
      </c>
    </row>
    <row r="622" spans="1:14" x14ac:dyDescent="0.3">
      <c r="A622" s="11"/>
      <c r="J622" s="8"/>
      <c r="K622" s="8"/>
      <c r="L622" s="8"/>
      <c r="M622" s="8"/>
    </row>
    <row r="623" spans="1:14" x14ac:dyDescent="0.3">
      <c r="A623" t="s">
        <v>131</v>
      </c>
      <c r="C623" s="23" t="s">
        <v>120</v>
      </c>
      <c r="J623" s="6">
        <f>J632*J576</f>
        <v>5988.3700315623364</v>
      </c>
    </row>
    <row r="624" spans="1:14" x14ac:dyDescent="0.3">
      <c r="C624" s="23"/>
      <c r="J624" s="6"/>
    </row>
    <row r="625" spans="1:21" x14ac:dyDescent="0.3">
      <c r="A625" t="s">
        <v>200</v>
      </c>
      <c r="C625" s="23" t="s">
        <v>120</v>
      </c>
      <c r="J625" s="6">
        <f>J634*J576</f>
        <v>1497.0925078905836</v>
      </c>
      <c r="K625" s="27">
        <f>K604*K576</f>
        <v>1122.8193809179379</v>
      </c>
      <c r="L625" s="27">
        <f t="shared" ref="L625:M625" si="86">L604*L576</f>
        <v>1302.4704818648079</v>
      </c>
      <c r="M625" s="27">
        <f t="shared" si="86"/>
        <v>0</v>
      </c>
      <c r="N625" s="27"/>
    </row>
    <row r="626" spans="1:21" x14ac:dyDescent="0.3">
      <c r="A626" t="s">
        <v>200</v>
      </c>
      <c r="C626" s="24" t="s">
        <v>122</v>
      </c>
      <c r="J626" s="6"/>
      <c r="K626" s="27">
        <f>K605*(J576+K576)</f>
        <v>748.54625394529182</v>
      </c>
      <c r="L626" s="27">
        <f t="shared" ref="L626" si="87">L605*(K576+L576)</f>
        <v>149.70925078905833</v>
      </c>
      <c r="M626" s="27">
        <f t="shared" ref="M626" si="88">M605*(L576+M576)</f>
        <v>38.924405205155175</v>
      </c>
      <c r="N626" s="27"/>
    </row>
    <row r="628" spans="1:21" x14ac:dyDescent="0.3">
      <c r="A628" s="11" t="s">
        <v>283</v>
      </c>
      <c r="J628" s="8">
        <f>SUM(J625:M626)</f>
        <v>4859.5622806128349</v>
      </c>
    </row>
    <row r="630" spans="1:21" x14ac:dyDescent="0.3">
      <c r="A630" t="s">
        <v>202</v>
      </c>
      <c r="J630" s="28">
        <f>J632*(K576+L576)</f>
        <v>11976.740063124673</v>
      </c>
    </row>
    <row r="632" spans="1:21" x14ac:dyDescent="0.3">
      <c r="A632" s="72" t="s">
        <v>132</v>
      </c>
      <c r="J632" s="73">
        <f>J596*J578</f>
        <v>124.55809665649662</v>
      </c>
    </row>
    <row r="634" spans="1:21" x14ac:dyDescent="0.3">
      <c r="A634" t="s">
        <v>201</v>
      </c>
      <c r="J634" s="7">
        <f>J596*J579</f>
        <v>31.139524164124143</v>
      </c>
    </row>
    <row r="637" spans="1:21" x14ac:dyDescent="0.3">
      <c r="A637" s="152" t="s">
        <v>224</v>
      </c>
      <c r="B637" s="153"/>
      <c r="C637" s="153"/>
      <c r="D637" s="153"/>
      <c r="E637" s="153"/>
      <c r="F637" s="153"/>
      <c r="G637" s="153"/>
      <c r="H637" s="153"/>
      <c r="I637" s="153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4"/>
    </row>
    <row r="639" spans="1:21" x14ac:dyDescent="0.3">
      <c r="A639" t="s">
        <v>197</v>
      </c>
      <c r="G639" s="83">
        <f>F371</f>
        <v>2621.4400000000005</v>
      </c>
    </row>
    <row r="640" spans="1:21" x14ac:dyDescent="0.3">
      <c r="A640" t="s">
        <v>206</v>
      </c>
      <c r="G640" s="7">
        <f>G642*G639</f>
        <v>2621.4400000000005</v>
      </c>
      <c r="J640" s="77"/>
    </row>
    <row r="641" spans="1:11" x14ac:dyDescent="0.3">
      <c r="G641" s="7"/>
      <c r="J641" s="77"/>
    </row>
    <row r="642" spans="1:11" x14ac:dyDescent="0.3">
      <c r="A642" s="11" t="s">
        <v>134</v>
      </c>
      <c r="B642" s="11"/>
      <c r="C642" s="11"/>
      <c r="G642" s="104">
        <f>$E$120</f>
        <v>1</v>
      </c>
      <c r="H642" s="11"/>
      <c r="I642" s="11"/>
      <c r="K642" s="11"/>
    </row>
    <row r="643" spans="1:11" x14ac:dyDescent="0.3">
      <c r="A643" t="s">
        <v>35</v>
      </c>
      <c r="G643" s="84">
        <f>J331</f>
        <v>0</v>
      </c>
    </row>
    <row r="644" spans="1:11" x14ac:dyDescent="0.3">
      <c r="A644" t="s">
        <v>36</v>
      </c>
      <c r="G644" s="89">
        <f>0.95</f>
        <v>0.95</v>
      </c>
    </row>
    <row r="645" spans="1:11" x14ac:dyDescent="0.3">
      <c r="A645" t="s">
        <v>142</v>
      </c>
      <c r="G645" s="89">
        <v>0.99</v>
      </c>
    </row>
    <row r="646" spans="1:11" x14ac:dyDescent="0.3">
      <c r="A646" t="s">
        <v>37</v>
      </c>
      <c r="G646" s="89">
        <v>0.98</v>
      </c>
    </row>
    <row r="649" spans="1:11" x14ac:dyDescent="0.3">
      <c r="A649" t="s">
        <v>125</v>
      </c>
      <c r="G649" s="83">
        <f>G650+F301</f>
        <v>128.2051282051282</v>
      </c>
    </row>
    <row r="650" spans="1:11" x14ac:dyDescent="0.3">
      <c r="A650" t="s">
        <v>135</v>
      </c>
      <c r="G650" s="82">
        <f>$D$46</f>
        <v>32.051282051282051</v>
      </c>
    </row>
    <row r="652" spans="1:11" x14ac:dyDescent="0.3">
      <c r="A652" t="s">
        <v>126</v>
      </c>
      <c r="G652" s="88">
        <f>$D$43</f>
        <v>0.5</v>
      </c>
    </row>
    <row r="653" spans="1:11" x14ac:dyDescent="0.3">
      <c r="A653" t="s">
        <v>117</v>
      </c>
      <c r="G653" s="7">
        <f>G652*G649</f>
        <v>64.102564102564102</v>
      </c>
    </row>
    <row r="655" spans="1:11" x14ac:dyDescent="0.3">
      <c r="A655" t="s">
        <v>118</v>
      </c>
      <c r="G655" s="7">
        <f>G650</f>
        <v>32.051282051282051</v>
      </c>
    </row>
    <row r="656" spans="1:11" x14ac:dyDescent="0.3">
      <c r="A656" t="s">
        <v>106</v>
      </c>
      <c r="G656" s="7">
        <f>G649*(1+G652)</f>
        <v>192.30769230769232</v>
      </c>
    </row>
    <row r="657" spans="1:10" x14ac:dyDescent="0.3">
      <c r="G657" s="7"/>
    </row>
    <row r="658" spans="1:10" x14ac:dyDescent="0.3">
      <c r="A658" t="s">
        <v>136</v>
      </c>
      <c r="G658" s="7">
        <f>G655*G640</f>
        <v>84020.512820512842</v>
      </c>
    </row>
    <row r="659" spans="1:10" x14ac:dyDescent="0.3">
      <c r="A659" t="s">
        <v>119</v>
      </c>
      <c r="G659" s="7">
        <f>G656*G640</f>
        <v>504123.07692307705</v>
      </c>
    </row>
    <row r="660" spans="1:10" x14ac:dyDescent="0.3">
      <c r="G660" s="7"/>
    </row>
    <row r="661" spans="1:10" x14ac:dyDescent="0.3">
      <c r="A661" t="s">
        <v>302</v>
      </c>
      <c r="G661" s="6">
        <f>G653*G640</f>
        <v>168041.02564102568</v>
      </c>
    </row>
    <row r="662" spans="1:10" x14ac:dyDescent="0.3">
      <c r="G662" s="7"/>
    </row>
    <row r="663" spans="1:10" x14ac:dyDescent="0.3">
      <c r="A663" t="s">
        <v>127</v>
      </c>
      <c r="G663" s="7">
        <f>G656/3</f>
        <v>64.102564102564102</v>
      </c>
      <c r="H663" s="7">
        <f>G656/3</f>
        <v>64.102564102564102</v>
      </c>
      <c r="I663" s="7">
        <f>G656/3</f>
        <v>64.102564102564102</v>
      </c>
    </row>
    <row r="665" spans="1:10" x14ac:dyDescent="0.3">
      <c r="A665" t="s">
        <v>128</v>
      </c>
      <c r="G665" s="21">
        <f>Summary!B30</f>
        <v>0.8</v>
      </c>
    </row>
    <row r="666" spans="1:10" x14ac:dyDescent="0.3">
      <c r="A666" t="s">
        <v>129</v>
      </c>
      <c r="G666" s="21">
        <f>1-G665</f>
        <v>0.19999999999999996</v>
      </c>
    </row>
    <row r="668" spans="1:10" x14ac:dyDescent="0.3">
      <c r="A668" s="71" t="s">
        <v>16</v>
      </c>
    </row>
    <row r="669" spans="1:10" x14ac:dyDescent="0.3">
      <c r="A669" t="s">
        <v>17</v>
      </c>
      <c r="F669" s="74">
        <f>Summary!$B$59</f>
        <v>0.2</v>
      </c>
      <c r="G669" s="74">
        <f>Summary!$B$60</f>
        <v>0.25</v>
      </c>
      <c r="H669" s="74">
        <f>Summary!$B$61</f>
        <v>0.13</v>
      </c>
      <c r="I669" s="75"/>
      <c r="J669" s="75"/>
    </row>
    <row r="670" spans="1:10" x14ac:dyDescent="0.3">
      <c r="A670" t="s">
        <v>18</v>
      </c>
      <c r="C670" s="75"/>
      <c r="G670" s="74">
        <f>Summary!$B$62</f>
        <v>0.8</v>
      </c>
      <c r="H670" s="76">
        <f>G670</f>
        <v>0.8</v>
      </c>
      <c r="I670" s="76">
        <f>H670</f>
        <v>0.8</v>
      </c>
      <c r="J670" s="75"/>
    </row>
    <row r="671" spans="1:10" x14ac:dyDescent="0.3">
      <c r="A671" t="s">
        <v>19</v>
      </c>
      <c r="C671" s="75"/>
      <c r="G671" s="75"/>
      <c r="H671" s="74">
        <f>Summary!$B$63</f>
        <v>1</v>
      </c>
      <c r="I671" s="74">
        <f>H671</f>
        <v>1</v>
      </c>
      <c r="J671" s="74">
        <f>I671</f>
        <v>1</v>
      </c>
    </row>
    <row r="672" spans="1:10" x14ac:dyDescent="0.3">
      <c r="A672" t="s">
        <v>20</v>
      </c>
      <c r="J672" s="21"/>
    </row>
    <row r="673" spans="1:11" x14ac:dyDescent="0.3">
      <c r="J673" s="21"/>
    </row>
    <row r="674" spans="1:11" x14ac:dyDescent="0.3">
      <c r="A674" s="11" t="s">
        <v>196</v>
      </c>
      <c r="G674" s="90">
        <f>SUM(G675:G678)</f>
        <v>0.36</v>
      </c>
      <c r="H674" s="90">
        <f t="shared" ref="H674" si="89">SUM(H675:H678)</f>
        <v>0.36</v>
      </c>
      <c r="I674" s="90">
        <f t="shared" ref="I674" si="90">SUM(I675:I678)</f>
        <v>0.21280000000000004</v>
      </c>
      <c r="J674" s="90">
        <f t="shared" ref="J674" si="91">SUM(J675:J678)</f>
        <v>0.20864000000000002</v>
      </c>
    </row>
    <row r="675" spans="1:11" x14ac:dyDescent="0.3">
      <c r="A675" t="s">
        <v>17</v>
      </c>
      <c r="G675" s="22">
        <f>(1-F669)*G666</f>
        <v>0.15999999999999998</v>
      </c>
      <c r="H675" s="22">
        <f>G675*(1-G669)+G676*(1-G670)</f>
        <v>0.15999999999999998</v>
      </c>
    </row>
    <row r="676" spans="1:11" x14ac:dyDescent="0.3">
      <c r="A676" t="s">
        <v>18</v>
      </c>
      <c r="G676" s="22">
        <f>F669</f>
        <v>0.2</v>
      </c>
      <c r="H676" s="22">
        <f>G675*G669</f>
        <v>3.9999999999999994E-2</v>
      </c>
      <c r="I676" s="22">
        <f>H675*H669</f>
        <v>2.0799999999999999E-2</v>
      </c>
      <c r="K676" s="22"/>
    </row>
    <row r="677" spans="1:11" x14ac:dyDescent="0.3">
      <c r="A677" t="s">
        <v>19</v>
      </c>
      <c r="H677" s="22">
        <f>G676*G670</f>
        <v>0.16000000000000003</v>
      </c>
      <c r="I677" s="22">
        <f>H676*H670+H677</f>
        <v>0.19200000000000003</v>
      </c>
      <c r="J677" s="22">
        <f>I676*I670+I677</f>
        <v>0.20864000000000002</v>
      </c>
    </row>
    <row r="678" spans="1:11" x14ac:dyDescent="0.3">
      <c r="H678" s="22"/>
      <c r="I678" s="22"/>
    </row>
    <row r="679" spans="1:11" x14ac:dyDescent="0.3">
      <c r="A679" t="s">
        <v>195</v>
      </c>
      <c r="G679" s="22">
        <f>(1-F669)*G665</f>
        <v>0.64000000000000012</v>
      </c>
      <c r="I679" s="29">
        <f>H675*(1-H669)+H676*(1-H670)+H677*(1-H671)</f>
        <v>0.1472</v>
      </c>
      <c r="J679" s="29">
        <f>I676*(1-I670)+I679</f>
        <v>0.15135999999999999</v>
      </c>
      <c r="K679" s="22"/>
    </row>
    <row r="680" spans="1:11" x14ac:dyDescent="0.3">
      <c r="G680" s="22"/>
      <c r="I680" s="29"/>
      <c r="J680" s="29"/>
      <c r="K680" s="22"/>
    </row>
    <row r="681" spans="1:11" x14ac:dyDescent="0.3">
      <c r="G681" s="25" t="s">
        <v>32</v>
      </c>
    </row>
    <row r="682" spans="1:11" x14ac:dyDescent="0.3">
      <c r="A682" s="11" t="s">
        <v>124</v>
      </c>
      <c r="G682" s="8">
        <f>SUM(G683:G686)</f>
        <v>2621.4400000000005</v>
      </c>
      <c r="H682" s="8">
        <f t="shared" ref="H682:I682" si="92">SUM(H683:H686)</f>
        <v>943.7184000000002</v>
      </c>
      <c r="I682" s="8">
        <f t="shared" si="92"/>
        <v>557.84243200000014</v>
      </c>
    </row>
    <row r="683" spans="1:11" x14ac:dyDescent="0.3">
      <c r="A683" s="23" t="s">
        <v>120</v>
      </c>
      <c r="G683" s="7">
        <f>G640*(1-F669)</f>
        <v>2097.1520000000005</v>
      </c>
      <c r="H683" s="82">
        <f>G721*(1-G669)+G684*(1-G670)</f>
        <v>419.43040000000002</v>
      </c>
    </row>
    <row r="684" spans="1:11" x14ac:dyDescent="0.3">
      <c r="A684" s="24" t="s">
        <v>122</v>
      </c>
      <c r="G684" s="7">
        <f>G640*F669</f>
        <v>524.28800000000012</v>
      </c>
      <c r="H684" s="7">
        <f>G721*G669</f>
        <v>104.85760000000001</v>
      </c>
      <c r="I684" s="7">
        <f>H683*H669</f>
        <v>54.525952000000004</v>
      </c>
      <c r="J684" s="7">
        <f>I683*I669</f>
        <v>0</v>
      </c>
    </row>
    <row r="685" spans="1:11" x14ac:dyDescent="0.3">
      <c r="A685" s="23" t="s">
        <v>121</v>
      </c>
      <c r="H685" s="7">
        <f>G684*G670</f>
        <v>419.43040000000013</v>
      </c>
      <c r="I685" s="7">
        <f>H684*H670</f>
        <v>83.886080000000007</v>
      </c>
      <c r="J685" s="7">
        <f>I684*I670</f>
        <v>43.620761600000009</v>
      </c>
    </row>
    <row r="686" spans="1:11" x14ac:dyDescent="0.3">
      <c r="A686" s="23" t="s">
        <v>138</v>
      </c>
      <c r="H686" s="7"/>
      <c r="I686" s="7">
        <f>H685*H671</f>
        <v>419.43040000000013</v>
      </c>
      <c r="J686" s="7">
        <f>I685*I671+I686</f>
        <v>503.31648000000013</v>
      </c>
      <c r="K686" s="7">
        <f>J685*J671+J686</f>
        <v>546.93724160000011</v>
      </c>
    </row>
    <row r="687" spans="1:11" x14ac:dyDescent="0.3">
      <c r="A687" s="23"/>
      <c r="H687" s="7"/>
    </row>
    <row r="688" spans="1:11" x14ac:dyDescent="0.3">
      <c r="A688" s="23" t="s">
        <v>137</v>
      </c>
      <c r="H688" s="7"/>
      <c r="I688" s="7">
        <f>H683*(1-H669)+H684*(1-H670)+H685*(1-H671)</f>
        <v>385.875968</v>
      </c>
      <c r="J688" s="7">
        <f>I684*(1-I670)+I688</f>
        <v>396.78115839999998</v>
      </c>
      <c r="K688" s="7">
        <f>J685*(1-J671)+J688</f>
        <v>396.78115839999998</v>
      </c>
    </row>
    <row r="689" spans="1:11" x14ac:dyDescent="0.3">
      <c r="A689" s="23"/>
      <c r="H689" s="7"/>
    </row>
    <row r="690" spans="1:11" x14ac:dyDescent="0.3">
      <c r="A690" s="11" t="s">
        <v>139</v>
      </c>
      <c r="G690" s="8">
        <f>SUM(G691:G692)</f>
        <v>2097.1520000000005</v>
      </c>
      <c r="H690" s="8">
        <f>SUM(H691:H692)</f>
        <v>419.43040000000002</v>
      </c>
      <c r="I690" s="8">
        <f>SUM(I691:I692)</f>
        <v>385.875968</v>
      </c>
      <c r="J690" s="8">
        <f>SUM(J691:J692)</f>
        <v>10.905190399999999</v>
      </c>
    </row>
    <row r="691" spans="1:11" x14ac:dyDescent="0.3">
      <c r="A691" s="23" t="s">
        <v>120</v>
      </c>
      <c r="G691" s="7">
        <f>G683</f>
        <v>2097.1520000000005</v>
      </c>
      <c r="H691" s="7">
        <f>G721*(1-G669)</f>
        <v>314.57280000000003</v>
      </c>
      <c r="I691" s="7">
        <f>H683*(1-H669)</f>
        <v>364.904448</v>
      </c>
    </row>
    <row r="692" spans="1:11" x14ac:dyDescent="0.3">
      <c r="A692" s="24" t="s">
        <v>122</v>
      </c>
      <c r="H692" s="7">
        <f>G684*(1-G670)</f>
        <v>104.85760000000001</v>
      </c>
      <c r="I692" s="7">
        <f>H684*(1-H670)</f>
        <v>20.971519999999995</v>
      </c>
      <c r="J692" s="7">
        <f>I684*(1-I670)</f>
        <v>10.905190399999999</v>
      </c>
    </row>
    <row r="693" spans="1:11" x14ac:dyDescent="0.3">
      <c r="A693" s="23"/>
      <c r="H693" s="7"/>
      <c r="I693" s="7">
        <f>H685*(1-H671)</f>
        <v>0</v>
      </c>
      <c r="J693" s="7">
        <f>I685*(1-I671)</f>
        <v>0</v>
      </c>
    </row>
    <row r="694" spans="1:11" x14ac:dyDescent="0.3">
      <c r="A694" s="81" t="s">
        <v>123</v>
      </c>
    </row>
    <row r="695" spans="1:11" x14ac:dyDescent="0.3">
      <c r="A695" s="23" t="s">
        <v>120</v>
      </c>
      <c r="G695" s="7">
        <f>G656-G663</f>
        <v>128.20512820512823</v>
      </c>
      <c r="H695" s="7">
        <f>G695-H663</f>
        <v>64.102564102564131</v>
      </c>
      <c r="I695" s="7">
        <f>H695-I663</f>
        <v>0</v>
      </c>
    </row>
    <row r="696" spans="1:11" x14ac:dyDescent="0.3">
      <c r="A696" s="24" t="s">
        <v>122</v>
      </c>
      <c r="G696" s="7">
        <f>G656</f>
        <v>192.30769230769232</v>
      </c>
      <c r="H696" s="7">
        <f>G695</f>
        <v>128.20512820512823</v>
      </c>
      <c r="I696" s="7">
        <f>H695</f>
        <v>64.102564102564131</v>
      </c>
    </row>
    <row r="697" spans="1:11" x14ac:dyDescent="0.3">
      <c r="A697" s="23" t="s">
        <v>121</v>
      </c>
      <c r="H697" s="7">
        <f>G696</f>
        <v>192.30769230769232</v>
      </c>
      <c r="I697" s="7">
        <f>H696</f>
        <v>128.20512820512823</v>
      </c>
      <c r="J697" s="7">
        <f>I696</f>
        <v>64.102564102564131</v>
      </c>
    </row>
    <row r="698" spans="1:11" x14ac:dyDescent="0.3">
      <c r="A698" s="23"/>
      <c r="I698" s="7"/>
      <c r="J698" s="7"/>
    </row>
    <row r="699" spans="1:11" x14ac:dyDescent="0.3">
      <c r="A699" s="23"/>
      <c r="I699" s="7"/>
      <c r="J699" s="7"/>
    </row>
    <row r="700" spans="1:11" x14ac:dyDescent="0.3">
      <c r="A700" s="11" t="s">
        <v>130</v>
      </c>
      <c r="G700" s="8">
        <f>SUM(G701:G704)</f>
        <v>369690.25641025661</v>
      </c>
      <c r="H700" s="8">
        <f t="shared" ref="H700:J700" si="93">SUM(H701:H704)</f>
        <v>120989.53846153851</v>
      </c>
      <c r="I700" s="8">
        <f t="shared" si="93"/>
        <v>94909.571282051329</v>
      </c>
      <c r="J700" s="8">
        <f t="shared" si="93"/>
        <v>94210.520615384652</v>
      </c>
    </row>
    <row r="701" spans="1:11" x14ac:dyDescent="0.3">
      <c r="A701" s="23" t="s">
        <v>120</v>
      </c>
      <c r="G701" s="7">
        <f>G695*G683</f>
        <v>268865.64102564118</v>
      </c>
      <c r="H701" s="7">
        <f t="shared" ref="H701:I701" si="94">H695*H683</f>
        <v>26886.564102564116</v>
      </c>
      <c r="I701" s="7">
        <f t="shared" si="94"/>
        <v>0</v>
      </c>
    </row>
    <row r="702" spans="1:11" x14ac:dyDescent="0.3">
      <c r="A702" s="24" t="s">
        <v>122</v>
      </c>
      <c r="G702" s="7">
        <f>G696*G684</f>
        <v>100824.61538461542</v>
      </c>
      <c r="H702" s="7">
        <f t="shared" ref="H702:I702" si="95">H696*H684</f>
        <v>13443.282051282054</v>
      </c>
      <c r="I702" s="7">
        <f t="shared" si="95"/>
        <v>3495.2533333333349</v>
      </c>
      <c r="J702" s="7">
        <f>J696*J684</f>
        <v>0</v>
      </c>
    </row>
    <row r="703" spans="1:11" x14ac:dyDescent="0.3">
      <c r="A703" s="23" t="s">
        <v>121</v>
      </c>
      <c r="H703" s="7">
        <f>H697*H685</f>
        <v>80659.692307692341</v>
      </c>
      <c r="I703" s="7">
        <f>I697*I685</f>
        <v>10754.625641025645</v>
      </c>
      <c r="J703" s="7">
        <f>J697*J685</f>
        <v>2796.2026666666684</v>
      </c>
    </row>
    <row r="704" spans="1:11" x14ac:dyDescent="0.3">
      <c r="A704" s="23" t="s">
        <v>299</v>
      </c>
      <c r="I704" s="8">
        <f>H703</f>
        <v>80659.692307692341</v>
      </c>
      <c r="J704" s="8">
        <f>I704+I703</f>
        <v>91414.317948717988</v>
      </c>
      <c r="K704" s="8">
        <f>J704+J703</f>
        <v>94210.520615384652</v>
      </c>
    </row>
    <row r="705" spans="1:11" x14ac:dyDescent="0.3">
      <c r="A705" s="23"/>
    </row>
    <row r="706" spans="1:11" x14ac:dyDescent="0.3">
      <c r="A706" s="105" t="s">
        <v>300</v>
      </c>
      <c r="G706" s="8">
        <f>K704</f>
        <v>94210.520615384652</v>
      </c>
    </row>
    <row r="707" spans="1:11" x14ac:dyDescent="0.3">
      <c r="A707" s="23"/>
    </row>
    <row r="708" spans="1:11" x14ac:dyDescent="0.3">
      <c r="A708" s="11" t="s">
        <v>140</v>
      </c>
      <c r="G708" s="8">
        <f>SUM(G710:G713)</f>
        <v>134432.82051282056</v>
      </c>
      <c r="H708" s="8">
        <f>SUM(H710:H713)</f>
        <v>33608.205128205132</v>
      </c>
      <c r="I708" s="8">
        <f t="shared" ref="I708:J708" si="96">SUM(I710:I713)</f>
        <v>26079.967179487176</v>
      </c>
      <c r="J708" s="8">
        <f t="shared" si="96"/>
        <v>699.05066666666653</v>
      </c>
    </row>
    <row r="709" spans="1:11" x14ac:dyDescent="0.3">
      <c r="A709" s="11"/>
      <c r="G709" s="8"/>
      <c r="H709" s="8"/>
      <c r="I709" s="8"/>
      <c r="J709" s="8"/>
    </row>
    <row r="710" spans="1:11" x14ac:dyDescent="0.3">
      <c r="A710" t="s">
        <v>131</v>
      </c>
      <c r="C710" s="23" t="s">
        <v>120</v>
      </c>
      <c r="G710" s="6">
        <f>G719*G663</f>
        <v>107546.25641025645</v>
      </c>
    </row>
    <row r="711" spans="1:11" x14ac:dyDescent="0.3">
      <c r="C711" s="23"/>
      <c r="G711" s="6"/>
    </row>
    <row r="712" spans="1:11" x14ac:dyDescent="0.3">
      <c r="A712" t="s">
        <v>200</v>
      </c>
      <c r="C712" s="23" t="s">
        <v>120</v>
      </c>
      <c r="G712" s="6">
        <f>G721*G663</f>
        <v>26886.564102564105</v>
      </c>
      <c r="H712" s="27">
        <f>H691*H663</f>
        <v>20164.923076923078</v>
      </c>
      <c r="I712" s="27">
        <f t="shared" ref="I712:J712" si="97">I691*I663</f>
        <v>23391.310769230768</v>
      </c>
      <c r="J712" s="27">
        <f t="shared" si="97"/>
        <v>0</v>
      </c>
      <c r="K712" s="27"/>
    </row>
    <row r="713" spans="1:11" x14ac:dyDescent="0.3">
      <c r="A713" t="s">
        <v>200</v>
      </c>
      <c r="C713" s="24" t="s">
        <v>122</v>
      </c>
      <c r="G713" s="6"/>
      <c r="H713" s="27">
        <f>H692*(G663+H663)</f>
        <v>13443.282051282053</v>
      </c>
      <c r="I713" s="27">
        <f t="shared" ref="I713" si="98">I692*(H663+I663)</f>
        <v>2688.6564102564093</v>
      </c>
      <c r="J713" s="27">
        <f t="shared" ref="J713" si="99">J692*(I663+J663)</f>
        <v>699.05066666666653</v>
      </c>
      <c r="K713" s="27"/>
    </row>
    <row r="715" spans="1:11" x14ac:dyDescent="0.3">
      <c r="A715" s="11" t="s">
        <v>283</v>
      </c>
      <c r="G715" s="8">
        <f>SUM(G712:J713)</f>
        <v>87273.787076923079</v>
      </c>
    </row>
    <row r="717" spans="1:11" x14ac:dyDescent="0.3">
      <c r="A717" t="s">
        <v>202</v>
      </c>
      <c r="G717" s="28">
        <f>G719*(H663+I663)</f>
        <v>215092.5128205129</v>
      </c>
    </row>
    <row r="719" spans="1:11" x14ac:dyDescent="0.3">
      <c r="A719" s="72" t="s">
        <v>132</v>
      </c>
      <c r="G719" s="73">
        <f>G683*G665</f>
        <v>1677.7216000000005</v>
      </c>
    </row>
    <row r="721" spans="1:30" x14ac:dyDescent="0.3">
      <c r="A721" t="s">
        <v>201</v>
      </c>
      <c r="G721" s="7">
        <f>G683*G666</f>
        <v>419.43040000000002</v>
      </c>
    </row>
    <row r="724" spans="1:30" x14ac:dyDescent="0.3">
      <c r="A724" s="160" t="s">
        <v>230</v>
      </c>
      <c r="B724" s="161"/>
      <c r="C724" s="161"/>
      <c r="D724" s="161"/>
      <c r="E724" s="161"/>
      <c r="F724" s="161"/>
      <c r="G724" s="161"/>
      <c r="H724" s="161"/>
      <c r="I724" s="161"/>
      <c r="J724" s="161"/>
      <c r="K724" s="161"/>
      <c r="L724" s="161"/>
      <c r="M724" s="161"/>
      <c r="N724" s="161"/>
      <c r="O724" s="161"/>
      <c r="P724" s="161"/>
      <c r="Q724" s="161"/>
      <c r="R724" s="161"/>
      <c r="S724" s="161"/>
      <c r="T724" s="161"/>
      <c r="U724" s="161"/>
      <c r="V724" s="161"/>
      <c r="W724" s="161"/>
      <c r="X724" s="161"/>
      <c r="Y724" s="161"/>
      <c r="Z724" s="161"/>
      <c r="AA724" s="161"/>
      <c r="AB724" s="161"/>
      <c r="AC724" s="161"/>
      <c r="AD724" s="162"/>
    </row>
    <row r="726" spans="1:30" x14ac:dyDescent="0.3">
      <c r="A726" t="s">
        <v>197</v>
      </c>
      <c r="I726" s="83">
        <f>F292</f>
        <v>4096</v>
      </c>
    </row>
    <row r="727" spans="1:30" x14ac:dyDescent="0.3">
      <c r="A727" t="s">
        <v>206</v>
      </c>
      <c r="I727" s="7">
        <f>I729*I726</f>
        <v>571.42066544639988</v>
      </c>
      <c r="L727" s="77"/>
    </row>
    <row r="728" spans="1:30" x14ac:dyDescent="0.3">
      <c r="I728" s="7"/>
      <c r="L728" s="77"/>
    </row>
    <row r="729" spans="1:30" x14ac:dyDescent="0.3">
      <c r="A729" s="11" t="s">
        <v>134</v>
      </c>
      <c r="B729" s="11"/>
      <c r="C729" s="11"/>
      <c r="I729" s="91">
        <f>I730*I731*I732*I733</f>
        <v>0.13950699839999997</v>
      </c>
      <c r="J729" s="11"/>
      <c r="K729" s="11"/>
      <c r="M729" s="11"/>
    </row>
    <row r="730" spans="1:30" x14ac:dyDescent="0.3">
      <c r="A730" t="s">
        <v>35</v>
      </c>
      <c r="I730" s="84">
        <f>I331</f>
        <v>0.15135999999999999</v>
      </c>
    </row>
    <row r="731" spans="1:30" x14ac:dyDescent="0.3">
      <c r="A731" t="s">
        <v>36</v>
      </c>
      <c r="I731" s="86">
        <f>0.95</f>
        <v>0.95</v>
      </c>
    </row>
    <row r="732" spans="1:30" x14ac:dyDescent="0.3">
      <c r="A732" t="s">
        <v>142</v>
      </c>
      <c r="I732" s="86">
        <v>0.99</v>
      </c>
    </row>
    <row r="733" spans="1:30" x14ac:dyDescent="0.3">
      <c r="A733" t="s">
        <v>37</v>
      </c>
      <c r="I733" s="86">
        <v>0.98</v>
      </c>
    </row>
    <row r="736" spans="1:30" x14ac:dyDescent="0.3">
      <c r="A736" t="s">
        <v>125</v>
      </c>
      <c r="I736" s="83">
        <f>$B$33</f>
        <v>128.2051282051282</v>
      </c>
    </row>
    <row r="737" spans="1:11" x14ac:dyDescent="0.3">
      <c r="A737" s="100" t="s">
        <v>135</v>
      </c>
      <c r="I737" s="101">
        <f>I736</f>
        <v>128.2051282051282</v>
      </c>
    </row>
    <row r="739" spans="1:11" x14ac:dyDescent="0.3">
      <c r="A739" t="s">
        <v>126</v>
      </c>
      <c r="I739" s="88">
        <f>$D$43</f>
        <v>0.5</v>
      </c>
    </row>
    <row r="740" spans="1:11" x14ac:dyDescent="0.3">
      <c r="A740" t="s">
        <v>117</v>
      </c>
      <c r="I740" s="7">
        <f>I739*I736</f>
        <v>64.102564102564102</v>
      </c>
    </row>
    <row r="742" spans="1:11" x14ac:dyDescent="0.3">
      <c r="A742" t="s">
        <v>118</v>
      </c>
      <c r="I742" s="7">
        <f>I737</f>
        <v>128.2051282051282</v>
      </c>
    </row>
    <row r="743" spans="1:11" x14ac:dyDescent="0.3">
      <c r="A743" t="s">
        <v>106</v>
      </c>
      <c r="I743" s="7">
        <f>I736*(1+I739)</f>
        <v>192.30769230769232</v>
      </c>
    </row>
    <row r="744" spans="1:11" x14ac:dyDescent="0.3">
      <c r="I744" s="7"/>
    </row>
    <row r="745" spans="1:11" x14ac:dyDescent="0.3">
      <c r="A745" t="s">
        <v>136</v>
      </c>
      <c r="I745" s="7">
        <f>I742*I727</f>
        <v>73259.059672615374</v>
      </c>
    </row>
    <row r="746" spans="1:11" x14ac:dyDescent="0.3">
      <c r="A746" t="s">
        <v>119</v>
      </c>
      <c r="I746" s="7">
        <f>I743*I727</f>
        <v>109888.58950892306</v>
      </c>
    </row>
    <row r="747" spans="1:11" x14ac:dyDescent="0.3">
      <c r="I747" s="7"/>
    </row>
    <row r="748" spans="1:11" x14ac:dyDescent="0.3">
      <c r="A748" t="s">
        <v>302</v>
      </c>
      <c r="I748" s="6">
        <f>I740*I727</f>
        <v>36629.529836307687</v>
      </c>
    </row>
    <row r="749" spans="1:11" x14ac:dyDescent="0.3">
      <c r="I749" s="7"/>
    </row>
    <row r="750" spans="1:11" x14ac:dyDescent="0.3">
      <c r="A750" t="s">
        <v>127</v>
      </c>
      <c r="I750" s="7">
        <f>I743/3</f>
        <v>64.102564102564102</v>
      </c>
      <c r="J750" s="7">
        <f>I743/3</f>
        <v>64.102564102564102</v>
      </c>
      <c r="K750" s="7">
        <f>I743/3</f>
        <v>64.102564102564102</v>
      </c>
    </row>
    <row r="752" spans="1:11" x14ac:dyDescent="0.3">
      <c r="A752" t="s">
        <v>128</v>
      </c>
      <c r="I752" s="21">
        <f>Summary!D30</f>
        <v>0.8</v>
      </c>
    </row>
    <row r="753" spans="1:13" x14ac:dyDescent="0.3">
      <c r="A753" t="s">
        <v>129</v>
      </c>
      <c r="I753" s="21">
        <f>1-I752</f>
        <v>0.19999999999999996</v>
      </c>
    </row>
    <row r="755" spans="1:13" x14ac:dyDescent="0.3">
      <c r="A755" s="71" t="s">
        <v>16</v>
      </c>
    </row>
    <row r="756" spans="1:13" x14ac:dyDescent="0.3">
      <c r="A756" t="s">
        <v>17</v>
      </c>
      <c r="H756" s="74">
        <f>Summary!$C$59</f>
        <v>0.2</v>
      </c>
      <c r="I756" s="74">
        <f>Summary!$C$60</f>
        <v>0.25</v>
      </c>
      <c r="J756" s="74">
        <f>Summary!$C$61</f>
        <v>0.13</v>
      </c>
      <c r="K756" s="75"/>
      <c r="L756" s="75"/>
    </row>
    <row r="757" spans="1:13" x14ac:dyDescent="0.3">
      <c r="A757" t="s">
        <v>18</v>
      </c>
      <c r="C757" s="75"/>
      <c r="I757" s="74">
        <f>Summary!$C$62</f>
        <v>0.8</v>
      </c>
      <c r="J757" s="76">
        <f>I757</f>
        <v>0.8</v>
      </c>
      <c r="K757" s="76">
        <f>J757</f>
        <v>0.8</v>
      </c>
      <c r="L757" s="75"/>
    </row>
    <row r="758" spans="1:13" x14ac:dyDescent="0.3">
      <c r="A758" t="s">
        <v>19</v>
      </c>
      <c r="C758" s="75"/>
      <c r="I758" s="75"/>
      <c r="J758" s="74">
        <f>Summary!$C$63</f>
        <v>1</v>
      </c>
      <c r="K758" s="74">
        <f>J758</f>
        <v>1</v>
      </c>
      <c r="L758" s="74">
        <f>K758</f>
        <v>1</v>
      </c>
    </row>
    <row r="759" spans="1:13" x14ac:dyDescent="0.3">
      <c r="A759" t="s">
        <v>20</v>
      </c>
      <c r="L759" s="21"/>
    </row>
    <row r="760" spans="1:13" x14ac:dyDescent="0.3">
      <c r="L760" s="21"/>
    </row>
    <row r="761" spans="1:13" x14ac:dyDescent="0.3">
      <c r="A761" s="11" t="s">
        <v>196</v>
      </c>
      <c r="I761" s="90">
        <f>SUM(I762:I765)</f>
        <v>0.36</v>
      </c>
      <c r="J761" s="90">
        <f t="shared" ref="J761" si="100">SUM(J762:J765)</f>
        <v>0.36</v>
      </c>
      <c r="K761" s="90">
        <f t="shared" ref="K761" si="101">SUM(K762:K765)</f>
        <v>0.21280000000000004</v>
      </c>
      <c r="L761" s="90">
        <f t="shared" ref="L761" si="102">SUM(L762:L765)</f>
        <v>0.20864000000000002</v>
      </c>
    </row>
    <row r="762" spans="1:13" x14ac:dyDescent="0.3">
      <c r="A762" t="s">
        <v>17</v>
      </c>
      <c r="I762" s="22">
        <f>(1-H756)*I753</f>
        <v>0.15999999999999998</v>
      </c>
      <c r="J762" s="22">
        <f>I762*(1-I756)+I763*(1-I757)</f>
        <v>0.15999999999999998</v>
      </c>
    </row>
    <row r="763" spans="1:13" x14ac:dyDescent="0.3">
      <c r="A763" t="s">
        <v>18</v>
      </c>
      <c r="I763" s="22">
        <f>H756</f>
        <v>0.2</v>
      </c>
      <c r="J763" s="22">
        <f>I762*I756</f>
        <v>3.9999999999999994E-2</v>
      </c>
      <c r="K763" s="22">
        <f>J762*J756</f>
        <v>2.0799999999999999E-2</v>
      </c>
      <c r="M763" s="22"/>
    </row>
    <row r="764" spans="1:13" x14ac:dyDescent="0.3">
      <c r="A764" t="s">
        <v>19</v>
      </c>
      <c r="J764" s="22">
        <f>I763*I757</f>
        <v>0.16000000000000003</v>
      </c>
      <c r="K764" s="22">
        <f>J763*J757+J764</f>
        <v>0.19200000000000003</v>
      </c>
      <c r="L764" s="22">
        <f>K763*K757+K764</f>
        <v>0.20864000000000002</v>
      </c>
    </row>
    <row r="765" spans="1:13" x14ac:dyDescent="0.3">
      <c r="J765" s="22"/>
      <c r="K765" s="22"/>
    </row>
    <row r="766" spans="1:13" x14ac:dyDescent="0.3">
      <c r="A766" t="s">
        <v>195</v>
      </c>
      <c r="I766" s="22">
        <f>(1-H756)*I752</f>
        <v>0.64000000000000012</v>
      </c>
      <c r="K766" s="29">
        <f>J762*(1-J756)+J763*(1-J757)+J764*(1-J758)</f>
        <v>0.1472</v>
      </c>
      <c r="L766" s="29">
        <f>K763*(1-K757)+K766</f>
        <v>0.15135999999999999</v>
      </c>
      <c r="M766" s="22"/>
    </row>
    <row r="767" spans="1:13" x14ac:dyDescent="0.3">
      <c r="I767" s="22"/>
      <c r="K767" s="29"/>
      <c r="L767" s="29"/>
      <c r="M767" s="22"/>
    </row>
    <row r="768" spans="1:13" x14ac:dyDescent="0.3">
      <c r="I768" s="25" t="s">
        <v>32</v>
      </c>
    </row>
    <row r="769" spans="1:13" x14ac:dyDescent="0.3">
      <c r="A769" s="11" t="s">
        <v>124</v>
      </c>
      <c r="I769" s="8">
        <f>SUM(I770:I773)</f>
        <v>571.42066544639988</v>
      </c>
      <c r="J769" s="8">
        <f t="shared" ref="J769:K769" si="103">SUM(J770:J773)</f>
        <v>205.71143956070392</v>
      </c>
      <c r="K769" s="8">
        <f t="shared" si="103"/>
        <v>121.5983176069939</v>
      </c>
    </row>
    <row r="770" spans="1:13" x14ac:dyDescent="0.3">
      <c r="A770" s="23" t="s">
        <v>120</v>
      </c>
      <c r="I770" s="7">
        <f>I727*(1-H756)</f>
        <v>457.1365323571199</v>
      </c>
      <c r="J770" s="82">
        <f>I808*(1-I756)+I771*(1-I757)</f>
        <v>91.427306471423961</v>
      </c>
    </row>
    <row r="771" spans="1:13" x14ac:dyDescent="0.3">
      <c r="A771" s="24" t="s">
        <v>122</v>
      </c>
      <c r="I771" s="7">
        <f>I727*H756</f>
        <v>114.28413308927998</v>
      </c>
      <c r="J771" s="7">
        <f>I808*I756</f>
        <v>22.85682661785599</v>
      </c>
      <c r="K771" s="7">
        <f>J770*J756</f>
        <v>11.885549841285115</v>
      </c>
      <c r="L771" s="7">
        <f>K770*K756</f>
        <v>0</v>
      </c>
    </row>
    <row r="772" spans="1:13" x14ac:dyDescent="0.3">
      <c r="A772" s="23" t="s">
        <v>121</v>
      </c>
      <c r="J772" s="7">
        <f>I771*I757</f>
        <v>91.427306471423989</v>
      </c>
      <c r="K772" s="7">
        <f>J771*J757</f>
        <v>18.285461294284794</v>
      </c>
      <c r="L772" s="7">
        <f>K771*K757</f>
        <v>9.5084398730280935</v>
      </c>
    </row>
    <row r="773" spans="1:13" x14ac:dyDescent="0.3">
      <c r="A773" s="23" t="s">
        <v>138</v>
      </c>
      <c r="J773" s="7"/>
      <c r="K773" s="7">
        <f>J772*J758</f>
        <v>91.427306471423989</v>
      </c>
      <c r="L773" s="7">
        <f>K772*K758+K773</f>
        <v>109.71276776570878</v>
      </c>
      <c r="M773" s="7">
        <f>L772*L758+L773</f>
        <v>119.22120763873687</v>
      </c>
    </row>
    <row r="774" spans="1:13" x14ac:dyDescent="0.3">
      <c r="A774" s="23"/>
      <c r="J774" s="7"/>
    </row>
    <row r="775" spans="1:13" x14ac:dyDescent="0.3">
      <c r="A775" s="23" t="s">
        <v>137</v>
      </c>
      <c r="J775" s="7"/>
      <c r="K775" s="7">
        <f>J770*(1-J756)+J771*(1-J757)+J772*(1-J758)</f>
        <v>84.113121953710049</v>
      </c>
      <c r="L775" s="7">
        <f>K771*(1-K757)+K775</f>
        <v>86.490231921967066</v>
      </c>
      <c r="M775" s="7">
        <f>L772*(1-L758)+L775</f>
        <v>86.490231921967066</v>
      </c>
    </row>
    <row r="776" spans="1:13" x14ac:dyDescent="0.3">
      <c r="A776" s="23"/>
      <c r="J776" s="7"/>
    </row>
    <row r="777" spans="1:13" x14ac:dyDescent="0.3">
      <c r="A777" s="11" t="s">
        <v>139</v>
      </c>
      <c r="I777" s="8">
        <f>SUM(I778:I779)</f>
        <v>457.1365323571199</v>
      </c>
      <c r="J777" s="8">
        <f>SUM(J778:J779)</f>
        <v>91.427306471423961</v>
      </c>
      <c r="K777" s="8">
        <f>SUM(K778:K779)</f>
        <v>84.113121953710049</v>
      </c>
      <c r="L777" s="8">
        <f>SUM(L778:L779)</f>
        <v>2.3771099682570225</v>
      </c>
    </row>
    <row r="778" spans="1:13" x14ac:dyDescent="0.3">
      <c r="A778" s="23" t="s">
        <v>120</v>
      </c>
      <c r="I778" s="7">
        <f>I770</f>
        <v>457.1365323571199</v>
      </c>
      <c r="J778" s="7">
        <f>I808*(1-I756)</f>
        <v>68.570479853567974</v>
      </c>
      <c r="K778" s="7">
        <f>J770*(1-J756)</f>
        <v>79.541756630138849</v>
      </c>
    </row>
    <row r="779" spans="1:13" x14ac:dyDescent="0.3">
      <c r="A779" s="24" t="s">
        <v>122</v>
      </c>
      <c r="J779" s="7">
        <f>I771*(1-I757)</f>
        <v>22.85682661785599</v>
      </c>
      <c r="K779" s="7">
        <f>J771*(1-J757)</f>
        <v>4.5713653235711966</v>
      </c>
      <c r="L779" s="7">
        <f>K771*(1-K757)</f>
        <v>2.3771099682570225</v>
      </c>
    </row>
    <row r="780" spans="1:13" x14ac:dyDescent="0.3">
      <c r="A780" s="23"/>
      <c r="J780" s="7"/>
      <c r="K780" s="7">
        <f>J772*(1-J758)</f>
        <v>0</v>
      </c>
      <c r="L780" s="7">
        <f>K772*(1-K758)</f>
        <v>0</v>
      </c>
    </row>
    <row r="781" spans="1:13" x14ac:dyDescent="0.3">
      <c r="A781" s="81" t="s">
        <v>123</v>
      </c>
    </row>
    <row r="782" spans="1:13" x14ac:dyDescent="0.3">
      <c r="A782" s="23" t="s">
        <v>120</v>
      </c>
      <c r="I782" s="7">
        <f>I743-I750</f>
        <v>128.20512820512823</v>
      </c>
      <c r="J782" s="7">
        <f>I782-J750</f>
        <v>64.102564102564131</v>
      </c>
      <c r="K782" s="7">
        <f>J782-K750</f>
        <v>0</v>
      </c>
    </row>
    <row r="783" spans="1:13" x14ac:dyDescent="0.3">
      <c r="A783" s="24" t="s">
        <v>122</v>
      </c>
      <c r="I783" s="7">
        <f>I743</f>
        <v>192.30769230769232</v>
      </c>
      <c r="J783" s="7">
        <f>I782</f>
        <v>128.20512820512823</v>
      </c>
      <c r="K783" s="7">
        <f>J782</f>
        <v>64.102564102564131</v>
      </c>
    </row>
    <row r="784" spans="1:13" x14ac:dyDescent="0.3">
      <c r="A784" s="23" t="s">
        <v>121</v>
      </c>
      <c r="J784" s="7">
        <f>I783</f>
        <v>192.30769230769232</v>
      </c>
      <c r="K784" s="7">
        <f>J783</f>
        <v>128.20512820512823</v>
      </c>
      <c r="L784" s="7">
        <f>K783</f>
        <v>64.102564102564131</v>
      </c>
    </row>
    <row r="785" spans="1:13" x14ac:dyDescent="0.3">
      <c r="A785" s="23"/>
      <c r="K785" s="7"/>
      <c r="L785" s="7"/>
    </row>
    <row r="786" spans="1:13" x14ac:dyDescent="0.3">
      <c r="A786" s="23"/>
      <c r="K786" s="7"/>
      <c r="L786" s="7"/>
    </row>
    <row r="787" spans="1:13" x14ac:dyDescent="0.3">
      <c r="A787" s="11" t="s">
        <v>130</v>
      </c>
      <c r="I787" s="8">
        <f>SUM(I788:I791)</f>
        <v>80584.965639876929</v>
      </c>
      <c r="J787" s="8">
        <f t="shared" ref="J787:L787" si="104">SUM(J788:J791)</f>
        <v>26373.261482141534</v>
      </c>
      <c r="K787" s="8">
        <f t="shared" si="104"/>
        <v>20688.358451546585</v>
      </c>
      <c r="L787" s="8">
        <f t="shared" si="104"/>
        <v>20535.979607427544</v>
      </c>
    </row>
    <row r="788" spans="1:13" x14ac:dyDescent="0.3">
      <c r="A788" s="23" t="s">
        <v>120</v>
      </c>
      <c r="I788" s="7">
        <f>I782*I770</f>
        <v>58607.247738092308</v>
      </c>
      <c r="J788" s="7">
        <f t="shared" ref="J788:K788" si="105">J782*J770</f>
        <v>5860.724773809231</v>
      </c>
      <c r="K788" s="7">
        <f t="shared" si="105"/>
        <v>0</v>
      </c>
    </row>
    <row r="789" spans="1:13" x14ac:dyDescent="0.3">
      <c r="A789" s="24" t="s">
        <v>122</v>
      </c>
      <c r="I789" s="7">
        <f>I783*I771</f>
        <v>21977.717901784614</v>
      </c>
      <c r="J789" s="7">
        <f t="shared" ref="J789:K789" si="106">J783*J771</f>
        <v>2930.3623869046146</v>
      </c>
      <c r="K789" s="7">
        <f t="shared" si="106"/>
        <v>761.89422059520007</v>
      </c>
      <c r="L789" s="7">
        <f>L783*L771</f>
        <v>0</v>
      </c>
    </row>
    <row r="790" spans="1:13" x14ac:dyDescent="0.3">
      <c r="A790" s="23" t="s">
        <v>121</v>
      </c>
      <c r="J790" s="7">
        <f>J784*J772</f>
        <v>17582.17432142769</v>
      </c>
      <c r="K790" s="7">
        <f>K784*K772</f>
        <v>2344.2899095236921</v>
      </c>
      <c r="L790" s="7">
        <f>L784*L772</f>
        <v>609.5153764761601</v>
      </c>
    </row>
    <row r="791" spans="1:13" x14ac:dyDescent="0.3">
      <c r="A791" s="23" t="s">
        <v>299</v>
      </c>
      <c r="K791" s="8">
        <f>J790</f>
        <v>17582.17432142769</v>
      </c>
      <c r="L791" s="8">
        <f>K791+K790</f>
        <v>19926.464230951384</v>
      </c>
      <c r="M791" s="8">
        <f>L791+L790</f>
        <v>20535.979607427544</v>
      </c>
    </row>
    <row r="792" spans="1:13" x14ac:dyDescent="0.3">
      <c r="A792" s="23"/>
    </row>
    <row r="793" spans="1:13" x14ac:dyDescent="0.3">
      <c r="A793" s="105" t="s">
        <v>300</v>
      </c>
      <c r="I793" s="8">
        <f>M791</f>
        <v>20535.979607427544</v>
      </c>
    </row>
    <row r="794" spans="1:13" x14ac:dyDescent="0.3">
      <c r="A794" s="23"/>
    </row>
    <row r="795" spans="1:13" x14ac:dyDescent="0.3">
      <c r="A795" s="11" t="s">
        <v>140</v>
      </c>
      <c r="I795" s="8">
        <f>SUM(I797:I800)</f>
        <v>29303.623869046147</v>
      </c>
      <c r="J795" s="8">
        <f>SUM(J797:J800)</f>
        <v>7325.9059672615358</v>
      </c>
      <c r="K795" s="8">
        <f t="shared" ref="K795:L795" si="107">SUM(K797:K800)</f>
        <v>5684.9030305949509</v>
      </c>
      <c r="L795" s="8">
        <f t="shared" si="107"/>
        <v>152.37884411903991</v>
      </c>
    </row>
    <row r="796" spans="1:13" x14ac:dyDescent="0.3">
      <c r="A796" s="11"/>
      <c r="I796" s="8"/>
      <c r="J796" s="8"/>
      <c r="K796" s="8"/>
      <c r="L796" s="8"/>
    </row>
    <row r="797" spans="1:13" x14ac:dyDescent="0.3">
      <c r="A797" t="s">
        <v>131</v>
      </c>
      <c r="C797" s="23" t="s">
        <v>120</v>
      </c>
      <c r="I797" s="6">
        <f>I806*I750</f>
        <v>23442.89909523692</v>
      </c>
    </row>
    <row r="798" spans="1:13" x14ac:dyDescent="0.3">
      <c r="C798" s="23"/>
      <c r="I798" s="6"/>
    </row>
    <row r="799" spans="1:13" x14ac:dyDescent="0.3">
      <c r="A799" t="s">
        <v>200</v>
      </c>
      <c r="C799" s="23" t="s">
        <v>120</v>
      </c>
      <c r="I799" s="6">
        <f>I808*I750</f>
        <v>5860.7247738092283</v>
      </c>
      <c r="J799" s="27">
        <f>J778*J750</f>
        <v>4395.5435803569217</v>
      </c>
      <c r="K799" s="27">
        <f t="shared" ref="K799:L799" si="108">K778*K750</f>
        <v>5098.8305532140284</v>
      </c>
      <c r="L799" s="27">
        <f t="shared" si="108"/>
        <v>0</v>
      </c>
      <c r="M799" s="27"/>
    </row>
    <row r="800" spans="1:13" x14ac:dyDescent="0.3">
      <c r="A800" t="s">
        <v>200</v>
      </c>
      <c r="C800" s="24" t="s">
        <v>122</v>
      </c>
      <c r="I800" s="6"/>
      <c r="J800" s="27">
        <f>J779*(I750+J750)</f>
        <v>2930.3623869046141</v>
      </c>
      <c r="K800" s="27">
        <f t="shared" ref="K800" si="109">K779*(J750+K750)</f>
        <v>586.07247738092269</v>
      </c>
      <c r="L800" s="27">
        <f t="shared" ref="L800" si="110">L779*(K750+L750)</f>
        <v>152.37884411903991</v>
      </c>
      <c r="M800" s="27"/>
    </row>
    <row r="802" spans="1:21" x14ac:dyDescent="0.3">
      <c r="A802" s="11" t="s">
        <v>283</v>
      </c>
      <c r="I802" s="8">
        <f>SUM(I799:L800)</f>
        <v>19023.912615784757</v>
      </c>
    </row>
    <row r="804" spans="1:21" x14ac:dyDescent="0.3">
      <c r="A804" t="s">
        <v>202</v>
      </c>
      <c r="I804" s="28">
        <f>I806*(J750+K750)</f>
        <v>46885.798190473841</v>
      </c>
    </row>
    <row r="806" spans="1:21" x14ac:dyDescent="0.3">
      <c r="A806" s="72" t="s">
        <v>132</v>
      </c>
      <c r="I806" s="73">
        <f>I770*I752</f>
        <v>365.70922588569596</v>
      </c>
    </row>
    <row r="808" spans="1:21" x14ac:dyDescent="0.3">
      <c r="A808" t="s">
        <v>201</v>
      </c>
      <c r="I808" s="7">
        <f>I770*I753</f>
        <v>91.427306471423961</v>
      </c>
    </row>
    <row r="811" spans="1:21" x14ac:dyDescent="0.3">
      <c r="A811" s="152" t="s">
        <v>233</v>
      </c>
      <c r="B811" s="153"/>
      <c r="C811" s="153"/>
      <c r="D811" s="153"/>
      <c r="E811" s="153"/>
      <c r="F811" s="153"/>
      <c r="G811" s="153"/>
      <c r="H811" s="153"/>
      <c r="I811" s="153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4"/>
    </row>
    <row r="813" spans="1:21" x14ac:dyDescent="0.3">
      <c r="A813" t="s">
        <v>197</v>
      </c>
      <c r="I813" s="83">
        <f>H458</f>
        <v>571.42066544639999</v>
      </c>
    </row>
    <row r="814" spans="1:21" x14ac:dyDescent="0.3">
      <c r="A814" t="s">
        <v>206</v>
      </c>
      <c r="I814" s="7">
        <f>I816*I813</f>
        <v>571.42066544639999</v>
      </c>
      <c r="L814" s="77"/>
    </row>
    <row r="815" spans="1:21" x14ac:dyDescent="0.3">
      <c r="I815" s="7"/>
      <c r="L815" s="77"/>
    </row>
    <row r="816" spans="1:21" x14ac:dyDescent="0.3">
      <c r="A816" s="11" t="s">
        <v>134</v>
      </c>
      <c r="B816" s="11"/>
      <c r="C816" s="11"/>
      <c r="I816" s="104">
        <f>$E$120</f>
        <v>1</v>
      </c>
      <c r="J816" s="11"/>
      <c r="K816" s="11"/>
      <c r="M816" s="11"/>
    </row>
    <row r="817" spans="1:9" x14ac:dyDescent="0.3">
      <c r="A817" t="s">
        <v>35</v>
      </c>
      <c r="I817" s="84">
        <f>I418</f>
        <v>0</v>
      </c>
    </row>
    <row r="818" spans="1:9" x14ac:dyDescent="0.3">
      <c r="A818" t="s">
        <v>36</v>
      </c>
      <c r="I818" s="79">
        <f>0.95</f>
        <v>0.95</v>
      </c>
    </row>
    <row r="819" spans="1:9" x14ac:dyDescent="0.3">
      <c r="A819" t="s">
        <v>142</v>
      </c>
      <c r="I819" s="79">
        <v>0.99</v>
      </c>
    </row>
    <row r="820" spans="1:9" x14ac:dyDescent="0.3">
      <c r="A820" t="s">
        <v>37</v>
      </c>
      <c r="I820" s="79">
        <v>0.98</v>
      </c>
    </row>
    <row r="823" spans="1:9" x14ac:dyDescent="0.3">
      <c r="A823" t="s">
        <v>125</v>
      </c>
      <c r="I823" s="83">
        <f>I824+H388</f>
        <v>128.2051282051282</v>
      </c>
    </row>
    <row r="824" spans="1:9" x14ac:dyDescent="0.3">
      <c r="A824" t="s">
        <v>135</v>
      </c>
      <c r="I824" s="82">
        <f>$D$46</f>
        <v>32.051282051282051</v>
      </c>
    </row>
    <row r="826" spans="1:9" x14ac:dyDescent="0.3">
      <c r="A826" t="s">
        <v>126</v>
      </c>
      <c r="I826" s="88">
        <f>$D$43</f>
        <v>0.5</v>
      </c>
    </row>
    <row r="827" spans="1:9" x14ac:dyDescent="0.3">
      <c r="A827" t="s">
        <v>117</v>
      </c>
      <c r="I827" s="7">
        <f>I826*I823</f>
        <v>64.102564102564102</v>
      </c>
    </row>
    <row r="829" spans="1:9" x14ac:dyDescent="0.3">
      <c r="A829" t="s">
        <v>118</v>
      </c>
      <c r="I829" s="7">
        <f>I824</f>
        <v>32.051282051282051</v>
      </c>
    </row>
    <row r="830" spans="1:9" x14ac:dyDescent="0.3">
      <c r="A830" t="s">
        <v>106</v>
      </c>
      <c r="I830" s="7">
        <f>I823*(1+I826)</f>
        <v>192.30769230769232</v>
      </c>
    </row>
    <row r="831" spans="1:9" x14ac:dyDescent="0.3">
      <c r="I831" s="7"/>
    </row>
    <row r="832" spans="1:9" x14ac:dyDescent="0.3">
      <c r="A832" t="s">
        <v>136</v>
      </c>
      <c r="I832" s="7">
        <f>I829*I814</f>
        <v>18314.764918153847</v>
      </c>
    </row>
    <row r="833" spans="1:12" x14ac:dyDescent="0.3">
      <c r="A833" t="s">
        <v>119</v>
      </c>
      <c r="I833" s="7">
        <f>I830*I814</f>
        <v>109888.58950892308</v>
      </c>
    </row>
    <row r="834" spans="1:12" x14ac:dyDescent="0.3">
      <c r="I834" s="7"/>
    </row>
    <row r="835" spans="1:12" x14ac:dyDescent="0.3">
      <c r="A835" t="s">
        <v>302</v>
      </c>
      <c r="I835" s="6">
        <f>I827*I814</f>
        <v>36629.529836307694</v>
      </c>
    </row>
    <row r="836" spans="1:12" x14ac:dyDescent="0.3">
      <c r="I836" s="7"/>
    </row>
    <row r="837" spans="1:12" x14ac:dyDescent="0.3">
      <c r="A837" t="s">
        <v>127</v>
      </c>
      <c r="I837" s="7">
        <f>I830/3</f>
        <v>64.102564102564102</v>
      </c>
      <c r="J837" s="7">
        <f>I830/3</f>
        <v>64.102564102564102</v>
      </c>
      <c r="K837" s="7">
        <f>I830/3</f>
        <v>64.102564102564102</v>
      </c>
    </row>
    <row r="839" spans="1:12" x14ac:dyDescent="0.3">
      <c r="A839" t="s">
        <v>128</v>
      </c>
      <c r="I839" s="21">
        <f>Summary!B30</f>
        <v>0.8</v>
      </c>
    </row>
    <row r="840" spans="1:12" x14ac:dyDescent="0.3">
      <c r="A840" t="s">
        <v>129</v>
      </c>
      <c r="I840" s="21">
        <f>1-I839</f>
        <v>0.19999999999999996</v>
      </c>
    </row>
    <row r="842" spans="1:12" x14ac:dyDescent="0.3">
      <c r="A842" s="71" t="s">
        <v>16</v>
      </c>
    </row>
    <row r="843" spans="1:12" x14ac:dyDescent="0.3">
      <c r="A843" t="s">
        <v>17</v>
      </c>
      <c r="H843" s="74">
        <f>Summary!$B$59</f>
        <v>0.2</v>
      </c>
      <c r="I843" s="74">
        <f>Summary!$B$60</f>
        <v>0.25</v>
      </c>
      <c r="J843" s="74">
        <f>Summary!$B$61</f>
        <v>0.13</v>
      </c>
      <c r="K843" s="75"/>
      <c r="L843" s="75"/>
    </row>
    <row r="844" spans="1:12" x14ac:dyDescent="0.3">
      <c r="A844" t="s">
        <v>18</v>
      </c>
      <c r="C844" s="75"/>
      <c r="I844" s="74">
        <f>Summary!$B$62</f>
        <v>0.8</v>
      </c>
      <c r="J844" s="76">
        <f>I844</f>
        <v>0.8</v>
      </c>
      <c r="K844" s="76">
        <f>J844</f>
        <v>0.8</v>
      </c>
      <c r="L844" s="75"/>
    </row>
    <row r="845" spans="1:12" x14ac:dyDescent="0.3">
      <c r="A845" t="s">
        <v>19</v>
      </c>
      <c r="C845" s="75"/>
      <c r="I845" s="75"/>
      <c r="J845" s="74">
        <f>Summary!$B$63</f>
        <v>1</v>
      </c>
      <c r="K845" s="74">
        <f>J845</f>
        <v>1</v>
      </c>
      <c r="L845" s="74">
        <f>K845</f>
        <v>1</v>
      </c>
    </row>
    <row r="846" spans="1:12" x14ac:dyDescent="0.3">
      <c r="A846" t="s">
        <v>20</v>
      </c>
      <c r="L846" s="21"/>
    </row>
    <row r="847" spans="1:12" x14ac:dyDescent="0.3">
      <c r="L847" s="21"/>
    </row>
    <row r="848" spans="1:12" x14ac:dyDescent="0.3">
      <c r="A848" s="11" t="s">
        <v>196</v>
      </c>
      <c r="I848" s="90">
        <f>SUM(I849:I852)</f>
        <v>0.36</v>
      </c>
      <c r="J848" s="90">
        <f t="shared" ref="J848" si="111">SUM(J849:J852)</f>
        <v>0.36</v>
      </c>
      <c r="K848" s="90">
        <f t="shared" ref="K848" si="112">SUM(K849:K852)</f>
        <v>0.21280000000000004</v>
      </c>
      <c r="L848" s="90">
        <f t="shared" ref="L848" si="113">SUM(L849:L852)</f>
        <v>0.20864000000000002</v>
      </c>
    </row>
    <row r="849" spans="1:13" x14ac:dyDescent="0.3">
      <c r="A849" t="s">
        <v>17</v>
      </c>
      <c r="I849" s="22">
        <f>(1-H843)*I840</f>
        <v>0.15999999999999998</v>
      </c>
      <c r="J849" s="22">
        <f>I849*(1-I843)+I850*(1-I844)</f>
        <v>0.15999999999999998</v>
      </c>
    </row>
    <row r="850" spans="1:13" x14ac:dyDescent="0.3">
      <c r="A850" t="s">
        <v>18</v>
      </c>
      <c r="I850" s="22">
        <f>H843</f>
        <v>0.2</v>
      </c>
      <c r="J850" s="22">
        <f>I849*I843</f>
        <v>3.9999999999999994E-2</v>
      </c>
      <c r="K850" s="22">
        <f>J849*J843</f>
        <v>2.0799999999999999E-2</v>
      </c>
      <c r="M850" s="22"/>
    </row>
    <row r="851" spans="1:13" x14ac:dyDescent="0.3">
      <c r="A851" t="s">
        <v>19</v>
      </c>
      <c r="J851" s="22">
        <f>I850*I844</f>
        <v>0.16000000000000003</v>
      </c>
      <c r="K851" s="22">
        <f>J850*J844+J851</f>
        <v>0.19200000000000003</v>
      </c>
      <c r="L851" s="22">
        <f>K850*K844+K851</f>
        <v>0.20864000000000002</v>
      </c>
    </row>
    <row r="852" spans="1:13" x14ac:dyDescent="0.3">
      <c r="J852" s="22"/>
      <c r="K852" s="22"/>
    </row>
    <row r="853" spans="1:13" x14ac:dyDescent="0.3">
      <c r="A853" t="s">
        <v>195</v>
      </c>
      <c r="I853" s="22">
        <f>(1-H843)*I839</f>
        <v>0.64000000000000012</v>
      </c>
      <c r="K853" s="29">
        <f>J849*(1-J843)+J850*(1-J844)+J851*(1-J845)</f>
        <v>0.1472</v>
      </c>
      <c r="L853" s="29">
        <f>K850*(1-K844)+K853</f>
        <v>0.15135999999999999</v>
      </c>
      <c r="M853" s="22"/>
    </row>
    <row r="854" spans="1:13" x14ac:dyDescent="0.3">
      <c r="I854" s="22"/>
      <c r="K854" s="29"/>
      <c r="L854" s="29"/>
      <c r="M854" s="22"/>
    </row>
    <row r="855" spans="1:13" x14ac:dyDescent="0.3">
      <c r="I855" s="25" t="s">
        <v>32</v>
      </c>
    </row>
    <row r="856" spans="1:13" x14ac:dyDescent="0.3">
      <c r="A856" s="11" t="s">
        <v>124</v>
      </c>
      <c r="I856" s="8">
        <f>SUM(I857:I860)</f>
        <v>571.42066544639999</v>
      </c>
      <c r="J856" s="8">
        <f t="shared" ref="J856:K856" si="114">SUM(J857:J860)</f>
        <v>205.71143956070398</v>
      </c>
      <c r="K856" s="8">
        <f t="shared" si="114"/>
        <v>121.59831760699392</v>
      </c>
    </row>
    <row r="857" spans="1:13" x14ac:dyDescent="0.3">
      <c r="A857" s="23" t="s">
        <v>120</v>
      </c>
      <c r="I857" s="7">
        <f>I814*(1-H843)</f>
        <v>457.13653235712002</v>
      </c>
      <c r="J857" s="82">
        <f>I895*(1-I843)+I858*(1-I844)</f>
        <v>91.427306471423989</v>
      </c>
    </row>
    <row r="858" spans="1:13" x14ac:dyDescent="0.3">
      <c r="A858" s="24" t="s">
        <v>122</v>
      </c>
      <c r="I858" s="7">
        <f>I814*H843</f>
        <v>114.28413308928</v>
      </c>
      <c r="J858" s="7">
        <f>I895*I843</f>
        <v>22.856826617855997</v>
      </c>
      <c r="K858" s="7">
        <f>J857*J843</f>
        <v>11.885549841285119</v>
      </c>
      <c r="L858" s="7">
        <f>K857*K843</f>
        <v>0</v>
      </c>
    </row>
    <row r="859" spans="1:13" x14ac:dyDescent="0.3">
      <c r="A859" s="23" t="s">
        <v>121</v>
      </c>
      <c r="J859" s="7">
        <f>I858*I844</f>
        <v>91.427306471424004</v>
      </c>
      <c r="K859" s="7">
        <f>J858*J844</f>
        <v>18.285461294284797</v>
      </c>
      <c r="L859" s="7">
        <f>K858*K844</f>
        <v>9.5084398730280952</v>
      </c>
    </row>
    <row r="860" spans="1:13" x14ac:dyDescent="0.3">
      <c r="A860" s="23" t="s">
        <v>138</v>
      </c>
      <c r="J860" s="7"/>
      <c r="K860" s="7">
        <f>J859*J845</f>
        <v>91.427306471424004</v>
      </c>
      <c r="L860" s="7">
        <f>K859*K845+K860</f>
        <v>109.7127677657088</v>
      </c>
      <c r="M860" s="7">
        <f>L859*L845+L860</f>
        <v>119.2212076387369</v>
      </c>
    </row>
    <row r="861" spans="1:13" x14ac:dyDescent="0.3">
      <c r="A861" s="23"/>
      <c r="J861" s="7"/>
    </row>
    <row r="862" spans="1:13" x14ac:dyDescent="0.3">
      <c r="A862" s="23" t="s">
        <v>137</v>
      </c>
      <c r="J862" s="7"/>
      <c r="K862" s="7">
        <f>J857*(1-J843)+J858*(1-J844)+J859*(1-J845)</f>
        <v>84.113121953710078</v>
      </c>
      <c r="L862" s="7">
        <f>K858*(1-K844)+K862</f>
        <v>86.490231921967094</v>
      </c>
      <c r="M862" s="7">
        <f>L859*(1-L845)+L862</f>
        <v>86.490231921967094</v>
      </c>
    </row>
    <row r="863" spans="1:13" x14ac:dyDescent="0.3">
      <c r="A863" s="23"/>
      <c r="J863" s="7"/>
    </row>
    <row r="864" spans="1:13" x14ac:dyDescent="0.3">
      <c r="A864" s="11" t="s">
        <v>139</v>
      </c>
      <c r="I864" s="8">
        <f>SUM(I865:I866)</f>
        <v>457.13653235712002</v>
      </c>
      <c r="J864" s="8">
        <f>SUM(J865:J866)</f>
        <v>91.427306471423989</v>
      </c>
      <c r="K864" s="8">
        <f>SUM(K865:K866)</f>
        <v>84.113121953710078</v>
      </c>
      <c r="L864" s="8">
        <f>SUM(L865:L866)</f>
        <v>2.3771099682570234</v>
      </c>
    </row>
    <row r="865" spans="1:13" x14ac:dyDescent="0.3">
      <c r="A865" s="23" t="s">
        <v>120</v>
      </c>
      <c r="I865" s="7">
        <f>I857</f>
        <v>457.13653235712002</v>
      </c>
      <c r="J865" s="7">
        <f>I895*(1-I843)</f>
        <v>68.570479853567988</v>
      </c>
      <c r="K865" s="7">
        <f>J857*(1-J843)</f>
        <v>79.541756630138877</v>
      </c>
    </row>
    <row r="866" spans="1:13" x14ac:dyDescent="0.3">
      <c r="A866" s="24" t="s">
        <v>122</v>
      </c>
      <c r="J866" s="7">
        <f>I858*(1-I844)</f>
        <v>22.856826617855997</v>
      </c>
      <c r="K866" s="7">
        <f>J858*(1-J844)</f>
        <v>4.5713653235711984</v>
      </c>
      <c r="L866" s="7">
        <f>K858*(1-K844)</f>
        <v>2.3771099682570234</v>
      </c>
    </row>
    <row r="867" spans="1:13" x14ac:dyDescent="0.3">
      <c r="A867" s="23"/>
      <c r="J867" s="7"/>
      <c r="K867" s="7">
        <f>J859*(1-J845)</f>
        <v>0</v>
      </c>
      <c r="L867" s="7">
        <f>K859*(1-K845)</f>
        <v>0</v>
      </c>
    </row>
    <row r="868" spans="1:13" x14ac:dyDescent="0.3">
      <c r="A868" s="81" t="s">
        <v>123</v>
      </c>
    </row>
    <row r="869" spans="1:13" x14ac:dyDescent="0.3">
      <c r="A869" s="23" t="s">
        <v>120</v>
      </c>
      <c r="I869" s="7">
        <f>I830-I837</f>
        <v>128.20512820512823</v>
      </c>
      <c r="J869" s="7">
        <f>I869-J837</f>
        <v>64.102564102564131</v>
      </c>
      <c r="K869" s="7">
        <f>J869-K837</f>
        <v>0</v>
      </c>
    </row>
    <row r="870" spans="1:13" x14ac:dyDescent="0.3">
      <c r="A870" s="24" t="s">
        <v>122</v>
      </c>
      <c r="I870" s="7">
        <f>I830</f>
        <v>192.30769230769232</v>
      </c>
      <c r="J870" s="7">
        <f>I869</f>
        <v>128.20512820512823</v>
      </c>
      <c r="K870" s="7">
        <f>J869</f>
        <v>64.102564102564131</v>
      </c>
    </row>
    <row r="871" spans="1:13" x14ac:dyDescent="0.3">
      <c r="A871" s="23" t="s">
        <v>121</v>
      </c>
      <c r="J871" s="7">
        <f>I870</f>
        <v>192.30769230769232</v>
      </c>
      <c r="K871" s="7">
        <f>J870</f>
        <v>128.20512820512823</v>
      </c>
      <c r="L871" s="7">
        <f>K870</f>
        <v>64.102564102564131</v>
      </c>
    </row>
    <row r="872" spans="1:13" x14ac:dyDescent="0.3">
      <c r="A872" s="23"/>
      <c r="K872" s="7"/>
      <c r="L872" s="7"/>
    </row>
    <row r="873" spans="1:13" x14ac:dyDescent="0.3">
      <c r="A873" s="23"/>
      <c r="K873" s="7"/>
      <c r="L873" s="7"/>
    </row>
    <row r="874" spans="1:13" x14ac:dyDescent="0.3">
      <c r="A874" s="11" t="s">
        <v>130</v>
      </c>
      <c r="I874" s="8">
        <f>SUM(I875:I878)</f>
        <v>80584.965639876944</v>
      </c>
      <c r="J874" s="8">
        <f t="shared" ref="J874" si="115">SUM(J875:J878)</f>
        <v>26373.261482141541</v>
      </c>
      <c r="K874" s="8">
        <f t="shared" ref="K874" si="116">SUM(K875:K878)</f>
        <v>20688.358451546588</v>
      </c>
      <c r="L874" s="8">
        <f t="shared" ref="L874" si="117">SUM(L875:L878)</f>
        <v>20535.979607427547</v>
      </c>
    </row>
    <row r="875" spans="1:13" x14ac:dyDescent="0.3">
      <c r="A875" s="23" t="s">
        <v>120</v>
      </c>
      <c r="I875" s="7">
        <f>I869*I857</f>
        <v>58607.247738092323</v>
      </c>
      <c r="J875" s="7">
        <f t="shared" ref="J875:K875" si="118">J869*J857</f>
        <v>5860.7247738092328</v>
      </c>
      <c r="K875" s="7">
        <f t="shared" si="118"/>
        <v>0</v>
      </c>
    </row>
    <row r="876" spans="1:13" x14ac:dyDescent="0.3">
      <c r="A876" s="24" t="s">
        <v>122</v>
      </c>
      <c r="I876" s="7">
        <f>I870*I858</f>
        <v>21977.717901784617</v>
      </c>
      <c r="J876" s="7">
        <f t="shared" ref="J876:K876" si="119">J870*J858</f>
        <v>2930.3623869046155</v>
      </c>
      <c r="K876" s="7">
        <f t="shared" si="119"/>
        <v>761.8942205952003</v>
      </c>
      <c r="L876" s="7">
        <f>L870*L858</f>
        <v>0</v>
      </c>
    </row>
    <row r="877" spans="1:13" x14ac:dyDescent="0.3">
      <c r="A877" s="23" t="s">
        <v>121</v>
      </c>
      <c r="J877" s="7">
        <f>J871*J859</f>
        <v>17582.174321427694</v>
      </c>
      <c r="K877" s="7">
        <f>K871*K859</f>
        <v>2344.2899095236926</v>
      </c>
      <c r="L877" s="7">
        <f>L871*L859</f>
        <v>609.51537647616021</v>
      </c>
    </row>
    <row r="878" spans="1:13" x14ac:dyDescent="0.3">
      <c r="A878" s="23" t="s">
        <v>299</v>
      </c>
      <c r="K878" s="8">
        <f>J877</f>
        <v>17582.174321427694</v>
      </c>
      <c r="L878" s="8">
        <f>K878+K877</f>
        <v>19926.464230951387</v>
      </c>
      <c r="M878" s="8">
        <f>L878+L877</f>
        <v>20535.979607427547</v>
      </c>
    </row>
    <row r="879" spans="1:13" x14ac:dyDescent="0.3">
      <c r="A879" s="23"/>
    </row>
    <row r="880" spans="1:13" x14ac:dyDescent="0.3">
      <c r="A880" s="105" t="s">
        <v>300</v>
      </c>
      <c r="I880" s="8">
        <f>M878</f>
        <v>20535.979607427547</v>
      </c>
    </row>
    <row r="881" spans="1:13" x14ac:dyDescent="0.3">
      <c r="A881" s="23"/>
    </row>
    <row r="882" spans="1:13" x14ac:dyDescent="0.3">
      <c r="A882" s="11" t="s">
        <v>140</v>
      </c>
      <c r="I882" s="8">
        <f>SUM(I884:I887)</f>
        <v>29303.623869046154</v>
      </c>
      <c r="J882" s="8">
        <f>SUM(J884:J887)</f>
        <v>7325.9059672615376</v>
      </c>
      <c r="K882" s="8">
        <f t="shared" ref="K882:L882" si="120">SUM(K884:K887)</f>
        <v>5684.9030305949527</v>
      </c>
      <c r="L882" s="8">
        <f t="shared" si="120"/>
        <v>152.37884411903997</v>
      </c>
    </row>
    <row r="883" spans="1:13" x14ac:dyDescent="0.3">
      <c r="A883" s="11"/>
      <c r="I883" s="8"/>
      <c r="J883" s="8"/>
      <c r="K883" s="8"/>
      <c r="L883" s="8"/>
    </row>
    <row r="884" spans="1:13" x14ac:dyDescent="0.3">
      <c r="A884" t="s">
        <v>131</v>
      </c>
      <c r="C884" s="23" t="s">
        <v>120</v>
      </c>
      <c r="I884" s="6">
        <f>I893*I837</f>
        <v>23442.899095236924</v>
      </c>
    </row>
    <row r="885" spans="1:13" x14ac:dyDescent="0.3">
      <c r="C885" s="23"/>
      <c r="I885" s="6"/>
    </row>
    <row r="886" spans="1:13" x14ac:dyDescent="0.3">
      <c r="A886" t="s">
        <v>200</v>
      </c>
      <c r="C886" s="23" t="s">
        <v>120</v>
      </c>
      <c r="I886" s="6">
        <f>I895*I837</f>
        <v>5860.7247738092301</v>
      </c>
      <c r="J886" s="27">
        <f>J865*J837</f>
        <v>4395.5435803569226</v>
      </c>
      <c r="K886" s="27">
        <f t="shared" ref="K886:L886" si="121">K865*K837</f>
        <v>5098.8305532140303</v>
      </c>
      <c r="L886" s="27">
        <f t="shared" si="121"/>
        <v>0</v>
      </c>
      <c r="M886" s="27"/>
    </row>
    <row r="887" spans="1:13" x14ac:dyDescent="0.3">
      <c r="A887" t="s">
        <v>200</v>
      </c>
      <c r="C887" s="24" t="s">
        <v>122</v>
      </c>
      <c r="I887" s="6"/>
      <c r="J887" s="27">
        <f>J866*(I837+J837)</f>
        <v>2930.3623869046151</v>
      </c>
      <c r="K887" s="27">
        <f t="shared" ref="K887" si="122">K866*(J837+K837)</f>
        <v>586.07247738092292</v>
      </c>
      <c r="L887" s="27">
        <f t="shared" ref="L887" si="123">L866*(K837+L837)</f>
        <v>152.37884411903997</v>
      </c>
      <c r="M887" s="27"/>
    </row>
    <row r="889" spans="1:13" x14ac:dyDescent="0.3">
      <c r="A889" s="11" t="s">
        <v>283</v>
      </c>
      <c r="I889" s="8">
        <f>SUM(I886:L887)</f>
        <v>19023.91261578476</v>
      </c>
    </row>
    <row r="891" spans="1:13" x14ac:dyDescent="0.3">
      <c r="A891" t="s">
        <v>202</v>
      </c>
      <c r="I891" s="28">
        <f>I893*(J837+K837)</f>
        <v>46885.798190473848</v>
      </c>
    </row>
    <row r="893" spans="1:13" x14ac:dyDescent="0.3">
      <c r="A893" s="72" t="s">
        <v>132</v>
      </c>
      <c r="I893" s="73">
        <f>I857*I839</f>
        <v>365.70922588569601</v>
      </c>
    </row>
    <row r="895" spans="1:13" x14ac:dyDescent="0.3">
      <c r="A895" t="s">
        <v>201</v>
      </c>
      <c r="I895" s="7">
        <f>I857*I840</f>
        <v>91.427306471423989</v>
      </c>
    </row>
    <row r="898" spans="1:21" x14ac:dyDescent="0.3">
      <c r="A898" s="152" t="s">
        <v>237</v>
      </c>
      <c r="B898" s="153"/>
      <c r="C898" s="153"/>
      <c r="D898" s="153"/>
      <c r="E898" s="153"/>
      <c r="F898" s="153"/>
      <c r="G898" s="153"/>
      <c r="H898" s="153"/>
      <c r="I898" s="153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4"/>
    </row>
    <row r="900" spans="1:21" x14ac:dyDescent="0.3">
      <c r="A900" t="s">
        <v>197</v>
      </c>
      <c r="I900" s="83">
        <f>H545</f>
        <v>571.42066544639999</v>
      </c>
    </row>
    <row r="901" spans="1:21" x14ac:dyDescent="0.3">
      <c r="A901" t="s">
        <v>206</v>
      </c>
      <c r="I901" s="7">
        <f>I903*I900</f>
        <v>571.42066544639999</v>
      </c>
      <c r="L901" s="77"/>
    </row>
    <row r="902" spans="1:21" x14ac:dyDescent="0.3">
      <c r="I902" s="7"/>
      <c r="L902" s="77"/>
    </row>
    <row r="903" spans="1:21" x14ac:dyDescent="0.3">
      <c r="A903" s="11" t="s">
        <v>134</v>
      </c>
      <c r="B903" s="11"/>
      <c r="C903" s="11"/>
      <c r="I903" s="104">
        <f>$E$120</f>
        <v>1</v>
      </c>
      <c r="J903" s="11"/>
      <c r="K903" s="11"/>
      <c r="M903" s="11"/>
    </row>
    <row r="904" spans="1:21" x14ac:dyDescent="0.3">
      <c r="A904" t="s">
        <v>35</v>
      </c>
      <c r="I904" s="84">
        <f>I505</f>
        <v>0</v>
      </c>
    </row>
    <row r="905" spans="1:21" x14ac:dyDescent="0.3">
      <c r="A905" t="s">
        <v>36</v>
      </c>
      <c r="I905" s="79">
        <f>0.95</f>
        <v>0.95</v>
      </c>
    </row>
    <row r="906" spans="1:21" x14ac:dyDescent="0.3">
      <c r="A906" t="s">
        <v>142</v>
      </c>
      <c r="I906" s="79">
        <v>0.99</v>
      </c>
    </row>
    <row r="907" spans="1:21" x14ac:dyDescent="0.3">
      <c r="A907" t="s">
        <v>37</v>
      </c>
      <c r="I907" s="79">
        <v>0.98</v>
      </c>
    </row>
    <row r="910" spans="1:21" x14ac:dyDescent="0.3">
      <c r="A910" t="s">
        <v>125</v>
      </c>
      <c r="I910" s="83">
        <f>I911+H475</f>
        <v>128.2051282051282</v>
      </c>
    </row>
    <row r="911" spans="1:21" x14ac:dyDescent="0.3">
      <c r="A911" t="s">
        <v>135</v>
      </c>
      <c r="I911" s="82">
        <f>$D$46</f>
        <v>32.051282051282051</v>
      </c>
    </row>
    <row r="913" spans="1:11" x14ac:dyDescent="0.3">
      <c r="A913" t="s">
        <v>126</v>
      </c>
      <c r="I913" s="88">
        <f>$D$43</f>
        <v>0.5</v>
      </c>
    </row>
    <row r="914" spans="1:11" x14ac:dyDescent="0.3">
      <c r="A914" t="s">
        <v>117</v>
      </c>
      <c r="I914" s="7">
        <f>I913*I910</f>
        <v>64.102564102564102</v>
      </c>
    </row>
    <row r="916" spans="1:11" x14ac:dyDescent="0.3">
      <c r="A916" t="s">
        <v>118</v>
      </c>
      <c r="I916" s="7">
        <f>I911</f>
        <v>32.051282051282051</v>
      </c>
    </row>
    <row r="917" spans="1:11" x14ac:dyDescent="0.3">
      <c r="A917" t="s">
        <v>106</v>
      </c>
      <c r="I917" s="7">
        <f>I910*(1+I913)</f>
        <v>192.30769230769232</v>
      </c>
    </row>
    <row r="918" spans="1:11" x14ac:dyDescent="0.3">
      <c r="I918" s="7"/>
    </row>
    <row r="919" spans="1:11" x14ac:dyDescent="0.3">
      <c r="A919" t="s">
        <v>136</v>
      </c>
      <c r="I919" s="7">
        <f>I916*I901</f>
        <v>18314.764918153847</v>
      </c>
    </row>
    <row r="920" spans="1:11" x14ac:dyDescent="0.3">
      <c r="A920" t="s">
        <v>119</v>
      </c>
      <c r="I920" s="7">
        <f>I917*I901</f>
        <v>109888.58950892308</v>
      </c>
    </row>
    <row r="921" spans="1:11" x14ac:dyDescent="0.3">
      <c r="I921" s="7"/>
    </row>
    <row r="922" spans="1:11" x14ac:dyDescent="0.3">
      <c r="A922" t="s">
        <v>302</v>
      </c>
      <c r="I922" s="6">
        <f>I914*I901</f>
        <v>36629.529836307694</v>
      </c>
    </row>
    <row r="923" spans="1:11" x14ac:dyDescent="0.3">
      <c r="I923" s="7"/>
    </row>
    <row r="924" spans="1:11" x14ac:dyDescent="0.3">
      <c r="A924" t="s">
        <v>127</v>
      </c>
      <c r="I924" s="7">
        <f>I917/3</f>
        <v>64.102564102564102</v>
      </c>
      <c r="J924" s="7">
        <f>I917/3</f>
        <v>64.102564102564102</v>
      </c>
      <c r="K924" s="7">
        <f>I917/3</f>
        <v>64.102564102564102</v>
      </c>
    </row>
    <row r="926" spans="1:11" x14ac:dyDescent="0.3">
      <c r="A926" t="s">
        <v>128</v>
      </c>
      <c r="I926" s="21">
        <f>Summary!B30</f>
        <v>0.8</v>
      </c>
    </row>
    <row r="927" spans="1:11" x14ac:dyDescent="0.3">
      <c r="A927" t="s">
        <v>129</v>
      </c>
      <c r="I927" s="21">
        <f>1-I926</f>
        <v>0.19999999999999996</v>
      </c>
    </row>
    <row r="929" spans="1:13" x14ac:dyDescent="0.3">
      <c r="A929" s="71" t="s">
        <v>16</v>
      </c>
    </row>
    <row r="930" spans="1:13" x14ac:dyDescent="0.3">
      <c r="A930" t="s">
        <v>17</v>
      </c>
      <c r="H930" s="74">
        <f>Summary!$B$59</f>
        <v>0.2</v>
      </c>
      <c r="I930" s="74">
        <f>Summary!$B$60</f>
        <v>0.25</v>
      </c>
      <c r="J930" s="74">
        <f>Summary!$B$61</f>
        <v>0.13</v>
      </c>
      <c r="K930" s="75"/>
      <c r="L930" s="75"/>
    </row>
    <row r="931" spans="1:13" x14ac:dyDescent="0.3">
      <c r="A931" t="s">
        <v>18</v>
      </c>
      <c r="C931" s="75"/>
      <c r="I931" s="74">
        <f>Summary!$B$62</f>
        <v>0.8</v>
      </c>
      <c r="J931" s="76">
        <f>I931</f>
        <v>0.8</v>
      </c>
      <c r="K931" s="76">
        <f>J931</f>
        <v>0.8</v>
      </c>
      <c r="L931" s="75"/>
    </row>
    <row r="932" spans="1:13" x14ac:dyDescent="0.3">
      <c r="A932" t="s">
        <v>19</v>
      </c>
      <c r="C932" s="75"/>
      <c r="I932" s="75"/>
      <c r="J932" s="74">
        <f>Summary!$B$63</f>
        <v>1</v>
      </c>
      <c r="K932" s="74">
        <f>J932</f>
        <v>1</v>
      </c>
      <c r="L932" s="74">
        <f>K932</f>
        <v>1</v>
      </c>
    </row>
    <row r="933" spans="1:13" x14ac:dyDescent="0.3">
      <c r="A933" t="s">
        <v>20</v>
      </c>
      <c r="L933" s="21"/>
    </row>
    <row r="934" spans="1:13" x14ac:dyDescent="0.3">
      <c r="L934" s="21"/>
    </row>
    <row r="935" spans="1:13" x14ac:dyDescent="0.3">
      <c r="A935" s="11" t="s">
        <v>196</v>
      </c>
      <c r="I935" s="90">
        <f>SUM(I936:I939)</f>
        <v>0.36</v>
      </c>
      <c r="J935" s="90">
        <f t="shared" ref="J935" si="124">SUM(J936:J939)</f>
        <v>0.36</v>
      </c>
      <c r="K935" s="90">
        <f t="shared" ref="K935" si="125">SUM(K936:K939)</f>
        <v>0.21280000000000004</v>
      </c>
      <c r="L935" s="90">
        <f t="shared" ref="L935" si="126">SUM(L936:L939)</f>
        <v>0.20864000000000002</v>
      </c>
    </row>
    <row r="936" spans="1:13" x14ac:dyDescent="0.3">
      <c r="A936" t="s">
        <v>17</v>
      </c>
      <c r="I936" s="22">
        <f>(1-H930)*I927</f>
        <v>0.15999999999999998</v>
      </c>
      <c r="J936" s="22">
        <f>I936*(1-I930)+I937*(1-I931)</f>
        <v>0.15999999999999998</v>
      </c>
    </row>
    <row r="937" spans="1:13" x14ac:dyDescent="0.3">
      <c r="A937" t="s">
        <v>18</v>
      </c>
      <c r="I937" s="22">
        <f>H930</f>
        <v>0.2</v>
      </c>
      <c r="J937" s="22">
        <f>I936*I930</f>
        <v>3.9999999999999994E-2</v>
      </c>
      <c r="K937" s="22">
        <f>J936*J930</f>
        <v>2.0799999999999999E-2</v>
      </c>
      <c r="M937" s="22"/>
    </row>
    <row r="938" spans="1:13" x14ac:dyDescent="0.3">
      <c r="A938" t="s">
        <v>19</v>
      </c>
      <c r="J938" s="22">
        <f>I937*I931</f>
        <v>0.16000000000000003</v>
      </c>
      <c r="K938" s="22">
        <f>J937*J931+J938</f>
        <v>0.19200000000000003</v>
      </c>
      <c r="L938" s="22">
        <f>K937*K931+K938</f>
        <v>0.20864000000000002</v>
      </c>
    </row>
    <row r="939" spans="1:13" x14ac:dyDescent="0.3">
      <c r="J939" s="22"/>
      <c r="K939" s="22"/>
    </row>
    <row r="940" spans="1:13" x14ac:dyDescent="0.3">
      <c r="A940" t="s">
        <v>195</v>
      </c>
      <c r="I940" s="22">
        <f>(1-H930)*I926</f>
        <v>0.64000000000000012</v>
      </c>
      <c r="K940" s="29">
        <f>J936*(1-J930)+J937*(1-J931)+J938*(1-J932)</f>
        <v>0.1472</v>
      </c>
      <c r="L940" s="29">
        <f>K937*(1-K931)+K940</f>
        <v>0.15135999999999999</v>
      </c>
      <c r="M940" s="22"/>
    </row>
    <row r="941" spans="1:13" x14ac:dyDescent="0.3">
      <c r="I941" s="22"/>
      <c r="K941" s="29"/>
      <c r="L941" s="29"/>
      <c r="M941" s="22"/>
    </row>
    <row r="942" spans="1:13" x14ac:dyDescent="0.3">
      <c r="I942" s="25" t="s">
        <v>32</v>
      </c>
    </row>
    <row r="943" spans="1:13" x14ac:dyDescent="0.3">
      <c r="A943" s="11" t="s">
        <v>124</v>
      </c>
      <c r="I943" s="8">
        <f>SUM(I944:I947)</f>
        <v>571.42066544639999</v>
      </c>
      <c r="J943" s="8">
        <f t="shared" ref="J943:K943" si="127">SUM(J944:J947)</f>
        <v>205.71143956070398</v>
      </c>
      <c r="K943" s="8">
        <f t="shared" si="127"/>
        <v>121.59831760699392</v>
      </c>
    </row>
    <row r="944" spans="1:13" x14ac:dyDescent="0.3">
      <c r="A944" s="23" t="s">
        <v>120</v>
      </c>
      <c r="I944" s="7">
        <f>I901*(1-H930)</f>
        <v>457.13653235712002</v>
      </c>
      <c r="J944" s="82">
        <f>I982*(1-I930)+I945*(1-I931)</f>
        <v>91.427306471423989</v>
      </c>
    </row>
    <row r="945" spans="1:13" x14ac:dyDescent="0.3">
      <c r="A945" s="24" t="s">
        <v>122</v>
      </c>
      <c r="I945" s="7">
        <f>I901*H930</f>
        <v>114.28413308928</v>
      </c>
      <c r="J945" s="7">
        <f>I982*I930</f>
        <v>22.856826617855997</v>
      </c>
      <c r="K945" s="7">
        <f>J944*J930</f>
        <v>11.885549841285119</v>
      </c>
      <c r="L945" s="7">
        <f>K944*K930</f>
        <v>0</v>
      </c>
    </row>
    <row r="946" spans="1:13" x14ac:dyDescent="0.3">
      <c r="A946" s="23" t="s">
        <v>121</v>
      </c>
      <c r="J946" s="7">
        <f>I945*I931</f>
        <v>91.427306471424004</v>
      </c>
      <c r="K946" s="7">
        <f>J945*J931</f>
        <v>18.285461294284797</v>
      </c>
      <c r="L946" s="7">
        <f>K945*K931</f>
        <v>9.5084398730280952</v>
      </c>
    </row>
    <row r="947" spans="1:13" x14ac:dyDescent="0.3">
      <c r="A947" s="23" t="s">
        <v>138</v>
      </c>
      <c r="J947" s="7"/>
      <c r="K947" s="7">
        <f>J946*J932</f>
        <v>91.427306471424004</v>
      </c>
      <c r="L947" s="7">
        <f>K946*K932+K947</f>
        <v>109.7127677657088</v>
      </c>
      <c r="M947" s="7">
        <f>L946*L932+L947</f>
        <v>119.2212076387369</v>
      </c>
    </row>
    <row r="948" spans="1:13" x14ac:dyDescent="0.3">
      <c r="A948" s="23"/>
      <c r="J948" s="7"/>
    </row>
    <row r="949" spans="1:13" x14ac:dyDescent="0.3">
      <c r="A949" s="23" t="s">
        <v>137</v>
      </c>
      <c r="J949" s="7"/>
      <c r="K949" s="7">
        <f>J944*(1-J930)+J945*(1-J931)+J946*(1-J932)</f>
        <v>84.113121953710078</v>
      </c>
      <c r="L949" s="7">
        <f>K945*(1-K931)+K949</f>
        <v>86.490231921967094</v>
      </c>
      <c r="M949" s="7">
        <f>L946*(1-L932)+L949</f>
        <v>86.490231921967094</v>
      </c>
    </row>
    <row r="950" spans="1:13" x14ac:dyDescent="0.3">
      <c r="A950" s="23"/>
      <c r="J950" s="7"/>
    </row>
    <row r="951" spans="1:13" x14ac:dyDescent="0.3">
      <c r="A951" s="11" t="s">
        <v>139</v>
      </c>
      <c r="I951" s="8">
        <f>SUM(I952:I953)</f>
        <v>457.13653235712002</v>
      </c>
      <c r="J951" s="8">
        <f>SUM(J952:J953)</f>
        <v>91.427306471423989</v>
      </c>
      <c r="K951" s="8">
        <f>SUM(K952:K953)</f>
        <v>84.113121953710078</v>
      </c>
      <c r="L951" s="8">
        <f>SUM(L952:L953)</f>
        <v>2.3771099682570234</v>
      </c>
    </row>
    <row r="952" spans="1:13" x14ac:dyDescent="0.3">
      <c r="A952" s="23" t="s">
        <v>120</v>
      </c>
      <c r="I952" s="7">
        <f>I944</f>
        <v>457.13653235712002</v>
      </c>
      <c r="J952" s="7">
        <f>I982*(1-I930)</f>
        <v>68.570479853567988</v>
      </c>
      <c r="K952" s="7">
        <f>J944*(1-J930)</f>
        <v>79.541756630138877</v>
      </c>
    </row>
    <row r="953" spans="1:13" x14ac:dyDescent="0.3">
      <c r="A953" s="24" t="s">
        <v>122</v>
      </c>
      <c r="J953" s="7">
        <f>I945*(1-I931)</f>
        <v>22.856826617855997</v>
      </c>
      <c r="K953" s="7">
        <f>J945*(1-J931)</f>
        <v>4.5713653235711984</v>
      </c>
      <c r="L953" s="7">
        <f>K945*(1-K931)</f>
        <v>2.3771099682570234</v>
      </c>
    </row>
    <row r="954" spans="1:13" x14ac:dyDescent="0.3">
      <c r="A954" s="23"/>
      <c r="J954" s="7"/>
      <c r="K954" s="7">
        <f>J946*(1-J932)</f>
        <v>0</v>
      </c>
      <c r="L954" s="7">
        <f>K946*(1-K932)</f>
        <v>0</v>
      </c>
    </row>
    <row r="955" spans="1:13" x14ac:dyDescent="0.3">
      <c r="A955" s="81" t="s">
        <v>123</v>
      </c>
    </row>
    <row r="956" spans="1:13" x14ac:dyDescent="0.3">
      <c r="A956" s="23" t="s">
        <v>120</v>
      </c>
      <c r="I956" s="7">
        <f>I917-I924</f>
        <v>128.20512820512823</v>
      </c>
      <c r="J956" s="7">
        <f>I956-J924</f>
        <v>64.102564102564131</v>
      </c>
      <c r="K956" s="7">
        <f>J956-K924</f>
        <v>0</v>
      </c>
    </row>
    <row r="957" spans="1:13" x14ac:dyDescent="0.3">
      <c r="A957" s="24" t="s">
        <v>122</v>
      </c>
      <c r="I957" s="7">
        <f>I917</f>
        <v>192.30769230769232</v>
      </c>
      <c r="J957" s="7">
        <f>I956</f>
        <v>128.20512820512823</v>
      </c>
      <c r="K957" s="7">
        <f>J956</f>
        <v>64.102564102564131</v>
      </c>
    </row>
    <row r="958" spans="1:13" x14ac:dyDescent="0.3">
      <c r="A958" s="23" t="s">
        <v>121</v>
      </c>
      <c r="J958" s="7">
        <f>I957</f>
        <v>192.30769230769232</v>
      </c>
      <c r="K958" s="7">
        <f>J957</f>
        <v>128.20512820512823</v>
      </c>
      <c r="L958" s="7">
        <f>K957</f>
        <v>64.102564102564131</v>
      </c>
    </row>
    <row r="959" spans="1:13" x14ac:dyDescent="0.3">
      <c r="A959" s="23"/>
      <c r="K959" s="7"/>
      <c r="L959" s="7"/>
    </row>
    <row r="960" spans="1:13" x14ac:dyDescent="0.3">
      <c r="A960" s="23"/>
      <c r="K960" s="7"/>
      <c r="L960" s="7"/>
    </row>
    <row r="961" spans="1:13" x14ac:dyDescent="0.3">
      <c r="A961" s="11" t="s">
        <v>130</v>
      </c>
      <c r="I961" s="8">
        <f>SUM(I962:I965)</f>
        <v>80584.965639876944</v>
      </c>
      <c r="J961" s="8">
        <f t="shared" ref="J961" si="128">SUM(J962:J965)</f>
        <v>26373.261482141541</v>
      </c>
      <c r="K961" s="8">
        <f t="shared" ref="K961" si="129">SUM(K962:K965)</f>
        <v>20688.358451546588</v>
      </c>
      <c r="L961" s="8">
        <f t="shared" ref="L961" si="130">SUM(L962:L965)</f>
        <v>20535.979607427547</v>
      </c>
    </row>
    <row r="962" spans="1:13" x14ac:dyDescent="0.3">
      <c r="A962" s="23" t="s">
        <v>120</v>
      </c>
      <c r="I962" s="7">
        <f>I956*I944</f>
        <v>58607.247738092323</v>
      </c>
      <c r="J962" s="7">
        <f t="shared" ref="J962:K962" si="131">J956*J944</f>
        <v>5860.7247738092328</v>
      </c>
      <c r="K962" s="7">
        <f t="shared" si="131"/>
        <v>0</v>
      </c>
    </row>
    <row r="963" spans="1:13" x14ac:dyDescent="0.3">
      <c r="A963" s="24" t="s">
        <v>122</v>
      </c>
      <c r="I963" s="7">
        <f>I957*I945</f>
        <v>21977.717901784617</v>
      </c>
      <c r="J963" s="7">
        <f t="shared" ref="J963:K963" si="132">J957*J945</f>
        <v>2930.3623869046155</v>
      </c>
      <c r="K963" s="7">
        <f t="shared" si="132"/>
        <v>761.8942205952003</v>
      </c>
      <c r="L963" s="7">
        <f>L957*L945</f>
        <v>0</v>
      </c>
    </row>
    <row r="964" spans="1:13" x14ac:dyDescent="0.3">
      <c r="A964" s="23" t="s">
        <v>121</v>
      </c>
      <c r="J964" s="7">
        <f>J958*J946</f>
        <v>17582.174321427694</v>
      </c>
      <c r="K964" s="7">
        <f>K958*K946</f>
        <v>2344.2899095236926</v>
      </c>
      <c r="L964" s="7">
        <f>L958*L946</f>
        <v>609.51537647616021</v>
      </c>
    </row>
    <row r="965" spans="1:13" x14ac:dyDescent="0.3">
      <c r="A965" s="23" t="s">
        <v>299</v>
      </c>
      <c r="K965" s="8">
        <f>J964</f>
        <v>17582.174321427694</v>
      </c>
      <c r="L965" s="8">
        <f>K965+K964</f>
        <v>19926.464230951387</v>
      </c>
      <c r="M965" s="8">
        <f>L965+L964</f>
        <v>20535.979607427547</v>
      </c>
    </row>
    <row r="966" spans="1:13" x14ac:dyDescent="0.3">
      <c r="A966" s="23"/>
    </row>
    <row r="967" spans="1:13" x14ac:dyDescent="0.3">
      <c r="A967" s="105" t="s">
        <v>300</v>
      </c>
      <c r="I967" s="8">
        <f>M965</f>
        <v>20535.979607427547</v>
      </c>
    </row>
    <row r="968" spans="1:13" x14ac:dyDescent="0.3">
      <c r="A968" s="23"/>
    </row>
    <row r="969" spans="1:13" x14ac:dyDescent="0.3">
      <c r="A969" s="11" t="s">
        <v>140</v>
      </c>
      <c r="I969" s="8">
        <f>SUM(I971:I974)</f>
        <v>29303.623869046154</v>
      </c>
      <c r="J969" s="8">
        <f>SUM(J971:J974)</f>
        <v>7325.9059672615376</v>
      </c>
      <c r="K969" s="8">
        <f t="shared" ref="K969:L969" si="133">SUM(K971:K974)</f>
        <v>5684.9030305949527</v>
      </c>
      <c r="L969" s="8">
        <f t="shared" si="133"/>
        <v>152.37884411903997</v>
      </c>
    </row>
    <row r="970" spans="1:13" x14ac:dyDescent="0.3">
      <c r="A970" s="11"/>
      <c r="I970" s="8"/>
      <c r="J970" s="8"/>
      <c r="K970" s="8"/>
      <c r="L970" s="8"/>
    </row>
    <row r="971" spans="1:13" x14ac:dyDescent="0.3">
      <c r="A971" t="s">
        <v>131</v>
      </c>
      <c r="C971" s="23" t="s">
        <v>120</v>
      </c>
      <c r="I971" s="6">
        <f>I980*I924</f>
        <v>23442.899095236924</v>
      </c>
    </row>
    <row r="972" spans="1:13" x14ac:dyDescent="0.3">
      <c r="C972" s="23"/>
      <c r="I972" s="6"/>
    </row>
    <row r="973" spans="1:13" x14ac:dyDescent="0.3">
      <c r="A973" t="s">
        <v>200</v>
      </c>
      <c r="C973" s="23" t="s">
        <v>120</v>
      </c>
      <c r="I973" s="6">
        <f>I982*I924</f>
        <v>5860.7247738092301</v>
      </c>
      <c r="J973" s="27">
        <f>J952*J924</f>
        <v>4395.5435803569226</v>
      </c>
      <c r="K973" s="27">
        <f t="shared" ref="K973:L973" si="134">K952*K924</f>
        <v>5098.8305532140303</v>
      </c>
      <c r="L973" s="27">
        <f t="shared" si="134"/>
        <v>0</v>
      </c>
      <c r="M973" s="27"/>
    </row>
    <row r="974" spans="1:13" x14ac:dyDescent="0.3">
      <c r="A974" t="s">
        <v>200</v>
      </c>
      <c r="C974" s="24" t="s">
        <v>122</v>
      </c>
      <c r="I974" s="6"/>
      <c r="J974" s="27">
        <f>J953*(I924+J924)</f>
        <v>2930.3623869046151</v>
      </c>
      <c r="K974" s="27">
        <f t="shared" ref="K974" si="135">K953*(J924+K924)</f>
        <v>586.07247738092292</v>
      </c>
      <c r="L974" s="27">
        <f t="shared" ref="L974" si="136">L953*(K924+L924)</f>
        <v>152.37884411903997</v>
      </c>
      <c r="M974" s="27"/>
    </row>
    <row r="976" spans="1:13" x14ac:dyDescent="0.3">
      <c r="A976" s="11" t="s">
        <v>283</v>
      </c>
      <c r="I976" s="8">
        <f>SUM(I973:L974)</f>
        <v>19023.91261578476</v>
      </c>
    </row>
    <row r="978" spans="1:30" x14ac:dyDescent="0.3">
      <c r="A978" t="s">
        <v>202</v>
      </c>
      <c r="I978" s="28">
        <f>I980*(J924+K924)</f>
        <v>46885.798190473848</v>
      </c>
    </row>
    <row r="980" spans="1:30" x14ac:dyDescent="0.3">
      <c r="A980" s="72" t="s">
        <v>132</v>
      </c>
      <c r="I980" s="73">
        <f>I944*I926</f>
        <v>365.70922588569601</v>
      </c>
    </row>
    <row r="982" spans="1:30" x14ac:dyDescent="0.3">
      <c r="A982" t="s">
        <v>201</v>
      </c>
      <c r="I982" s="7">
        <f>I944*I927</f>
        <v>91.427306471423989</v>
      </c>
    </row>
    <row r="985" spans="1:30" x14ac:dyDescent="0.3">
      <c r="A985" s="160" t="s">
        <v>240</v>
      </c>
      <c r="B985" s="161"/>
      <c r="C985" s="161"/>
      <c r="D985" s="161"/>
      <c r="E985" s="161"/>
      <c r="F985" s="161"/>
      <c r="G985" s="161"/>
      <c r="H985" s="161"/>
      <c r="I985" s="161"/>
      <c r="J985" s="161"/>
      <c r="K985" s="161"/>
      <c r="L985" s="161"/>
      <c r="M985" s="161"/>
      <c r="N985" s="161"/>
      <c r="O985" s="161"/>
      <c r="P985" s="161"/>
      <c r="Q985" s="161"/>
      <c r="R985" s="161"/>
      <c r="S985" s="161"/>
      <c r="T985" s="161"/>
      <c r="U985" s="161"/>
      <c r="V985" s="161"/>
      <c r="W985" s="161"/>
      <c r="X985" s="161"/>
      <c r="Y985" s="161"/>
      <c r="Z985" s="161"/>
      <c r="AA985" s="161"/>
      <c r="AB985" s="161"/>
      <c r="AC985" s="161"/>
      <c r="AD985" s="162"/>
    </row>
    <row r="987" spans="1:30" x14ac:dyDescent="0.3">
      <c r="A987" t="s">
        <v>197</v>
      </c>
      <c r="K987" s="83">
        <f>H379</f>
        <v>892.8447897599998</v>
      </c>
    </row>
    <row r="988" spans="1:30" x14ac:dyDescent="0.3">
      <c r="A988" t="s">
        <v>206</v>
      </c>
      <c r="K988" s="7">
        <f>K990*K987</f>
        <v>124.5580966564966</v>
      </c>
      <c r="N988" s="77"/>
    </row>
    <row r="989" spans="1:30" x14ac:dyDescent="0.3">
      <c r="K989" s="7"/>
      <c r="N989" s="77"/>
    </row>
    <row r="990" spans="1:30" x14ac:dyDescent="0.3">
      <c r="A990" s="11" t="s">
        <v>134</v>
      </c>
      <c r="B990" s="11"/>
      <c r="C990" s="11"/>
      <c r="K990" s="92">
        <f>K991*K992*K993*K994</f>
        <v>0.13950699839999997</v>
      </c>
      <c r="L990" s="7">
        <f>L991*L992*L993*L994</f>
        <v>0</v>
      </c>
      <c r="M990" s="11"/>
      <c r="O990" s="11"/>
    </row>
    <row r="991" spans="1:30" x14ac:dyDescent="0.3">
      <c r="A991" t="s">
        <v>35</v>
      </c>
      <c r="K991" s="84">
        <f>K418</f>
        <v>0.15135999999999999</v>
      </c>
    </row>
    <row r="992" spans="1:30" x14ac:dyDescent="0.3">
      <c r="A992" t="s">
        <v>36</v>
      </c>
      <c r="K992" s="86">
        <f>0.95</f>
        <v>0.95</v>
      </c>
    </row>
    <row r="993" spans="1:11" x14ac:dyDescent="0.3">
      <c r="A993" t="s">
        <v>142</v>
      </c>
      <c r="K993" s="86">
        <v>0.99</v>
      </c>
    </row>
    <row r="994" spans="1:11" x14ac:dyDescent="0.3">
      <c r="A994" t="s">
        <v>37</v>
      </c>
      <c r="K994" s="86">
        <v>0.98</v>
      </c>
    </row>
    <row r="997" spans="1:11" x14ac:dyDescent="0.3">
      <c r="A997" t="s">
        <v>125</v>
      </c>
      <c r="K997" s="83">
        <f>$B$33</f>
        <v>128.2051282051282</v>
      </c>
    </row>
    <row r="998" spans="1:11" x14ac:dyDescent="0.3">
      <c r="A998" s="100" t="s">
        <v>135</v>
      </c>
      <c r="K998" s="101">
        <f>K997</f>
        <v>128.2051282051282</v>
      </c>
    </row>
    <row r="1000" spans="1:11" x14ac:dyDescent="0.3">
      <c r="A1000" t="s">
        <v>126</v>
      </c>
      <c r="K1000" s="88">
        <f>$D$43</f>
        <v>0.5</v>
      </c>
    </row>
    <row r="1001" spans="1:11" x14ac:dyDescent="0.3">
      <c r="A1001" t="s">
        <v>117</v>
      </c>
      <c r="K1001" s="7">
        <f>K1000*K997</f>
        <v>64.102564102564102</v>
      </c>
    </row>
    <row r="1003" spans="1:11" x14ac:dyDescent="0.3">
      <c r="A1003" t="s">
        <v>118</v>
      </c>
      <c r="K1003" s="7">
        <f>K998</f>
        <v>128.2051282051282</v>
      </c>
    </row>
    <row r="1004" spans="1:11" x14ac:dyDescent="0.3">
      <c r="A1004" t="s">
        <v>106</v>
      </c>
      <c r="K1004" s="7">
        <f>K997*(1+K1000)</f>
        <v>192.30769230769232</v>
      </c>
    </row>
    <row r="1005" spans="1:11" x14ac:dyDescent="0.3">
      <c r="K1005" s="7"/>
    </row>
    <row r="1006" spans="1:11" x14ac:dyDescent="0.3">
      <c r="A1006" t="s">
        <v>136</v>
      </c>
      <c r="K1006" s="7">
        <f>K1003*K988</f>
        <v>15968.986750832897</v>
      </c>
    </row>
    <row r="1007" spans="1:11" x14ac:dyDescent="0.3">
      <c r="A1007" t="s">
        <v>119</v>
      </c>
      <c r="K1007" s="7">
        <f>K1004*K988</f>
        <v>23953.480126249349</v>
      </c>
    </row>
    <row r="1008" spans="1:11" x14ac:dyDescent="0.3">
      <c r="K1008" s="7"/>
    </row>
    <row r="1009" spans="1:15" x14ac:dyDescent="0.3">
      <c r="A1009" t="s">
        <v>302</v>
      </c>
      <c r="K1009" s="6">
        <f>K1001*K988</f>
        <v>7984.4933754164485</v>
      </c>
    </row>
    <row r="1010" spans="1:15" x14ac:dyDescent="0.3">
      <c r="K1010" s="7"/>
    </row>
    <row r="1011" spans="1:15" x14ac:dyDescent="0.3">
      <c r="A1011" t="s">
        <v>127</v>
      </c>
      <c r="K1011" s="7">
        <f>K1004/3</f>
        <v>64.102564102564102</v>
      </c>
      <c r="L1011" s="7">
        <f>K1004/3</f>
        <v>64.102564102564102</v>
      </c>
      <c r="M1011" s="7">
        <f>K1004/3</f>
        <v>64.102564102564102</v>
      </c>
    </row>
    <row r="1013" spans="1:15" x14ac:dyDescent="0.3">
      <c r="A1013" t="s">
        <v>128</v>
      </c>
      <c r="K1013" s="21">
        <f>Summary!D30</f>
        <v>0.8</v>
      </c>
    </row>
    <row r="1014" spans="1:15" x14ac:dyDescent="0.3">
      <c r="A1014" t="s">
        <v>129</v>
      </c>
      <c r="K1014" s="21">
        <f>1-K1013</f>
        <v>0.19999999999999996</v>
      </c>
    </row>
    <row r="1016" spans="1:15" x14ac:dyDescent="0.3">
      <c r="A1016" s="71" t="s">
        <v>16</v>
      </c>
    </row>
    <row r="1017" spans="1:15" x14ac:dyDescent="0.3">
      <c r="A1017" t="s">
        <v>17</v>
      </c>
      <c r="J1017" s="74">
        <f>Summary!$C$59</f>
        <v>0.2</v>
      </c>
      <c r="K1017" s="74">
        <f>Summary!$C$60</f>
        <v>0.25</v>
      </c>
      <c r="L1017" s="74">
        <f>Summary!$C$61</f>
        <v>0.13</v>
      </c>
      <c r="M1017" s="75"/>
      <c r="N1017" s="75"/>
    </row>
    <row r="1018" spans="1:15" x14ac:dyDescent="0.3">
      <c r="A1018" t="s">
        <v>18</v>
      </c>
      <c r="C1018" s="75"/>
      <c r="K1018" s="74">
        <f>Summary!$C$62</f>
        <v>0.8</v>
      </c>
      <c r="L1018" s="76">
        <f>K1018</f>
        <v>0.8</v>
      </c>
      <c r="M1018" s="76">
        <f>L1018</f>
        <v>0.8</v>
      </c>
      <c r="N1018" s="75"/>
    </row>
    <row r="1019" spans="1:15" x14ac:dyDescent="0.3">
      <c r="A1019" t="s">
        <v>19</v>
      </c>
      <c r="C1019" s="75"/>
      <c r="K1019" s="75"/>
      <c r="L1019" s="74">
        <f>Summary!$C$63</f>
        <v>1</v>
      </c>
      <c r="M1019" s="74">
        <f>L1019</f>
        <v>1</v>
      </c>
      <c r="N1019" s="74">
        <f>M1019</f>
        <v>1</v>
      </c>
    </row>
    <row r="1020" spans="1:15" x14ac:dyDescent="0.3">
      <c r="A1020" t="s">
        <v>20</v>
      </c>
      <c r="N1020" s="21"/>
    </row>
    <row r="1021" spans="1:15" x14ac:dyDescent="0.3">
      <c r="N1021" s="21"/>
    </row>
    <row r="1022" spans="1:15" x14ac:dyDescent="0.3">
      <c r="A1022" s="11" t="s">
        <v>196</v>
      </c>
      <c r="K1022" s="90">
        <f>SUM(K1023:K1026)</f>
        <v>0.36</v>
      </c>
      <c r="L1022" s="90">
        <f t="shared" ref="L1022" si="137">SUM(L1023:L1026)</f>
        <v>0.36</v>
      </c>
      <c r="M1022" s="90">
        <f t="shared" ref="M1022" si="138">SUM(M1023:M1026)</f>
        <v>0.21280000000000004</v>
      </c>
      <c r="N1022" s="90">
        <f t="shared" ref="N1022" si="139">SUM(N1023:N1026)</f>
        <v>0.20864000000000002</v>
      </c>
    </row>
    <row r="1023" spans="1:15" x14ac:dyDescent="0.3">
      <c r="A1023" t="s">
        <v>17</v>
      </c>
      <c r="K1023" s="22">
        <f>(1-J1017)*K1014</f>
        <v>0.15999999999999998</v>
      </c>
      <c r="L1023" s="22">
        <f>K1023*(1-K1017)+K1024*(1-K1018)</f>
        <v>0.15999999999999998</v>
      </c>
    </row>
    <row r="1024" spans="1:15" x14ac:dyDescent="0.3">
      <c r="A1024" t="s">
        <v>18</v>
      </c>
      <c r="K1024" s="22">
        <f>J1017</f>
        <v>0.2</v>
      </c>
      <c r="L1024" s="22">
        <f>K1023*K1017</f>
        <v>3.9999999999999994E-2</v>
      </c>
      <c r="M1024" s="22">
        <f>L1023*L1017</f>
        <v>2.0799999999999999E-2</v>
      </c>
      <c r="O1024" s="22"/>
    </row>
    <row r="1025" spans="1:15" x14ac:dyDescent="0.3">
      <c r="A1025" t="s">
        <v>19</v>
      </c>
      <c r="L1025" s="22">
        <f>K1024*K1018</f>
        <v>0.16000000000000003</v>
      </c>
      <c r="M1025" s="22">
        <f>L1024*L1018+L1025</f>
        <v>0.19200000000000003</v>
      </c>
      <c r="N1025" s="22">
        <f>M1024*M1018+M1025</f>
        <v>0.20864000000000002</v>
      </c>
    </row>
    <row r="1026" spans="1:15" x14ac:dyDescent="0.3">
      <c r="L1026" s="22"/>
      <c r="M1026" s="22"/>
    </row>
    <row r="1027" spans="1:15" x14ac:dyDescent="0.3">
      <c r="A1027" t="s">
        <v>195</v>
      </c>
      <c r="K1027" s="22">
        <f>(1-J1017)*K1013</f>
        <v>0.64000000000000012</v>
      </c>
      <c r="M1027" s="29">
        <f>L1023*(1-L1017)+L1024*(1-L1018)+L1025*(1-L1019)</f>
        <v>0.1472</v>
      </c>
      <c r="N1027" s="29">
        <f>M1024*(1-M1018)+M1027</f>
        <v>0.15135999999999999</v>
      </c>
      <c r="O1027" s="22"/>
    </row>
    <row r="1028" spans="1:15" x14ac:dyDescent="0.3">
      <c r="K1028" s="22"/>
      <c r="M1028" s="29"/>
      <c r="N1028" s="29"/>
      <c r="O1028" s="22"/>
    </row>
    <row r="1029" spans="1:15" x14ac:dyDescent="0.3">
      <c r="K1029" s="25" t="s">
        <v>32</v>
      </c>
    </row>
    <row r="1030" spans="1:15" x14ac:dyDescent="0.3">
      <c r="A1030" s="11" t="s">
        <v>124</v>
      </c>
      <c r="K1030" s="8">
        <f>SUM(K1031:K1034)</f>
        <v>124.5580966564966</v>
      </c>
      <c r="L1030" s="8">
        <f t="shared" ref="L1030:M1030" si="140">SUM(L1031:L1034)</f>
        <v>44.840914796338772</v>
      </c>
      <c r="M1030" s="8">
        <f t="shared" si="140"/>
        <v>26.50596296850248</v>
      </c>
    </row>
    <row r="1031" spans="1:15" x14ac:dyDescent="0.3">
      <c r="A1031" s="23" t="s">
        <v>120</v>
      </c>
      <c r="K1031" s="7">
        <f>K988*(1-J1017)</f>
        <v>99.646477325197282</v>
      </c>
      <c r="L1031" s="82">
        <f>K1069*(1-K1017)+K1032*(1-K1018)</f>
        <v>19.929295465039452</v>
      </c>
    </row>
    <row r="1032" spans="1:15" x14ac:dyDescent="0.3">
      <c r="A1032" s="24" t="s">
        <v>122</v>
      </c>
      <c r="K1032" s="7">
        <f>K988*J1017</f>
        <v>24.91161933129932</v>
      </c>
      <c r="L1032" s="7">
        <f>K1069*K1017</f>
        <v>4.982323866259863</v>
      </c>
      <c r="M1032" s="7">
        <f>L1031*L1017</f>
        <v>2.590808410455129</v>
      </c>
      <c r="N1032" s="7">
        <f>M1031*M1017</f>
        <v>0</v>
      </c>
    </row>
    <row r="1033" spans="1:15" x14ac:dyDescent="0.3">
      <c r="A1033" s="23" t="s">
        <v>121</v>
      </c>
      <c r="L1033" s="7">
        <f>K1032*K1018</f>
        <v>19.929295465039459</v>
      </c>
      <c r="M1033" s="7">
        <f>L1032*L1018</f>
        <v>3.9858590930078908</v>
      </c>
      <c r="N1033" s="7">
        <f>M1032*M1018</f>
        <v>2.0726467283641035</v>
      </c>
    </row>
    <row r="1034" spans="1:15" x14ac:dyDescent="0.3">
      <c r="A1034" s="23" t="s">
        <v>138</v>
      </c>
      <c r="L1034" s="7"/>
      <c r="M1034" s="7">
        <f>L1033*L1019</f>
        <v>19.929295465039459</v>
      </c>
      <c r="N1034" s="7">
        <f>M1033*M1019+M1034</f>
        <v>23.915154558047348</v>
      </c>
      <c r="O1034" s="7">
        <f>N1033*N1019+N1034</f>
        <v>25.98780128641145</v>
      </c>
    </row>
    <row r="1035" spans="1:15" x14ac:dyDescent="0.3">
      <c r="A1035" s="23"/>
      <c r="L1035" s="7"/>
    </row>
    <row r="1036" spans="1:15" x14ac:dyDescent="0.3">
      <c r="A1036" s="23" t="s">
        <v>137</v>
      </c>
      <c r="L1036" s="7"/>
      <c r="M1036" s="7">
        <f>L1031*(1-L1017)+L1032*(1-L1018)+L1033*(1-L1019)</f>
        <v>18.334951827836296</v>
      </c>
      <c r="N1036" s="7">
        <f>M1032*(1-M1018)+M1036</f>
        <v>18.853113509927322</v>
      </c>
      <c r="O1036" s="7">
        <f>N1033*(1-N1019)+N1036</f>
        <v>18.853113509927322</v>
      </c>
    </row>
    <row r="1037" spans="1:15" x14ac:dyDescent="0.3">
      <c r="A1037" s="23"/>
      <c r="L1037" s="7"/>
    </row>
    <row r="1038" spans="1:15" x14ac:dyDescent="0.3">
      <c r="A1038" s="11" t="s">
        <v>139</v>
      </c>
      <c r="K1038" s="8">
        <f>SUM(K1039:K1040)</f>
        <v>99.646477325197282</v>
      </c>
      <c r="L1038" s="8">
        <f>SUM(L1039:L1040)</f>
        <v>19.929295465039452</v>
      </c>
      <c r="M1038" s="8">
        <f>SUM(M1039:M1040)</f>
        <v>18.334951827836296</v>
      </c>
      <c r="N1038" s="8">
        <f>SUM(N1039:N1040)</f>
        <v>0.51816168209102564</v>
      </c>
    </row>
    <row r="1039" spans="1:15" x14ac:dyDescent="0.3">
      <c r="A1039" s="23" t="s">
        <v>120</v>
      </c>
      <c r="K1039" s="7">
        <f>K1031</f>
        <v>99.646477325197282</v>
      </c>
      <c r="L1039" s="7">
        <f>K1069*(1-K1017)</f>
        <v>14.946971598779589</v>
      </c>
      <c r="M1039" s="7">
        <f>L1031*(1-L1017)</f>
        <v>17.338487054584323</v>
      </c>
    </row>
    <row r="1040" spans="1:15" x14ac:dyDescent="0.3">
      <c r="A1040" s="24" t="s">
        <v>122</v>
      </c>
      <c r="L1040" s="7">
        <f>K1032*(1-K1018)</f>
        <v>4.982323866259863</v>
      </c>
      <c r="M1040" s="7">
        <f>L1032*(1-L1018)</f>
        <v>0.99646477325197236</v>
      </c>
      <c r="N1040" s="7">
        <f>M1032*(1-M1018)</f>
        <v>0.51816168209102564</v>
      </c>
    </row>
    <row r="1041" spans="1:15" x14ac:dyDescent="0.3">
      <c r="A1041" s="23"/>
      <c r="L1041" s="7"/>
      <c r="M1041" s="7">
        <f>L1033*(1-L1019)</f>
        <v>0</v>
      </c>
      <c r="N1041" s="7">
        <f>M1033*(1-M1019)</f>
        <v>0</v>
      </c>
    </row>
    <row r="1042" spans="1:15" x14ac:dyDescent="0.3">
      <c r="A1042" s="81" t="s">
        <v>123</v>
      </c>
    </row>
    <row r="1043" spans="1:15" x14ac:dyDescent="0.3">
      <c r="A1043" s="23" t="s">
        <v>120</v>
      </c>
      <c r="K1043" s="7">
        <f>K1004-K1011</f>
        <v>128.20512820512823</v>
      </c>
      <c r="L1043" s="7">
        <f>K1043-L1011</f>
        <v>64.102564102564131</v>
      </c>
      <c r="M1043" s="7">
        <f>L1043-M1011</f>
        <v>0</v>
      </c>
    </row>
    <row r="1044" spans="1:15" x14ac:dyDescent="0.3">
      <c r="A1044" s="24" t="s">
        <v>122</v>
      </c>
      <c r="K1044" s="7">
        <f>K1004</f>
        <v>192.30769230769232</v>
      </c>
      <c r="L1044" s="7">
        <f>K1043</f>
        <v>128.20512820512823</v>
      </c>
      <c r="M1044" s="7">
        <f>L1043</f>
        <v>64.102564102564131</v>
      </c>
    </row>
    <row r="1045" spans="1:15" x14ac:dyDescent="0.3">
      <c r="A1045" s="23" t="s">
        <v>121</v>
      </c>
      <c r="L1045" s="7">
        <f>K1044</f>
        <v>192.30769230769232</v>
      </c>
      <c r="M1045" s="7">
        <f>L1044</f>
        <v>128.20512820512823</v>
      </c>
      <c r="N1045" s="7">
        <f>M1044</f>
        <v>64.102564102564131</v>
      </c>
    </row>
    <row r="1046" spans="1:15" x14ac:dyDescent="0.3">
      <c r="A1046" s="23"/>
      <c r="M1046" s="7"/>
      <c r="N1046" s="7"/>
    </row>
    <row r="1047" spans="1:15" x14ac:dyDescent="0.3">
      <c r="A1047" s="23"/>
      <c r="M1047" s="7"/>
      <c r="N1047" s="7"/>
    </row>
    <row r="1048" spans="1:15" x14ac:dyDescent="0.3">
      <c r="A1048" s="11" t="s">
        <v>130</v>
      </c>
      <c r="K1048" s="8">
        <f>SUM(K1049:K1052)</f>
        <v>17565.885425916189</v>
      </c>
      <c r="L1048" s="8">
        <f t="shared" ref="L1048" si="141">SUM(L1049:L1052)</f>
        <v>5748.8352302998446</v>
      </c>
      <c r="M1048" s="8">
        <f t="shared" ref="M1048" si="142">SUM(M1049:M1052)</f>
        <v>4509.6418584352114</v>
      </c>
      <c r="N1048" s="8">
        <f t="shared" ref="N1048" si="143">SUM(N1049:N1052)</f>
        <v>4476.4263659934795</v>
      </c>
    </row>
    <row r="1049" spans="1:15" x14ac:dyDescent="0.3">
      <c r="A1049" s="23" t="s">
        <v>120</v>
      </c>
      <c r="K1049" s="7">
        <f>K1043*K1031</f>
        <v>12775.189400666321</v>
      </c>
      <c r="L1049" s="7">
        <f t="shared" ref="L1049:M1049" si="144">L1043*L1031</f>
        <v>1277.518940066632</v>
      </c>
      <c r="M1049" s="7">
        <f t="shared" si="144"/>
        <v>0</v>
      </c>
    </row>
    <row r="1050" spans="1:15" x14ac:dyDescent="0.3">
      <c r="A1050" s="24" t="s">
        <v>122</v>
      </c>
      <c r="K1050" s="7">
        <f>K1044*K1032</f>
        <v>4790.6960252498693</v>
      </c>
      <c r="L1050" s="7">
        <f t="shared" ref="L1050:M1050" si="145">L1044*L1032</f>
        <v>638.75947003331589</v>
      </c>
      <c r="M1050" s="7">
        <f t="shared" si="145"/>
        <v>166.07746220866218</v>
      </c>
      <c r="N1050" s="7">
        <f>N1044*N1032</f>
        <v>0</v>
      </c>
    </row>
    <row r="1051" spans="1:15" x14ac:dyDescent="0.3">
      <c r="A1051" s="23" t="s">
        <v>121</v>
      </c>
      <c r="L1051" s="7">
        <f>L1045*L1033</f>
        <v>3832.5568201998963</v>
      </c>
      <c r="M1051" s="7">
        <f>M1045*M1033</f>
        <v>511.00757602665277</v>
      </c>
      <c r="N1051" s="7">
        <f>N1045*N1033</f>
        <v>132.86196976692978</v>
      </c>
    </row>
    <row r="1052" spans="1:15" x14ac:dyDescent="0.3">
      <c r="A1052" s="23" t="s">
        <v>299</v>
      </c>
      <c r="M1052" s="8">
        <f>L1051</f>
        <v>3832.5568201998963</v>
      </c>
      <c r="N1052" s="8">
        <f>M1052+M1051</f>
        <v>4343.5643962265494</v>
      </c>
      <c r="O1052" s="8">
        <f>N1052+N1051</f>
        <v>4476.4263659934795</v>
      </c>
    </row>
    <row r="1053" spans="1:15" x14ac:dyDescent="0.3">
      <c r="A1053" s="23"/>
    </row>
    <row r="1054" spans="1:15" x14ac:dyDescent="0.3">
      <c r="A1054" s="105" t="s">
        <v>300</v>
      </c>
      <c r="K1054" s="8">
        <f>O1052</f>
        <v>4476.4263659934795</v>
      </c>
    </row>
    <row r="1055" spans="1:15" x14ac:dyDescent="0.3">
      <c r="A1055" s="23"/>
    </row>
    <row r="1056" spans="1:15" x14ac:dyDescent="0.3">
      <c r="A1056" s="11" t="s">
        <v>140</v>
      </c>
      <c r="K1056" s="8">
        <f>SUM(K1058:K1061)</f>
        <v>6387.5947003331594</v>
      </c>
      <c r="L1056" s="8">
        <f>SUM(L1058:L1061)</f>
        <v>1596.8986750832894</v>
      </c>
      <c r="M1056" s="8">
        <f t="shared" ref="M1056:N1056" si="146">SUM(M1058:M1061)</f>
        <v>1239.1933718646326</v>
      </c>
      <c r="N1056" s="8">
        <f t="shared" si="146"/>
        <v>33.215492441732415</v>
      </c>
    </row>
    <row r="1057" spans="1:30" x14ac:dyDescent="0.3">
      <c r="A1057" s="11"/>
      <c r="K1057" s="8"/>
      <c r="L1057" s="8"/>
      <c r="M1057" s="8"/>
      <c r="N1057" s="8"/>
    </row>
    <row r="1058" spans="1:30" x14ac:dyDescent="0.3">
      <c r="A1058" t="s">
        <v>131</v>
      </c>
      <c r="C1058" s="23" t="s">
        <v>120</v>
      </c>
      <c r="K1058" s="6">
        <f>K1067*K1011</f>
        <v>5110.0757602665281</v>
      </c>
    </row>
    <row r="1059" spans="1:30" x14ac:dyDescent="0.3">
      <c r="C1059" s="23"/>
      <c r="K1059" s="6"/>
    </row>
    <row r="1060" spans="1:30" x14ac:dyDescent="0.3">
      <c r="A1060" t="s">
        <v>200</v>
      </c>
      <c r="C1060" s="23" t="s">
        <v>120</v>
      </c>
      <c r="K1060" s="6">
        <f>K1069*K1011</f>
        <v>1277.5189400666316</v>
      </c>
      <c r="L1060" s="27">
        <f>L1039*L1011</f>
        <v>958.13920504997361</v>
      </c>
      <c r="M1060" s="27">
        <f t="shared" ref="M1060:N1060" si="147">M1039*M1011</f>
        <v>1111.4414778579694</v>
      </c>
      <c r="N1060" s="27">
        <f t="shared" si="147"/>
        <v>0</v>
      </c>
      <c r="O1060" s="27"/>
    </row>
    <row r="1061" spans="1:30" x14ac:dyDescent="0.3">
      <c r="A1061" t="s">
        <v>200</v>
      </c>
      <c r="C1061" s="24" t="s">
        <v>122</v>
      </c>
      <c r="K1061" s="6"/>
      <c r="L1061" s="27">
        <f>L1040*(K1011+L1011)</f>
        <v>638.75947003331578</v>
      </c>
      <c r="M1061" s="27">
        <f t="shared" ref="M1061" si="148">M1040*(L1011+M1011)</f>
        <v>127.75189400666312</v>
      </c>
      <c r="N1061" s="27">
        <f t="shared" ref="N1061" si="149">N1040*(M1011+N1011)</f>
        <v>33.215492441732415</v>
      </c>
      <c r="O1061" s="27"/>
    </row>
    <row r="1063" spans="1:30" x14ac:dyDescent="0.3">
      <c r="A1063" s="11" t="s">
        <v>283</v>
      </c>
      <c r="K1063" s="8">
        <f>SUM(K1060:N1061)</f>
        <v>4146.8264794562865</v>
      </c>
    </row>
    <row r="1065" spans="1:30" x14ac:dyDescent="0.3">
      <c r="A1065" t="s">
        <v>202</v>
      </c>
      <c r="K1065" s="28">
        <f>K1067*(L1011+M1011)</f>
        <v>10220.151520533056</v>
      </c>
    </row>
    <row r="1067" spans="1:30" x14ac:dyDescent="0.3">
      <c r="A1067" s="72" t="s">
        <v>132</v>
      </c>
      <c r="K1067" s="73">
        <f>K1031*K1013</f>
        <v>79.717181860157837</v>
      </c>
    </row>
    <row r="1069" spans="1:30" x14ac:dyDescent="0.3">
      <c r="A1069" t="s">
        <v>201</v>
      </c>
      <c r="K1069" s="7">
        <f>K1031*K1014</f>
        <v>19.929295465039452</v>
      </c>
    </row>
    <row r="1072" spans="1:30" x14ac:dyDescent="0.3">
      <c r="A1072" s="160" t="s">
        <v>243</v>
      </c>
      <c r="B1072" s="161"/>
      <c r="C1072" s="161"/>
      <c r="D1072" s="161"/>
      <c r="E1072" s="161"/>
      <c r="F1072" s="161"/>
      <c r="G1072" s="161"/>
      <c r="H1072" s="161"/>
      <c r="I1072" s="161"/>
      <c r="J1072" s="161"/>
      <c r="K1072" s="161"/>
      <c r="L1072" s="161"/>
      <c r="M1072" s="161"/>
      <c r="N1072" s="161"/>
      <c r="O1072" s="161"/>
      <c r="P1072" s="161"/>
      <c r="Q1072" s="161"/>
      <c r="R1072" s="161"/>
      <c r="S1072" s="161"/>
      <c r="T1072" s="161"/>
      <c r="U1072" s="161"/>
      <c r="V1072" s="161"/>
      <c r="W1072" s="161"/>
      <c r="X1072" s="161"/>
      <c r="Y1072" s="161"/>
      <c r="Z1072" s="161"/>
      <c r="AA1072" s="161"/>
      <c r="AB1072" s="161"/>
      <c r="AC1072" s="161"/>
      <c r="AD1072" s="162"/>
    </row>
    <row r="1074" spans="1:15" x14ac:dyDescent="0.3">
      <c r="A1074" t="s">
        <v>197</v>
      </c>
      <c r="K1074" s="83">
        <f>H466</f>
        <v>892.84478975999991</v>
      </c>
    </row>
    <row r="1075" spans="1:15" x14ac:dyDescent="0.3">
      <c r="A1075" t="s">
        <v>206</v>
      </c>
      <c r="K1075" s="7">
        <f>K1077*K1074</f>
        <v>124.55809665649662</v>
      </c>
      <c r="N1075" s="77"/>
    </row>
    <row r="1076" spans="1:15" x14ac:dyDescent="0.3">
      <c r="K1076" s="7"/>
      <c r="N1076" s="77"/>
    </row>
    <row r="1077" spans="1:15" x14ac:dyDescent="0.3">
      <c r="A1077" s="11" t="s">
        <v>134</v>
      </c>
      <c r="B1077" s="11"/>
      <c r="C1077" s="11"/>
      <c r="K1077" s="92">
        <f>K1078*K1079*K1080*K1081</f>
        <v>0.13950699839999997</v>
      </c>
      <c r="L1077" s="7">
        <f>L1078*L1079*L1080*L1081</f>
        <v>0</v>
      </c>
      <c r="M1077" s="11"/>
      <c r="O1077" s="11"/>
    </row>
    <row r="1078" spans="1:15" x14ac:dyDescent="0.3">
      <c r="A1078" t="s">
        <v>35</v>
      </c>
      <c r="K1078" s="84">
        <f>K505</f>
        <v>0.15135999999999999</v>
      </c>
    </row>
    <row r="1079" spans="1:15" x14ac:dyDescent="0.3">
      <c r="A1079" t="s">
        <v>36</v>
      </c>
      <c r="K1079" s="86">
        <f>0.95</f>
        <v>0.95</v>
      </c>
    </row>
    <row r="1080" spans="1:15" x14ac:dyDescent="0.3">
      <c r="A1080" t="s">
        <v>142</v>
      </c>
      <c r="K1080" s="86">
        <v>0.99</v>
      </c>
    </row>
    <row r="1081" spans="1:15" x14ac:dyDescent="0.3">
      <c r="A1081" t="s">
        <v>37</v>
      </c>
      <c r="K1081" s="86">
        <v>0.98</v>
      </c>
    </row>
    <row r="1084" spans="1:15" x14ac:dyDescent="0.3">
      <c r="A1084" t="s">
        <v>125</v>
      </c>
      <c r="K1084" s="83">
        <f>$B$33</f>
        <v>128.2051282051282</v>
      </c>
    </row>
    <row r="1085" spans="1:15" x14ac:dyDescent="0.3">
      <c r="A1085" s="100" t="s">
        <v>135</v>
      </c>
      <c r="K1085" s="101">
        <f>K1084</f>
        <v>128.2051282051282</v>
      </c>
    </row>
    <row r="1087" spans="1:15" x14ac:dyDescent="0.3">
      <c r="A1087" t="s">
        <v>126</v>
      </c>
      <c r="K1087" s="88">
        <f>$D$43</f>
        <v>0.5</v>
      </c>
    </row>
    <row r="1088" spans="1:15" x14ac:dyDescent="0.3">
      <c r="A1088" t="s">
        <v>117</v>
      </c>
      <c r="K1088" s="7">
        <f>K1087*K1084</f>
        <v>64.102564102564102</v>
      </c>
    </row>
    <row r="1090" spans="1:14" x14ac:dyDescent="0.3">
      <c r="A1090" t="s">
        <v>118</v>
      </c>
      <c r="K1090" s="7">
        <f>K1085</f>
        <v>128.2051282051282</v>
      </c>
    </row>
    <row r="1091" spans="1:14" x14ac:dyDescent="0.3">
      <c r="A1091" t="s">
        <v>106</v>
      </c>
      <c r="K1091" s="7">
        <f>K1084*(1+K1087)</f>
        <v>192.30769230769232</v>
      </c>
    </row>
    <row r="1092" spans="1:14" x14ac:dyDescent="0.3">
      <c r="K1092" s="7"/>
    </row>
    <row r="1093" spans="1:14" x14ac:dyDescent="0.3">
      <c r="A1093" t="s">
        <v>136</v>
      </c>
      <c r="K1093" s="7">
        <f>K1090*K1075</f>
        <v>15968.986750832899</v>
      </c>
    </row>
    <row r="1094" spans="1:14" x14ac:dyDescent="0.3">
      <c r="A1094" t="s">
        <v>119</v>
      </c>
      <c r="K1094" s="7">
        <f>K1091*K1075</f>
        <v>23953.480126249349</v>
      </c>
    </row>
    <row r="1095" spans="1:14" x14ac:dyDescent="0.3">
      <c r="K1095" s="7"/>
    </row>
    <row r="1096" spans="1:14" x14ac:dyDescent="0.3">
      <c r="A1096" t="s">
        <v>302</v>
      </c>
      <c r="K1096" s="6">
        <f>K1088*K1075</f>
        <v>7984.4933754164495</v>
      </c>
    </row>
    <row r="1097" spans="1:14" x14ac:dyDescent="0.3">
      <c r="K1097" s="7"/>
    </row>
    <row r="1098" spans="1:14" x14ac:dyDescent="0.3">
      <c r="A1098" t="s">
        <v>127</v>
      </c>
      <c r="K1098" s="7">
        <f>K1091/3</f>
        <v>64.102564102564102</v>
      </c>
      <c r="L1098" s="7">
        <f>K1091/3</f>
        <v>64.102564102564102</v>
      </c>
      <c r="M1098" s="7">
        <f>K1091/3</f>
        <v>64.102564102564102</v>
      </c>
    </row>
    <row r="1100" spans="1:14" x14ac:dyDescent="0.3">
      <c r="A1100" t="s">
        <v>128</v>
      </c>
      <c r="K1100" s="21">
        <f>Summary!D30</f>
        <v>0.8</v>
      </c>
    </row>
    <row r="1101" spans="1:14" x14ac:dyDescent="0.3">
      <c r="A1101" t="s">
        <v>129</v>
      </c>
      <c r="K1101" s="21">
        <f>1-K1100</f>
        <v>0.19999999999999996</v>
      </c>
    </row>
    <row r="1103" spans="1:14" x14ac:dyDescent="0.3">
      <c r="A1103" s="71" t="s">
        <v>16</v>
      </c>
    </row>
    <row r="1104" spans="1:14" x14ac:dyDescent="0.3">
      <c r="A1104" t="s">
        <v>17</v>
      </c>
      <c r="J1104" s="74">
        <f>Summary!$C$59</f>
        <v>0.2</v>
      </c>
      <c r="K1104" s="74">
        <f>Summary!$C$60</f>
        <v>0.25</v>
      </c>
      <c r="L1104" s="74">
        <f>Summary!$C$61</f>
        <v>0.13</v>
      </c>
      <c r="M1104" s="75"/>
      <c r="N1104" s="75"/>
    </row>
    <row r="1105" spans="1:15" x14ac:dyDescent="0.3">
      <c r="A1105" t="s">
        <v>18</v>
      </c>
      <c r="C1105" s="75"/>
      <c r="K1105" s="74">
        <f>Summary!$C$62</f>
        <v>0.8</v>
      </c>
      <c r="L1105" s="76">
        <f>K1105</f>
        <v>0.8</v>
      </c>
      <c r="M1105" s="76">
        <f>L1105</f>
        <v>0.8</v>
      </c>
      <c r="N1105" s="75"/>
    </row>
    <row r="1106" spans="1:15" x14ac:dyDescent="0.3">
      <c r="A1106" t="s">
        <v>19</v>
      </c>
      <c r="C1106" s="75"/>
      <c r="K1106" s="75"/>
      <c r="L1106" s="74">
        <f>Summary!$C$63</f>
        <v>1</v>
      </c>
      <c r="M1106" s="74">
        <f>L1106</f>
        <v>1</v>
      </c>
      <c r="N1106" s="74">
        <f>M1106</f>
        <v>1</v>
      </c>
    </row>
    <row r="1107" spans="1:15" x14ac:dyDescent="0.3">
      <c r="A1107" t="s">
        <v>20</v>
      </c>
      <c r="N1107" s="21"/>
    </row>
    <row r="1108" spans="1:15" x14ac:dyDescent="0.3">
      <c r="N1108" s="21"/>
    </row>
    <row r="1109" spans="1:15" x14ac:dyDescent="0.3">
      <c r="A1109" s="11" t="s">
        <v>196</v>
      </c>
      <c r="K1109" s="90">
        <f>SUM(K1110:K1113)</f>
        <v>0.36</v>
      </c>
      <c r="L1109" s="90">
        <f t="shared" ref="L1109" si="150">SUM(L1110:L1113)</f>
        <v>0.36</v>
      </c>
      <c r="M1109" s="90">
        <f t="shared" ref="M1109" si="151">SUM(M1110:M1113)</f>
        <v>0.21280000000000004</v>
      </c>
      <c r="N1109" s="90">
        <f t="shared" ref="N1109" si="152">SUM(N1110:N1113)</f>
        <v>0.20864000000000002</v>
      </c>
    </row>
    <row r="1110" spans="1:15" x14ac:dyDescent="0.3">
      <c r="A1110" t="s">
        <v>17</v>
      </c>
      <c r="K1110" s="22">
        <f>(1-J1104)*K1101</f>
        <v>0.15999999999999998</v>
      </c>
      <c r="L1110" s="22">
        <f>K1110*(1-K1104)+K1111*(1-K1105)</f>
        <v>0.15999999999999998</v>
      </c>
    </row>
    <row r="1111" spans="1:15" x14ac:dyDescent="0.3">
      <c r="A1111" t="s">
        <v>18</v>
      </c>
      <c r="K1111" s="22">
        <f>J1104</f>
        <v>0.2</v>
      </c>
      <c r="L1111" s="22">
        <f>K1110*K1104</f>
        <v>3.9999999999999994E-2</v>
      </c>
      <c r="M1111" s="22">
        <f>L1110*L1104</f>
        <v>2.0799999999999999E-2</v>
      </c>
      <c r="O1111" s="22"/>
    </row>
    <row r="1112" spans="1:15" x14ac:dyDescent="0.3">
      <c r="A1112" t="s">
        <v>19</v>
      </c>
      <c r="L1112" s="22">
        <f>K1111*K1105</f>
        <v>0.16000000000000003</v>
      </c>
      <c r="M1112" s="22">
        <f>L1111*L1105+L1112</f>
        <v>0.19200000000000003</v>
      </c>
      <c r="N1112" s="22">
        <f>M1111*M1105+M1112</f>
        <v>0.20864000000000002</v>
      </c>
    </row>
    <row r="1113" spans="1:15" x14ac:dyDescent="0.3">
      <c r="L1113" s="22"/>
      <c r="M1113" s="22"/>
    </row>
    <row r="1114" spans="1:15" x14ac:dyDescent="0.3">
      <c r="A1114" t="s">
        <v>195</v>
      </c>
      <c r="K1114" s="22">
        <f>(1-J1104)*K1100</f>
        <v>0.64000000000000012</v>
      </c>
      <c r="M1114" s="29">
        <f>L1110*(1-L1104)+L1111*(1-L1105)+L1112*(1-L1106)</f>
        <v>0.1472</v>
      </c>
      <c r="N1114" s="29">
        <f>M1111*(1-M1105)+M1114</f>
        <v>0.15135999999999999</v>
      </c>
      <c r="O1114" s="22"/>
    </row>
    <row r="1115" spans="1:15" x14ac:dyDescent="0.3">
      <c r="K1115" s="22"/>
      <c r="M1115" s="29"/>
      <c r="N1115" s="29"/>
      <c r="O1115" s="22"/>
    </row>
    <row r="1116" spans="1:15" x14ac:dyDescent="0.3">
      <c r="K1116" s="25" t="s">
        <v>32</v>
      </c>
    </row>
    <row r="1117" spans="1:15" x14ac:dyDescent="0.3">
      <c r="A1117" s="11" t="s">
        <v>124</v>
      </c>
      <c r="K1117" s="8">
        <f>SUM(K1118:K1121)</f>
        <v>124.55809665649662</v>
      </c>
      <c r="L1117" s="8">
        <f t="shared" ref="L1117:M1117" si="153">SUM(L1118:L1121)</f>
        <v>44.84091479633878</v>
      </c>
      <c r="M1117" s="8">
        <f t="shared" si="153"/>
        <v>26.50596296850248</v>
      </c>
    </row>
    <row r="1118" spans="1:15" x14ac:dyDescent="0.3">
      <c r="A1118" s="23" t="s">
        <v>120</v>
      </c>
      <c r="K1118" s="7">
        <f>K1075*(1-J1104)</f>
        <v>99.646477325197296</v>
      </c>
      <c r="L1118" s="82">
        <f>K1156*(1-K1104)+K1119*(1-K1105)</f>
        <v>19.929295465039456</v>
      </c>
    </row>
    <row r="1119" spans="1:15" x14ac:dyDescent="0.3">
      <c r="A1119" s="24" t="s">
        <v>122</v>
      </c>
      <c r="K1119" s="7">
        <f>K1075*J1104</f>
        <v>24.911619331299324</v>
      </c>
      <c r="L1119" s="7">
        <f>K1156*K1104</f>
        <v>4.9823238662598639</v>
      </c>
      <c r="M1119" s="7">
        <f>L1118*L1104</f>
        <v>2.5908084104551294</v>
      </c>
      <c r="N1119" s="7">
        <f>M1118*M1104</f>
        <v>0</v>
      </c>
    </row>
    <row r="1120" spans="1:15" x14ac:dyDescent="0.3">
      <c r="A1120" s="23" t="s">
        <v>121</v>
      </c>
      <c r="L1120" s="7">
        <f>K1119*K1105</f>
        <v>19.929295465039459</v>
      </c>
      <c r="M1120" s="7">
        <f>L1119*L1105</f>
        <v>3.9858590930078912</v>
      </c>
      <c r="N1120" s="7">
        <f>M1119*M1105</f>
        <v>2.0726467283641035</v>
      </c>
    </row>
    <row r="1121" spans="1:15" x14ac:dyDescent="0.3">
      <c r="A1121" s="23" t="s">
        <v>138</v>
      </c>
      <c r="L1121" s="7"/>
      <c r="M1121" s="7">
        <f>L1120*L1106</f>
        <v>19.929295465039459</v>
      </c>
      <c r="N1121" s="7">
        <f>M1120*M1106+M1121</f>
        <v>23.915154558047352</v>
      </c>
      <c r="O1121" s="7">
        <f>N1120*N1106+N1121</f>
        <v>25.987801286411454</v>
      </c>
    </row>
    <row r="1122" spans="1:15" x14ac:dyDescent="0.3">
      <c r="A1122" s="23"/>
      <c r="L1122" s="7"/>
    </row>
    <row r="1123" spans="1:15" x14ac:dyDescent="0.3">
      <c r="A1123" s="23" t="s">
        <v>137</v>
      </c>
      <c r="L1123" s="7"/>
      <c r="M1123" s="7">
        <f>L1118*(1-L1104)+L1119*(1-L1105)+L1120*(1-L1106)</f>
        <v>18.334951827836299</v>
      </c>
      <c r="N1123" s="7">
        <f>M1119*(1-M1105)+M1123</f>
        <v>18.853113509927326</v>
      </c>
      <c r="O1123" s="7">
        <f>N1120*(1-N1106)+N1123</f>
        <v>18.853113509927326</v>
      </c>
    </row>
    <row r="1124" spans="1:15" x14ac:dyDescent="0.3">
      <c r="A1124" s="23"/>
      <c r="L1124" s="7"/>
    </row>
    <row r="1125" spans="1:15" x14ac:dyDescent="0.3">
      <c r="A1125" s="11" t="s">
        <v>139</v>
      </c>
      <c r="K1125" s="8">
        <f>SUM(K1126:K1127)</f>
        <v>99.646477325197296</v>
      </c>
      <c r="L1125" s="8">
        <f>SUM(L1126:L1127)</f>
        <v>19.929295465039456</v>
      </c>
      <c r="M1125" s="8">
        <f>SUM(M1126:M1127)</f>
        <v>18.334951827836299</v>
      </c>
      <c r="N1125" s="8">
        <f>SUM(N1126:N1127)</f>
        <v>0.51816168209102575</v>
      </c>
    </row>
    <row r="1126" spans="1:15" x14ac:dyDescent="0.3">
      <c r="A1126" s="23" t="s">
        <v>120</v>
      </c>
      <c r="K1126" s="7">
        <f>K1118</f>
        <v>99.646477325197296</v>
      </c>
      <c r="L1126" s="7">
        <f>K1156*(1-K1104)</f>
        <v>14.946971598779591</v>
      </c>
      <c r="M1126" s="7">
        <f>L1118*(1-L1104)</f>
        <v>17.338487054584327</v>
      </c>
    </row>
    <row r="1127" spans="1:15" x14ac:dyDescent="0.3">
      <c r="A1127" s="24" t="s">
        <v>122</v>
      </c>
      <c r="L1127" s="7">
        <f>K1119*(1-K1105)</f>
        <v>4.9823238662598639</v>
      </c>
      <c r="M1127" s="7">
        <f>L1119*(1-L1105)</f>
        <v>0.99646477325197258</v>
      </c>
      <c r="N1127" s="7">
        <f>M1119*(1-M1105)</f>
        <v>0.51816168209102575</v>
      </c>
    </row>
    <row r="1128" spans="1:15" x14ac:dyDescent="0.3">
      <c r="A1128" s="23"/>
      <c r="L1128" s="7"/>
      <c r="M1128" s="7">
        <f>L1120*(1-L1106)</f>
        <v>0</v>
      </c>
      <c r="N1128" s="7">
        <f>M1120*(1-M1106)</f>
        <v>0</v>
      </c>
    </row>
    <row r="1129" spans="1:15" x14ac:dyDescent="0.3">
      <c r="A1129" s="81" t="s">
        <v>123</v>
      </c>
    </row>
    <row r="1130" spans="1:15" x14ac:dyDescent="0.3">
      <c r="A1130" s="23" t="s">
        <v>120</v>
      </c>
      <c r="K1130" s="7">
        <f>K1091-K1098</f>
        <v>128.20512820512823</v>
      </c>
      <c r="L1130" s="7">
        <f>K1130-L1098</f>
        <v>64.102564102564131</v>
      </c>
      <c r="M1130" s="7">
        <f>L1130-M1098</f>
        <v>0</v>
      </c>
    </row>
    <row r="1131" spans="1:15" x14ac:dyDescent="0.3">
      <c r="A1131" s="24" t="s">
        <v>122</v>
      </c>
      <c r="K1131" s="7">
        <f>K1091</f>
        <v>192.30769230769232</v>
      </c>
      <c r="L1131" s="7">
        <f>K1130</f>
        <v>128.20512820512823</v>
      </c>
      <c r="M1131" s="7">
        <f>L1130</f>
        <v>64.102564102564131</v>
      </c>
    </row>
    <row r="1132" spans="1:15" x14ac:dyDescent="0.3">
      <c r="A1132" s="23" t="s">
        <v>121</v>
      </c>
      <c r="L1132" s="7">
        <f>K1131</f>
        <v>192.30769230769232</v>
      </c>
      <c r="M1132" s="7">
        <f>L1131</f>
        <v>128.20512820512823</v>
      </c>
      <c r="N1132" s="7">
        <f>M1131</f>
        <v>64.102564102564131</v>
      </c>
    </row>
    <row r="1133" spans="1:15" x14ac:dyDescent="0.3">
      <c r="A1133" s="23"/>
      <c r="M1133" s="7"/>
      <c r="N1133" s="7"/>
    </row>
    <row r="1134" spans="1:15" x14ac:dyDescent="0.3">
      <c r="A1134" s="23"/>
      <c r="M1134" s="7"/>
      <c r="N1134" s="7"/>
    </row>
    <row r="1135" spans="1:15" x14ac:dyDescent="0.3">
      <c r="A1135" s="11" t="s">
        <v>130</v>
      </c>
      <c r="K1135" s="8">
        <f>SUM(K1136:K1139)</f>
        <v>17565.885425916193</v>
      </c>
      <c r="L1135" s="8">
        <f t="shared" ref="L1135" si="154">SUM(L1136:L1139)</f>
        <v>5748.8352302998446</v>
      </c>
      <c r="M1135" s="8">
        <f t="shared" ref="M1135" si="155">SUM(M1136:M1139)</f>
        <v>4509.6418584352114</v>
      </c>
      <c r="N1135" s="8">
        <f t="shared" ref="N1135" si="156">SUM(N1136:N1139)</f>
        <v>4476.4263659934795</v>
      </c>
    </row>
    <row r="1136" spans="1:15" x14ac:dyDescent="0.3">
      <c r="A1136" s="23" t="s">
        <v>120</v>
      </c>
      <c r="K1136" s="7">
        <f>K1130*K1118</f>
        <v>12775.189400666322</v>
      </c>
      <c r="L1136" s="7">
        <f t="shared" ref="L1136:M1136" si="157">L1130*L1118</f>
        <v>1277.5189400666322</v>
      </c>
      <c r="M1136" s="7">
        <f t="shared" si="157"/>
        <v>0</v>
      </c>
    </row>
    <row r="1137" spans="1:15" x14ac:dyDescent="0.3">
      <c r="A1137" s="24" t="s">
        <v>122</v>
      </c>
      <c r="K1137" s="7">
        <f>K1131*K1119</f>
        <v>4790.6960252498702</v>
      </c>
      <c r="L1137" s="7">
        <f t="shared" ref="L1137:M1137" si="158">L1131*L1119</f>
        <v>638.75947003331601</v>
      </c>
      <c r="M1137" s="7">
        <f t="shared" si="158"/>
        <v>166.07746220866221</v>
      </c>
      <c r="N1137" s="7">
        <f>N1131*N1119</f>
        <v>0</v>
      </c>
    </row>
    <row r="1138" spans="1:15" x14ac:dyDescent="0.3">
      <c r="A1138" s="23" t="s">
        <v>121</v>
      </c>
      <c r="L1138" s="7">
        <f>L1132*L1120</f>
        <v>3832.5568201998963</v>
      </c>
      <c r="M1138" s="7">
        <f>M1132*M1120</f>
        <v>511.00757602665283</v>
      </c>
      <c r="N1138" s="7">
        <f>N1132*N1120</f>
        <v>132.86196976692978</v>
      </c>
    </row>
    <row r="1139" spans="1:15" x14ac:dyDescent="0.3">
      <c r="A1139" s="23" t="s">
        <v>299</v>
      </c>
      <c r="M1139" s="8">
        <f>L1138</f>
        <v>3832.5568201998963</v>
      </c>
      <c r="N1139" s="8">
        <f>M1139+M1138</f>
        <v>4343.5643962265494</v>
      </c>
      <c r="O1139" s="8">
        <f>N1139+N1138</f>
        <v>4476.4263659934795</v>
      </c>
    </row>
    <row r="1140" spans="1:15" x14ac:dyDescent="0.3">
      <c r="A1140" s="23"/>
    </row>
    <row r="1141" spans="1:15" x14ac:dyDescent="0.3">
      <c r="A1141" s="105" t="s">
        <v>300</v>
      </c>
      <c r="K1141" s="8">
        <f>O1139</f>
        <v>4476.4263659934795</v>
      </c>
    </row>
    <row r="1142" spans="1:15" x14ac:dyDescent="0.3">
      <c r="A1142" s="23"/>
    </row>
    <row r="1143" spans="1:15" x14ac:dyDescent="0.3">
      <c r="A1143" s="11" t="s">
        <v>140</v>
      </c>
      <c r="K1143" s="8">
        <f>SUM(K1145:K1148)</f>
        <v>6387.5947003331603</v>
      </c>
      <c r="L1143" s="8">
        <f>SUM(L1145:L1148)</f>
        <v>1596.8986750832896</v>
      </c>
      <c r="M1143" s="8">
        <f t="shared" ref="M1143:N1143" si="159">SUM(M1145:M1148)</f>
        <v>1239.1933718646328</v>
      </c>
      <c r="N1143" s="8">
        <f t="shared" si="159"/>
        <v>33.215492441732422</v>
      </c>
    </row>
    <row r="1144" spans="1:15" x14ac:dyDescent="0.3">
      <c r="A1144" s="11"/>
      <c r="K1144" s="8"/>
      <c r="L1144" s="8"/>
      <c r="M1144" s="8"/>
      <c r="N1144" s="8"/>
    </row>
    <row r="1145" spans="1:15" x14ac:dyDescent="0.3">
      <c r="A1145" t="s">
        <v>131</v>
      </c>
      <c r="C1145" s="23" t="s">
        <v>120</v>
      </c>
      <c r="K1145" s="6">
        <f>K1154*K1098</f>
        <v>5110.0757602665281</v>
      </c>
    </row>
    <row r="1146" spans="1:15" x14ac:dyDescent="0.3">
      <c r="C1146" s="23"/>
      <c r="K1146" s="6"/>
    </row>
    <row r="1147" spans="1:15" x14ac:dyDescent="0.3">
      <c r="A1147" t="s">
        <v>200</v>
      </c>
      <c r="C1147" s="23" t="s">
        <v>120</v>
      </c>
      <c r="K1147" s="6">
        <f>K1156*K1098</f>
        <v>1277.5189400666318</v>
      </c>
      <c r="L1147" s="27">
        <f>L1126*L1098</f>
        <v>958.13920504997373</v>
      </c>
      <c r="M1147" s="27">
        <f t="shared" ref="M1147:N1147" si="160">M1126*M1098</f>
        <v>1111.4414778579696</v>
      </c>
      <c r="N1147" s="27">
        <f t="shared" si="160"/>
        <v>0</v>
      </c>
      <c r="O1147" s="27"/>
    </row>
    <row r="1148" spans="1:15" x14ac:dyDescent="0.3">
      <c r="A1148" t="s">
        <v>200</v>
      </c>
      <c r="C1148" s="24" t="s">
        <v>122</v>
      </c>
      <c r="K1148" s="6"/>
      <c r="L1148" s="27">
        <f>L1127*(K1098+L1098)</f>
        <v>638.75947003331589</v>
      </c>
      <c r="M1148" s="27">
        <f t="shared" ref="M1148" si="161">M1127*(L1098+M1098)</f>
        <v>127.75189400666315</v>
      </c>
      <c r="N1148" s="27">
        <f t="shared" ref="N1148" si="162">N1127*(M1098+N1098)</f>
        <v>33.215492441732422</v>
      </c>
      <c r="O1148" s="27"/>
    </row>
    <row r="1150" spans="1:15" x14ac:dyDescent="0.3">
      <c r="A1150" s="11" t="s">
        <v>283</v>
      </c>
      <c r="K1150" s="8">
        <f>SUM(K1147:N1148)</f>
        <v>4146.8264794562865</v>
      </c>
    </row>
    <row r="1152" spans="1:15" x14ac:dyDescent="0.3">
      <c r="A1152" t="s">
        <v>202</v>
      </c>
      <c r="K1152" s="28">
        <f>K1154*(L1098+M1098)</f>
        <v>10220.151520533056</v>
      </c>
    </row>
    <row r="1154" spans="1:21" x14ac:dyDescent="0.3">
      <c r="A1154" s="72" t="s">
        <v>132</v>
      </c>
      <c r="K1154" s="73">
        <f>K1118*K1100</f>
        <v>79.717181860157837</v>
      </c>
    </row>
    <row r="1156" spans="1:21" x14ac:dyDescent="0.3">
      <c r="A1156" t="s">
        <v>201</v>
      </c>
      <c r="K1156" s="7">
        <f>K1118*K1101</f>
        <v>19.929295465039456</v>
      </c>
    </row>
    <row r="1159" spans="1:21" x14ac:dyDescent="0.3">
      <c r="A1159" s="152" t="s">
        <v>246</v>
      </c>
      <c r="B1159" s="153"/>
      <c r="C1159" s="153"/>
      <c r="D1159" s="153"/>
      <c r="E1159" s="153"/>
      <c r="F1159" s="153"/>
      <c r="G1159" s="153"/>
      <c r="H1159" s="153"/>
      <c r="I1159" s="153"/>
      <c r="J1159" s="153"/>
      <c r="K1159" s="153"/>
      <c r="L1159" s="153"/>
      <c r="M1159" s="153"/>
      <c r="N1159" s="153"/>
      <c r="O1159" s="153"/>
      <c r="P1159" s="153"/>
      <c r="Q1159" s="153"/>
      <c r="R1159" s="153"/>
      <c r="S1159" s="153"/>
      <c r="T1159" s="153"/>
      <c r="U1159" s="154"/>
    </row>
    <row r="1161" spans="1:21" x14ac:dyDescent="0.3">
      <c r="A1161" t="s">
        <v>197</v>
      </c>
      <c r="K1161" s="83">
        <f>J632</f>
        <v>124.55809665649662</v>
      </c>
    </row>
    <row r="1162" spans="1:21" x14ac:dyDescent="0.3">
      <c r="A1162" t="s">
        <v>206</v>
      </c>
      <c r="K1162" s="7">
        <f>K1164*K1161</f>
        <v>124.55809665649662</v>
      </c>
      <c r="N1162" s="77"/>
    </row>
    <row r="1163" spans="1:21" x14ac:dyDescent="0.3">
      <c r="K1163" s="7"/>
      <c r="N1163" s="77"/>
    </row>
    <row r="1164" spans="1:21" x14ac:dyDescent="0.3">
      <c r="A1164" s="11" t="s">
        <v>134</v>
      </c>
      <c r="B1164" s="11"/>
      <c r="C1164" s="11"/>
      <c r="K1164" s="104">
        <f>$E$120</f>
        <v>1</v>
      </c>
      <c r="L1164" s="7">
        <f>L1165*L1166*L1167*L1168</f>
        <v>0</v>
      </c>
      <c r="M1164" s="11"/>
      <c r="O1164" s="11"/>
    </row>
    <row r="1165" spans="1:21" x14ac:dyDescent="0.3">
      <c r="A1165" t="s">
        <v>35</v>
      </c>
      <c r="K1165" s="84">
        <f>K592</f>
        <v>0</v>
      </c>
    </row>
    <row r="1166" spans="1:21" x14ac:dyDescent="0.3">
      <c r="A1166" t="s">
        <v>36</v>
      </c>
      <c r="K1166" s="86">
        <f>0.95</f>
        <v>0.95</v>
      </c>
    </row>
    <row r="1167" spans="1:21" x14ac:dyDescent="0.3">
      <c r="A1167" t="s">
        <v>142</v>
      </c>
      <c r="K1167" s="86">
        <v>0.99</v>
      </c>
    </row>
    <row r="1168" spans="1:21" x14ac:dyDescent="0.3">
      <c r="A1168" t="s">
        <v>37</v>
      </c>
      <c r="K1168" s="86">
        <v>0.98</v>
      </c>
    </row>
    <row r="1171" spans="1:11" x14ac:dyDescent="0.3">
      <c r="A1171" t="s">
        <v>125</v>
      </c>
      <c r="K1171" s="83">
        <f>K1172+J562</f>
        <v>128.2051282051282</v>
      </c>
    </row>
    <row r="1172" spans="1:11" x14ac:dyDescent="0.3">
      <c r="A1172" t="s">
        <v>135</v>
      </c>
      <c r="K1172" s="82">
        <f>$D$46</f>
        <v>32.051282051282051</v>
      </c>
    </row>
    <row r="1174" spans="1:11" x14ac:dyDescent="0.3">
      <c r="A1174" t="s">
        <v>126</v>
      </c>
      <c r="K1174" s="88">
        <f>$D$43</f>
        <v>0.5</v>
      </c>
    </row>
    <row r="1175" spans="1:11" x14ac:dyDescent="0.3">
      <c r="A1175" t="s">
        <v>117</v>
      </c>
      <c r="K1175" s="7">
        <f>K1174*K1171</f>
        <v>64.102564102564102</v>
      </c>
    </row>
    <row r="1177" spans="1:11" x14ac:dyDescent="0.3">
      <c r="A1177" t="s">
        <v>118</v>
      </c>
      <c r="K1177" s="7">
        <f>K1172</f>
        <v>32.051282051282051</v>
      </c>
    </row>
    <row r="1178" spans="1:11" x14ac:dyDescent="0.3">
      <c r="A1178" t="s">
        <v>106</v>
      </c>
      <c r="K1178" s="7">
        <f>K1171*(1+K1174)</f>
        <v>192.30769230769232</v>
      </c>
    </row>
    <row r="1179" spans="1:11" x14ac:dyDescent="0.3">
      <c r="K1179" s="7"/>
    </row>
    <row r="1180" spans="1:11" x14ac:dyDescent="0.3">
      <c r="A1180" t="s">
        <v>136</v>
      </c>
      <c r="K1180" s="7">
        <f>K1177*K1162</f>
        <v>3992.2466877082247</v>
      </c>
    </row>
    <row r="1181" spans="1:11" x14ac:dyDescent="0.3">
      <c r="A1181" t="s">
        <v>119</v>
      </c>
      <c r="K1181" s="7">
        <f>K1178*K1162</f>
        <v>23953.480126249349</v>
      </c>
    </row>
    <row r="1182" spans="1:11" x14ac:dyDescent="0.3">
      <c r="K1182" s="7"/>
    </row>
    <row r="1183" spans="1:11" x14ac:dyDescent="0.3">
      <c r="A1183" t="s">
        <v>302</v>
      </c>
      <c r="K1183" s="6">
        <f>K1175*K1162</f>
        <v>7984.4933754164495</v>
      </c>
    </row>
    <row r="1184" spans="1:11" x14ac:dyDescent="0.3">
      <c r="K1184" s="7"/>
    </row>
    <row r="1185" spans="1:15" x14ac:dyDescent="0.3">
      <c r="A1185" t="s">
        <v>127</v>
      </c>
      <c r="K1185" s="7">
        <f>K1178/3</f>
        <v>64.102564102564102</v>
      </c>
      <c r="L1185" s="7">
        <f>K1178/3</f>
        <v>64.102564102564102</v>
      </c>
      <c r="M1185" s="7">
        <f>K1178/3</f>
        <v>64.102564102564102</v>
      </c>
    </row>
    <row r="1187" spans="1:15" x14ac:dyDescent="0.3">
      <c r="A1187" t="s">
        <v>128</v>
      </c>
      <c r="K1187" s="21">
        <f>Summary!B30</f>
        <v>0.8</v>
      </c>
    </row>
    <row r="1188" spans="1:15" x14ac:dyDescent="0.3">
      <c r="A1188" t="s">
        <v>129</v>
      </c>
      <c r="K1188" s="21">
        <f>1-K1187</f>
        <v>0.19999999999999996</v>
      </c>
    </row>
    <row r="1190" spans="1:15" x14ac:dyDescent="0.3">
      <c r="A1190" s="71" t="s">
        <v>16</v>
      </c>
    </row>
    <row r="1191" spans="1:15" x14ac:dyDescent="0.3">
      <c r="A1191" t="s">
        <v>17</v>
      </c>
      <c r="J1191" s="74">
        <f>Summary!$B$59</f>
        <v>0.2</v>
      </c>
      <c r="K1191" s="74">
        <f>Summary!$B$60</f>
        <v>0.25</v>
      </c>
      <c r="L1191" s="74">
        <f>Summary!$B$61</f>
        <v>0.13</v>
      </c>
      <c r="M1191" s="75"/>
      <c r="N1191" s="75"/>
    </row>
    <row r="1192" spans="1:15" x14ac:dyDescent="0.3">
      <c r="A1192" t="s">
        <v>18</v>
      </c>
      <c r="C1192" s="75"/>
      <c r="K1192" s="74">
        <f>Summary!$B$62</f>
        <v>0.8</v>
      </c>
      <c r="L1192" s="76">
        <f>K1192</f>
        <v>0.8</v>
      </c>
      <c r="M1192" s="76">
        <f>L1192</f>
        <v>0.8</v>
      </c>
      <c r="N1192" s="75"/>
    </row>
    <row r="1193" spans="1:15" x14ac:dyDescent="0.3">
      <c r="A1193" t="s">
        <v>19</v>
      </c>
      <c r="C1193" s="75"/>
      <c r="K1193" s="75"/>
      <c r="L1193" s="74">
        <f>Summary!$B$63</f>
        <v>1</v>
      </c>
      <c r="M1193" s="74">
        <f>L1193</f>
        <v>1</v>
      </c>
      <c r="N1193" s="74">
        <f>M1193</f>
        <v>1</v>
      </c>
    </row>
    <row r="1194" spans="1:15" x14ac:dyDescent="0.3">
      <c r="A1194" t="s">
        <v>20</v>
      </c>
      <c r="N1194" s="21"/>
    </row>
    <row r="1195" spans="1:15" x14ac:dyDescent="0.3">
      <c r="N1195" s="21"/>
    </row>
    <row r="1196" spans="1:15" x14ac:dyDescent="0.3">
      <c r="A1196" s="11" t="s">
        <v>196</v>
      </c>
      <c r="K1196" s="90">
        <f>SUM(K1197:K1200)</f>
        <v>0.36</v>
      </c>
      <c r="L1196" s="90">
        <f t="shared" ref="L1196" si="163">SUM(L1197:L1200)</f>
        <v>0.36</v>
      </c>
      <c r="M1196" s="90">
        <f t="shared" ref="M1196" si="164">SUM(M1197:M1200)</f>
        <v>0.21280000000000004</v>
      </c>
      <c r="N1196" s="90">
        <f t="shared" ref="N1196" si="165">SUM(N1197:N1200)</f>
        <v>0.20864000000000002</v>
      </c>
    </row>
    <row r="1197" spans="1:15" x14ac:dyDescent="0.3">
      <c r="A1197" t="s">
        <v>17</v>
      </c>
      <c r="K1197" s="22">
        <f>(1-J1191)*K1188</f>
        <v>0.15999999999999998</v>
      </c>
      <c r="L1197" s="22">
        <f>K1197*(1-K1191)+K1198*(1-K1192)</f>
        <v>0.15999999999999998</v>
      </c>
    </row>
    <row r="1198" spans="1:15" x14ac:dyDescent="0.3">
      <c r="A1198" t="s">
        <v>18</v>
      </c>
      <c r="K1198" s="22">
        <f>J1191</f>
        <v>0.2</v>
      </c>
      <c r="L1198" s="22">
        <f>K1197*K1191</f>
        <v>3.9999999999999994E-2</v>
      </c>
      <c r="M1198" s="22">
        <f>L1197*L1191</f>
        <v>2.0799999999999999E-2</v>
      </c>
      <c r="O1198" s="22"/>
    </row>
    <row r="1199" spans="1:15" x14ac:dyDescent="0.3">
      <c r="A1199" t="s">
        <v>19</v>
      </c>
      <c r="L1199" s="22">
        <f>K1198*K1192</f>
        <v>0.16000000000000003</v>
      </c>
      <c r="M1199" s="22">
        <f>L1198*L1192+L1199</f>
        <v>0.19200000000000003</v>
      </c>
      <c r="N1199" s="22">
        <f>M1198*M1192+M1199</f>
        <v>0.20864000000000002</v>
      </c>
    </row>
    <row r="1200" spans="1:15" x14ac:dyDescent="0.3">
      <c r="L1200" s="22"/>
      <c r="M1200" s="22"/>
    </row>
    <row r="1201" spans="1:15" x14ac:dyDescent="0.3">
      <c r="A1201" t="s">
        <v>195</v>
      </c>
      <c r="K1201" s="22">
        <f>(1-J1191)*K1187</f>
        <v>0.64000000000000012</v>
      </c>
      <c r="M1201" s="29">
        <f>L1197*(1-L1191)+L1198*(1-L1192)+L1199*(1-L1193)</f>
        <v>0.1472</v>
      </c>
      <c r="N1201" s="29">
        <f>M1198*(1-M1192)+M1201</f>
        <v>0.15135999999999999</v>
      </c>
      <c r="O1201" s="22"/>
    </row>
    <row r="1202" spans="1:15" x14ac:dyDescent="0.3">
      <c r="K1202" s="22"/>
      <c r="M1202" s="29"/>
      <c r="N1202" s="29"/>
      <c r="O1202" s="22"/>
    </row>
    <row r="1203" spans="1:15" x14ac:dyDescent="0.3">
      <c r="K1203" s="25" t="s">
        <v>32</v>
      </c>
    </row>
    <row r="1204" spans="1:15" x14ac:dyDescent="0.3">
      <c r="A1204" s="11" t="s">
        <v>124</v>
      </c>
      <c r="K1204" s="8">
        <f>SUM(K1205:K1208)</f>
        <v>124.55809665649662</v>
      </c>
      <c r="L1204" s="8">
        <f t="shared" ref="L1204:M1204" si="166">SUM(L1205:L1208)</f>
        <v>44.84091479633878</v>
      </c>
      <c r="M1204" s="8">
        <f t="shared" si="166"/>
        <v>26.50596296850248</v>
      </c>
    </row>
    <row r="1205" spans="1:15" x14ac:dyDescent="0.3">
      <c r="A1205" s="23" t="s">
        <v>120</v>
      </c>
      <c r="K1205" s="7">
        <f>K1162*(1-J1191)</f>
        <v>99.646477325197296</v>
      </c>
      <c r="L1205" s="82">
        <f>K1243*(1-K1191)+K1206*(1-K1192)</f>
        <v>19.929295465039456</v>
      </c>
    </row>
    <row r="1206" spans="1:15" x14ac:dyDescent="0.3">
      <c r="A1206" s="24" t="s">
        <v>122</v>
      </c>
      <c r="K1206" s="7">
        <f>K1162*J1191</f>
        <v>24.911619331299324</v>
      </c>
      <c r="L1206" s="7">
        <f>K1243*K1191</f>
        <v>4.9823238662598639</v>
      </c>
      <c r="M1206" s="7">
        <f>L1205*L1191</f>
        <v>2.5908084104551294</v>
      </c>
      <c r="N1206" s="7">
        <f>M1205*M1191</f>
        <v>0</v>
      </c>
    </row>
    <row r="1207" spans="1:15" x14ac:dyDescent="0.3">
      <c r="A1207" s="23" t="s">
        <v>121</v>
      </c>
      <c r="L1207" s="7">
        <f>K1206*K1192</f>
        <v>19.929295465039459</v>
      </c>
      <c r="M1207" s="7">
        <f>L1206*L1192</f>
        <v>3.9858590930078912</v>
      </c>
      <c r="N1207" s="7">
        <f>M1206*M1192</f>
        <v>2.0726467283641035</v>
      </c>
    </row>
    <row r="1208" spans="1:15" x14ac:dyDescent="0.3">
      <c r="A1208" s="23" t="s">
        <v>138</v>
      </c>
      <c r="L1208" s="7"/>
      <c r="M1208" s="7">
        <f>L1207*L1193</f>
        <v>19.929295465039459</v>
      </c>
      <c r="N1208" s="7">
        <f>M1207*M1193+M1208</f>
        <v>23.915154558047352</v>
      </c>
      <c r="O1208" s="7">
        <f>N1207*N1193+N1208</f>
        <v>25.987801286411454</v>
      </c>
    </row>
    <row r="1209" spans="1:15" x14ac:dyDescent="0.3">
      <c r="A1209" s="23"/>
      <c r="L1209" s="7"/>
    </row>
    <row r="1210" spans="1:15" x14ac:dyDescent="0.3">
      <c r="A1210" s="23" t="s">
        <v>137</v>
      </c>
      <c r="L1210" s="7"/>
      <c r="M1210" s="7">
        <f>L1205*(1-L1191)+L1206*(1-L1192)+L1207*(1-L1193)</f>
        <v>18.334951827836299</v>
      </c>
      <c r="N1210" s="7">
        <f>M1206*(1-M1192)+M1210</f>
        <v>18.853113509927326</v>
      </c>
      <c r="O1210" s="7">
        <f>N1207*(1-N1193)+N1210</f>
        <v>18.853113509927326</v>
      </c>
    </row>
    <row r="1211" spans="1:15" x14ac:dyDescent="0.3">
      <c r="A1211" s="23"/>
      <c r="L1211" s="7"/>
    </row>
    <row r="1212" spans="1:15" x14ac:dyDescent="0.3">
      <c r="A1212" s="11" t="s">
        <v>139</v>
      </c>
      <c r="K1212" s="8">
        <f>SUM(K1213:K1214)</f>
        <v>99.646477325197296</v>
      </c>
      <c r="L1212" s="8">
        <f>SUM(L1213:L1214)</f>
        <v>19.929295465039456</v>
      </c>
      <c r="M1212" s="8">
        <f>SUM(M1213:M1214)</f>
        <v>18.334951827836299</v>
      </c>
      <c r="N1212" s="8">
        <f>SUM(N1213:N1214)</f>
        <v>0.51816168209102575</v>
      </c>
    </row>
    <row r="1213" spans="1:15" x14ac:dyDescent="0.3">
      <c r="A1213" s="23" t="s">
        <v>120</v>
      </c>
      <c r="K1213" s="7">
        <f>K1205</f>
        <v>99.646477325197296</v>
      </c>
      <c r="L1213" s="7">
        <f>K1243*(1-K1191)</f>
        <v>14.946971598779591</v>
      </c>
      <c r="M1213" s="7">
        <f>L1205*(1-L1191)</f>
        <v>17.338487054584327</v>
      </c>
    </row>
    <row r="1214" spans="1:15" x14ac:dyDescent="0.3">
      <c r="A1214" s="24" t="s">
        <v>122</v>
      </c>
      <c r="L1214" s="7">
        <f>K1206*(1-K1192)</f>
        <v>4.9823238662598639</v>
      </c>
      <c r="M1214" s="7">
        <f>L1206*(1-L1192)</f>
        <v>0.99646477325197258</v>
      </c>
      <c r="N1214" s="7">
        <f>M1206*(1-M1192)</f>
        <v>0.51816168209102575</v>
      </c>
    </row>
    <row r="1215" spans="1:15" x14ac:dyDescent="0.3">
      <c r="A1215" s="23"/>
      <c r="L1215" s="7"/>
      <c r="M1215" s="7">
        <f>L1207*(1-L1193)</f>
        <v>0</v>
      </c>
      <c r="N1215" s="7">
        <f>M1207*(1-M1193)</f>
        <v>0</v>
      </c>
    </row>
    <row r="1216" spans="1:15" x14ac:dyDescent="0.3">
      <c r="A1216" s="81" t="s">
        <v>123</v>
      </c>
    </row>
    <row r="1217" spans="1:15" x14ac:dyDescent="0.3">
      <c r="A1217" s="23" t="s">
        <v>120</v>
      </c>
      <c r="K1217" s="7">
        <f>K1178-K1185</f>
        <v>128.20512820512823</v>
      </c>
      <c r="L1217" s="7">
        <f>K1217-L1185</f>
        <v>64.102564102564131</v>
      </c>
      <c r="M1217" s="7">
        <f>L1217-M1185</f>
        <v>0</v>
      </c>
    </row>
    <row r="1218" spans="1:15" x14ac:dyDescent="0.3">
      <c r="A1218" s="24" t="s">
        <v>122</v>
      </c>
      <c r="K1218" s="7">
        <f>K1178</f>
        <v>192.30769230769232</v>
      </c>
      <c r="L1218" s="7">
        <f>K1217</f>
        <v>128.20512820512823</v>
      </c>
      <c r="M1218" s="7">
        <f>L1217</f>
        <v>64.102564102564131</v>
      </c>
    </row>
    <row r="1219" spans="1:15" x14ac:dyDescent="0.3">
      <c r="A1219" s="23" t="s">
        <v>121</v>
      </c>
      <c r="L1219" s="7">
        <f>K1218</f>
        <v>192.30769230769232</v>
      </c>
      <c r="M1219" s="7">
        <f>L1218</f>
        <v>128.20512820512823</v>
      </c>
      <c r="N1219" s="7">
        <f>M1218</f>
        <v>64.102564102564131</v>
      </c>
    </row>
    <row r="1220" spans="1:15" x14ac:dyDescent="0.3">
      <c r="A1220" s="23"/>
      <c r="M1220" s="7"/>
      <c r="N1220" s="7"/>
    </row>
    <row r="1221" spans="1:15" x14ac:dyDescent="0.3">
      <c r="A1221" s="23"/>
      <c r="M1221" s="7"/>
      <c r="N1221" s="7"/>
    </row>
    <row r="1222" spans="1:15" x14ac:dyDescent="0.3">
      <c r="A1222" s="11" t="s">
        <v>130</v>
      </c>
      <c r="K1222" s="8">
        <f>SUM(K1223:K1226)</f>
        <v>17565.885425916193</v>
      </c>
      <c r="L1222" s="8">
        <f t="shared" ref="L1222" si="167">SUM(L1223:L1226)</f>
        <v>5748.8352302998446</v>
      </c>
      <c r="M1222" s="8">
        <f t="shared" ref="M1222" si="168">SUM(M1223:M1226)</f>
        <v>4509.6418584352114</v>
      </c>
      <c r="N1222" s="8">
        <f t="shared" ref="N1222" si="169">SUM(N1223:N1226)</f>
        <v>4476.4263659934795</v>
      </c>
    </row>
    <row r="1223" spans="1:15" x14ac:dyDescent="0.3">
      <c r="A1223" s="23" t="s">
        <v>120</v>
      </c>
      <c r="K1223" s="7">
        <f>K1217*K1205</f>
        <v>12775.189400666322</v>
      </c>
      <c r="L1223" s="7">
        <f t="shared" ref="L1223:M1223" si="170">L1217*L1205</f>
        <v>1277.5189400666322</v>
      </c>
      <c r="M1223" s="7">
        <f t="shared" si="170"/>
        <v>0</v>
      </c>
    </row>
    <row r="1224" spans="1:15" x14ac:dyDescent="0.3">
      <c r="A1224" s="24" t="s">
        <v>122</v>
      </c>
      <c r="K1224" s="7">
        <f>K1218*K1206</f>
        <v>4790.6960252498702</v>
      </c>
      <c r="L1224" s="7">
        <f t="shared" ref="L1224:M1224" si="171">L1218*L1206</f>
        <v>638.75947003331601</v>
      </c>
      <c r="M1224" s="7">
        <f t="shared" si="171"/>
        <v>166.07746220866221</v>
      </c>
      <c r="N1224" s="7">
        <f>N1218*N1206</f>
        <v>0</v>
      </c>
    </row>
    <row r="1225" spans="1:15" x14ac:dyDescent="0.3">
      <c r="A1225" s="23" t="s">
        <v>121</v>
      </c>
      <c r="L1225" s="7">
        <f>L1219*L1207</f>
        <v>3832.5568201998963</v>
      </c>
      <c r="M1225" s="7">
        <f>M1219*M1207</f>
        <v>511.00757602665283</v>
      </c>
      <c r="N1225" s="7">
        <f>N1219*N1207</f>
        <v>132.86196976692978</v>
      </c>
    </row>
    <row r="1226" spans="1:15" x14ac:dyDescent="0.3">
      <c r="A1226" s="23" t="s">
        <v>299</v>
      </c>
      <c r="M1226" s="8">
        <f>L1225</f>
        <v>3832.5568201998963</v>
      </c>
      <c r="N1226" s="8">
        <f>M1226+M1225</f>
        <v>4343.5643962265494</v>
      </c>
      <c r="O1226" s="8">
        <f>N1226+N1225</f>
        <v>4476.4263659934795</v>
      </c>
    </row>
    <row r="1227" spans="1:15" x14ac:dyDescent="0.3">
      <c r="A1227" s="23"/>
    </row>
    <row r="1228" spans="1:15" x14ac:dyDescent="0.3">
      <c r="A1228" s="105" t="s">
        <v>300</v>
      </c>
      <c r="K1228" s="8">
        <f>O1226</f>
        <v>4476.4263659934795</v>
      </c>
    </row>
    <row r="1229" spans="1:15" x14ac:dyDescent="0.3">
      <c r="A1229" s="23"/>
    </row>
    <row r="1230" spans="1:15" x14ac:dyDescent="0.3">
      <c r="A1230" s="11" t="s">
        <v>140</v>
      </c>
      <c r="K1230" s="8">
        <f>SUM(K1232:K1235)</f>
        <v>6387.5947003331603</v>
      </c>
      <c r="L1230" s="8">
        <f>SUM(L1232:L1235)</f>
        <v>1596.8986750832896</v>
      </c>
      <c r="M1230" s="8">
        <f t="shared" ref="M1230:N1230" si="172">SUM(M1232:M1235)</f>
        <v>1239.1933718646328</v>
      </c>
      <c r="N1230" s="8">
        <f t="shared" si="172"/>
        <v>33.215492441732422</v>
      </c>
    </row>
    <row r="1231" spans="1:15" x14ac:dyDescent="0.3">
      <c r="A1231" s="11"/>
      <c r="K1231" s="8"/>
      <c r="L1231" s="8"/>
      <c r="M1231" s="8"/>
      <c r="N1231" s="8"/>
    </row>
    <row r="1232" spans="1:15" x14ac:dyDescent="0.3">
      <c r="A1232" t="s">
        <v>131</v>
      </c>
      <c r="C1232" s="23" t="s">
        <v>120</v>
      </c>
      <c r="K1232" s="6">
        <f>K1241*K1185</f>
        <v>5110.0757602665281</v>
      </c>
    </row>
    <row r="1233" spans="1:30" x14ac:dyDescent="0.3">
      <c r="C1233" s="23"/>
      <c r="K1233" s="6"/>
    </row>
    <row r="1234" spans="1:30" x14ac:dyDescent="0.3">
      <c r="A1234" t="s">
        <v>200</v>
      </c>
      <c r="C1234" s="23" t="s">
        <v>120</v>
      </c>
      <c r="K1234" s="6">
        <f>K1243*K1185</f>
        <v>1277.5189400666318</v>
      </c>
      <c r="L1234" s="27">
        <f>L1213*L1185</f>
        <v>958.13920504997373</v>
      </c>
      <c r="M1234" s="27">
        <f t="shared" ref="M1234:N1234" si="173">M1213*M1185</f>
        <v>1111.4414778579696</v>
      </c>
      <c r="N1234" s="27">
        <f t="shared" si="173"/>
        <v>0</v>
      </c>
      <c r="O1234" s="27"/>
    </row>
    <row r="1235" spans="1:30" x14ac:dyDescent="0.3">
      <c r="A1235" t="s">
        <v>200</v>
      </c>
      <c r="C1235" s="24" t="s">
        <v>122</v>
      </c>
      <c r="K1235" s="6"/>
      <c r="L1235" s="27">
        <f>L1214*(K1185+L1185)</f>
        <v>638.75947003331589</v>
      </c>
      <c r="M1235" s="27">
        <f t="shared" ref="M1235" si="174">M1214*(L1185+M1185)</f>
        <v>127.75189400666315</v>
      </c>
      <c r="N1235" s="27">
        <f t="shared" ref="N1235" si="175">N1214*(M1185+N1185)</f>
        <v>33.215492441732422</v>
      </c>
      <c r="O1235" s="27"/>
    </row>
    <row r="1237" spans="1:30" x14ac:dyDescent="0.3">
      <c r="A1237" s="11" t="s">
        <v>283</v>
      </c>
      <c r="K1237" s="8">
        <f>SUM(K1234:N1235)</f>
        <v>4146.8264794562865</v>
      </c>
    </row>
    <row r="1239" spans="1:30" x14ac:dyDescent="0.3">
      <c r="A1239" t="s">
        <v>202</v>
      </c>
      <c r="K1239" s="28">
        <f>K1241*(L1185+M1185)</f>
        <v>10220.151520533056</v>
      </c>
    </row>
    <row r="1241" spans="1:30" x14ac:dyDescent="0.3">
      <c r="A1241" s="72" t="s">
        <v>132</v>
      </c>
      <c r="K1241" s="73">
        <f>K1205*K1187</f>
        <v>79.717181860157837</v>
      </c>
    </row>
    <row r="1243" spans="1:30" x14ac:dyDescent="0.3">
      <c r="A1243" t="s">
        <v>201</v>
      </c>
      <c r="K1243" s="7">
        <f>K1205*K1188</f>
        <v>19.929295465039456</v>
      </c>
    </row>
    <row r="1246" spans="1:30" x14ac:dyDescent="0.3">
      <c r="A1246" s="160" t="s">
        <v>249</v>
      </c>
      <c r="B1246" s="161"/>
      <c r="C1246" s="161"/>
      <c r="D1246" s="161"/>
      <c r="E1246" s="161"/>
      <c r="F1246" s="161"/>
      <c r="G1246" s="161"/>
      <c r="H1246" s="161"/>
      <c r="I1246" s="161"/>
      <c r="J1246" s="161"/>
      <c r="K1246" s="161"/>
      <c r="L1246" s="161"/>
      <c r="M1246" s="161"/>
      <c r="N1246" s="161"/>
      <c r="O1246" s="161"/>
      <c r="P1246" s="161"/>
      <c r="Q1246" s="161"/>
      <c r="R1246" s="161"/>
      <c r="S1246" s="161"/>
      <c r="T1246" s="161"/>
      <c r="U1246" s="161"/>
      <c r="V1246" s="161"/>
      <c r="W1246" s="161"/>
      <c r="X1246" s="161"/>
      <c r="Y1246" s="161"/>
      <c r="Z1246" s="161"/>
      <c r="AA1246" s="161"/>
      <c r="AB1246" s="161"/>
      <c r="AC1246" s="161"/>
      <c r="AD1246" s="162"/>
    </row>
    <row r="1247" spans="1:30" x14ac:dyDescent="0.3">
      <c r="A1247" s="95" t="s">
        <v>250</v>
      </c>
    </row>
    <row r="1248" spans="1:30" x14ac:dyDescent="0.3">
      <c r="A1248" t="s">
        <v>197</v>
      </c>
      <c r="M1248" s="83">
        <f>J553</f>
        <v>194.62202602577594</v>
      </c>
    </row>
    <row r="1249" spans="1:17" x14ac:dyDescent="0.3">
      <c r="A1249" t="s">
        <v>206</v>
      </c>
      <c r="M1249" s="7">
        <f>M1251*M1248</f>
        <v>27.151134673382675</v>
      </c>
      <c r="P1249" s="77"/>
    </row>
    <row r="1250" spans="1:17" x14ac:dyDescent="0.3">
      <c r="M1250" s="7"/>
      <c r="P1250" s="77"/>
    </row>
    <row r="1251" spans="1:17" x14ac:dyDescent="0.3">
      <c r="A1251" s="11" t="s">
        <v>134</v>
      </c>
      <c r="B1251" s="11"/>
      <c r="C1251" s="11"/>
      <c r="M1251" s="94">
        <f>M1252*M1253*M1254*M1255</f>
        <v>0.13950699839999997</v>
      </c>
      <c r="N1251" s="7">
        <f>N1252*N1253*N1254*N1255</f>
        <v>0</v>
      </c>
      <c r="O1251" s="11"/>
      <c r="Q1251" s="11"/>
    </row>
    <row r="1252" spans="1:17" x14ac:dyDescent="0.3">
      <c r="A1252" t="s">
        <v>35</v>
      </c>
      <c r="M1252" s="84">
        <f>M592</f>
        <v>0.15135999999999999</v>
      </c>
    </row>
    <row r="1253" spans="1:17" x14ac:dyDescent="0.3">
      <c r="A1253" t="s">
        <v>36</v>
      </c>
      <c r="M1253" s="86">
        <f>0.95</f>
        <v>0.95</v>
      </c>
    </row>
    <row r="1254" spans="1:17" x14ac:dyDescent="0.3">
      <c r="A1254" t="s">
        <v>142</v>
      </c>
      <c r="M1254" s="86">
        <v>0.99</v>
      </c>
    </row>
    <row r="1255" spans="1:17" x14ac:dyDescent="0.3">
      <c r="A1255" t="s">
        <v>37</v>
      </c>
      <c r="M1255" s="86">
        <v>0.98</v>
      </c>
    </row>
    <row r="1258" spans="1:17" x14ac:dyDescent="0.3">
      <c r="A1258" t="s">
        <v>125</v>
      </c>
      <c r="M1258" s="83">
        <f>$B$33</f>
        <v>128.2051282051282</v>
      </c>
    </row>
    <row r="1259" spans="1:17" x14ac:dyDescent="0.3">
      <c r="A1259" s="100" t="s">
        <v>135</v>
      </c>
      <c r="M1259" s="101">
        <f>M1258</f>
        <v>128.2051282051282</v>
      </c>
    </row>
    <row r="1261" spans="1:17" x14ac:dyDescent="0.3">
      <c r="A1261" t="s">
        <v>126</v>
      </c>
      <c r="M1261" s="88">
        <f>$D$43</f>
        <v>0.5</v>
      </c>
    </row>
    <row r="1262" spans="1:17" x14ac:dyDescent="0.3">
      <c r="A1262" t="s">
        <v>117</v>
      </c>
      <c r="M1262" s="7">
        <f>M1261*M1258</f>
        <v>64.102564102564102</v>
      </c>
    </row>
    <row r="1264" spans="1:17" x14ac:dyDescent="0.3">
      <c r="A1264" t="s">
        <v>118</v>
      </c>
      <c r="M1264" s="7">
        <f>M1259</f>
        <v>128.2051282051282</v>
      </c>
    </row>
    <row r="1265" spans="1:16" x14ac:dyDescent="0.3">
      <c r="A1265" t="s">
        <v>106</v>
      </c>
      <c r="M1265" s="7">
        <f>M1258*(1+M1261)</f>
        <v>192.30769230769232</v>
      </c>
    </row>
    <row r="1266" spans="1:16" x14ac:dyDescent="0.3">
      <c r="M1266" s="7"/>
    </row>
    <row r="1267" spans="1:16" x14ac:dyDescent="0.3">
      <c r="A1267" t="s">
        <v>136</v>
      </c>
      <c r="M1267" s="7">
        <f>M1264*M1249</f>
        <v>3480.9147017157275</v>
      </c>
    </row>
    <row r="1268" spans="1:16" x14ac:dyDescent="0.3">
      <c r="A1268" t="s">
        <v>119</v>
      </c>
      <c r="M1268" s="7">
        <f>M1265*M1249</f>
        <v>5221.3720525735916</v>
      </c>
    </row>
    <row r="1269" spans="1:16" x14ac:dyDescent="0.3">
      <c r="M1269" s="7"/>
    </row>
    <row r="1270" spans="1:16" x14ac:dyDescent="0.3">
      <c r="A1270" t="s">
        <v>302</v>
      </c>
      <c r="M1270" s="6">
        <f>M1262*M1249</f>
        <v>1740.4573508578637</v>
      </c>
    </row>
    <row r="1271" spans="1:16" x14ac:dyDescent="0.3">
      <c r="M1271" s="7"/>
    </row>
    <row r="1272" spans="1:16" x14ac:dyDescent="0.3">
      <c r="A1272" t="s">
        <v>127</v>
      </c>
      <c r="M1272" s="7">
        <f>M1265/3</f>
        <v>64.102564102564102</v>
      </c>
      <c r="N1272" s="7">
        <f>M1265/3</f>
        <v>64.102564102564102</v>
      </c>
      <c r="O1272" s="7">
        <f>M1265/3</f>
        <v>64.102564102564102</v>
      </c>
    </row>
    <row r="1274" spans="1:16" x14ac:dyDescent="0.3">
      <c r="A1274" t="s">
        <v>128</v>
      </c>
      <c r="M1274" s="21">
        <f>Summary!D30</f>
        <v>0.8</v>
      </c>
    </row>
    <row r="1275" spans="1:16" x14ac:dyDescent="0.3">
      <c r="A1275" t="s">
        <v>129</v>
      </c>
      <c r="M1275" s="21">
        <f>1-M1274</f>
        <v>0.19999999999999996</v>
      </c>
    </row>
    <row r="1277" spans="1:16" x14ac:dyDescent="0.3">
      <c r="A1277" s="71" t="s">
        <v>16</v>
      </c>
    </row>
    <row r="1278" spans="1:16" x14ac:dyDescent="0.3">
      <c r="A1278" t="s">
        <v>17</v>
      </c>
      <c r="L1278" s="74">
        <f>Summary!$C$59</f>
        <v>0.2</v>
      </c>
      <c r="M1278" s="74">
        <f>Summary!$C$60</f>
        <v>0.25</v>
      </c>
      <c r="N1278" s="74">
        <f>Summary!$C$61</f>
        <v>0.13</v>
      </c>
      <c r="O1278" s="75"/>
      <c r="P1278" s="75"/>
    </row>
    <row r="1279" spans="1:16" x14ac:dyDescent="0.3">
      <c r="A1279" t="s">
        <v>18</v>
      </c>
      <c r="C1279" s="75"/>
      <c r="M1279" s="74">
        <f>Summary!$C$62</f>
        <v>0.8</v>
      </c>
      <c r="N1279" s="76">
        <f>M1279</f>
        <v>0.8</v>
      </c>
      <c r="O1279" s="76">
        <f>N1279</f>
        <v>0.8</v>
      </c>
      <c r="P1279" s="75"/>
    </row>
    <row r="1280" spans="1:16" x14ac:dyDescent="0.3">
      <c r="A1280" t="s">
        <v>19</v>
      </c>
      <c r="C1280" s="75"/>
      <c r="M1280" s="75"/>
      <c r="N1280" s="74">
        <f>Summary!$C$63</f>
        <v>1</v>
      </c>
      <c r="O1280" s="74">
        <f>N1280</f>
        <v>1</v>
      </c>
      <c r="P1280" s="74">
        <f>O1280</f>
        <v>1</v>
      </c>
    </row>
    <row r="1281" spans="1:17" x14ac:dyDescent="0.3">
      <c r="A1281" t="s">
        <v>20</v>
      </c>
      <c r="P1281" s="21"/>
    </row>
    <row r="1282" spans="1:17" x14ac:dyDescent="0.3">
      <c r="P1282" s="21"/>
    </row>
    <row r="1283" spans="1:17" x14ac:dyDescent="0.3">
      <c r="A1283" s="11" t="s">
        <v>196</v>
      </c>
      <c r="M1283" s="90">
        <f>SUM(M1284:M1287)</f>
        <v>0.36</v>
      </c>
      <c r="N1283" s="90">
        <f t="shared" ref="N1283" si="176">SUM(N1284:N1287)</f>
        <v>0.36</v>
      </c>
      <c r="O1283" s="90">
        <f t="shared" ref="O1283" si="177">SUM(O1284:O1287)</f>
        <v>0.21280000000000004</v>
      </c>
      <c r="P1283" s="90">
        <f t="shared" ref="P1283" si="178">SUM(P1284:P1287)</f>
        <v>0.20864000000000002</v>
      </c>
    </row>
    <row r="1284" spans="1:17" x14ac:dyDescent="0.3">
      <c r="A1284" t="s">
        <v>17</v>
      </c>
      <c r="M1284" s="22">
        <f>(1-L1278)*M1275</f>
        <v>0.15999999999999998</v>
      </c>
      <c r="N1284" s="22">
        <f>M1284*(1-M1278)+M1285*(1-M1279)</f>
        <v>0.15999999999999998</v>
      </c>
    </row>
    <row r="1285" spans="1:17" x14ac:dyDescent="0.3">
      <c r="A1285" t="s">
        <v>18</v>
      </c>
      <c r="M1285" s="22">
        <f>L1278</f>
        <v>0.2</v>
      </c>
      <c r="N1285" s="22">
        <f>M1284*M1278</f>
        <v>3.9999999999999994E-2</v>
      </c>
      <c r="O1285" s="22">
        <f>N1284*N1278</f>
        <v>2.0799999999999999E-2</v>
      </c>
      <c r="Q1285" s="22"/>
    </row>
    <row r="1286" spans="1:17" x14ac:dyDescent="0.3">
      <c r="A1286" t="s">
        <v>19</v>
      </c>
      <c r="N1286" s="22">
        <f>M1285*M1279</f>
        <v>0.16000000000000003</v>
      </c>
      <c r="O1286" s="22">
        <f>N1285*N1279+N1286</f>
        <v>0.19200000000000003</v>
      </c>
      <c r="P1286" s="22">
        <f>O1285*O1279+O1286</f>
        <v>0.20864000000000002</v>
      </c>
    </row>
    <row r="1287" spans="1:17" x14ac:dyDescent="0.3">
      <c r="N1287" s="22"/>
      <c r="O1287" s="22"/>
    </row>
    <row r="1288" spans="1:17" x14ac:dyDescent="0.3">
      <c r="A1288" t="s">
        <v>195</v>
      </c>
      <c r="M1288" s="22">
        <f>(1-L1278)*M1274</f>
        <v>0.64000000000000012</v>
      </c>
      <c r="O1288" s="29">
        <f>N1284*(1-N1278)+N1285*(1-N1279)+N1286*(1-N1280)</f>
        <v>0.1472</v>
      </c>
      <c r="P1288" s="29">
        <f>O1285*(1-O1279)+O1288</f>
        <v>0.15135999999999999</v>
      </c>
      <c r="Q1288" s="22"/>
    </row>
    <row r="1289" spans="1:17" x14ac:dyDescent="0.3">
      <c r="M1289" s="22"/>
      <c r="O1289" s="29"/>
      <c r="P1289" s="29"/>
      <c r="Q1289" s="22"/>
    </row>
    <row r="1290" spans="1:17" x14ac:dyDescent="0.3">
      <c r="M1290" s="25" t="s">
        <v>32</v>
      </c>
    </row>
    <row r="1291" spans="1:17" x14ac:dyDescent="0.3">
      <c r="A1291" s="11" t="s">
        <v>124</v>
      </c>
      <c r="M1291" s="8">
        <f>SUM(M1292:M1295)</f>
        <v>27.151134673382678</v>
      </c>
      <c r="N1291" s="8">
        <f t="shared" ref="N1291:O1291" si="179">SUM(N1292:N1295)</f>
        <v>9.7744084824177619</v>
      </c>
      <c r="O1291" s="8">
        <f t="shared" si="179"/>
        <v>5.7777614584958332</v>
      </c>
    </row>
    <row r="1292" spans="1:17" x14ac:dyDescent="0.3">
      <c r="A1292" s="23" t="s">
        <v>120</v>
      </c>
      <c r="M1292" s="7">
        <f>M1249*(1-L1278)</f>
        <v>21.720907738706142</v>
      </c>
      <c r="N1292" s="82">
        <f>M1330*(1-M1278)+M1293*(1-M1279)</f>
        <v>4.3441815477412273</v>
      </c>
    </row>
    <row r="1293" spans="1:17" x14ac:dyDescent="0.3">
      <c r="A1293" s="24" t="s">
        <v>122</v>
      </c>
      <c r="M1293" s="7">
        <f>M1249*L1278</f>
        <v>5.4302269346765355</v>
      </c>
      <c r="N1293" s="7">
        <f>M1330*M1278</f>
        <v>1.0860453869353068</v>
      </c>
      <c r="O1293" s="7">
        <f>N1292*N1278</f>
        <v>0.56474360120635958</v>
      </c>
      <c r="P1293" s="7">
        <f>O1292*O1278</f>
        <v>0</v>
      </c>
    </row>
    <row r="1294" spans="1:17" x14ac:dyDescent="0.3">
      <c r="A1294" s="23" t="s">
        <v>121</v>
      </c>
      <c r="N1294" s="7">
        <f>M1293*M1279</f>
        <v>4.3441815477412282</v>
      </c>
      <c r="O1294" s="7">
        <f>N1293*N1279</f>
        <v>0.86883630954824553</v>
      </c>
      <c r="P1294" s="7">
        <f>O1293*O1279</f>
        <v>0.45179488096508769</v>
      </c>
    </row>
    <row r="1295" spans="1:17" x14ac:dyDescent="0.3">
      <c r="A1295" s="23" t="s">
        <v>138</v>
      </c>
      <c r="N1295" s="7"/>
      <c r="O1295" s="7">
        <f>N1294*N1280</f>
        <v>4.3441815477412282</v>
      </c>
      <c r="P1295" s="7">
        <f>O1294*O1280+O1295</f>
        <v>5.2130178572894739</v>
      </c>
      <c r="Q1295" s="7">
        <f>P1294*P1280+P1295</f>
        <v>5.6648127382545619</v>
      </c>
    </row>
    <row r="1296" spans="1:17" x14ac:dyDescent="0.3">
      <c r="A1296" s="23"/>
      <c r="N1296" s="7"/>
    </row>
    <row r="1297" spans="1:17" x14ac:dyDescent="0.3">
      <c r="A1297" s="23" t="s">
        <v>137</v>
      </c>
      <c r="N1297" s="7"/>
      <c r="O1297" s="7">
        <f>N1292*(1-N1278)+N1293*(1-N1279)+N1294*(1-N1280)</f>
        <v>3.9966470239219292</v>
      </c>
      <c r="P1297" s="7">
        <f>O1293*(1-O1279)+O1297</f>
        <v>4.1095957441632009</v>
      </c>
      <c r="Q1297" s="7">
        <f>P1294*(1-P1280)+P1297</f>
        <v>4.1095957441632009</v>
      </c>
    </row>
    <row r="1298" spans="1:17" x14ac:dyDescent="0.3">
      <c r="A1298" s="23"/>
      <c r="N1298" s="7"/>
    </row>
    <row r="1299" spans="1:17" x14ac:dyDescent="0.3">
      <c r="A1299" s="11" t="s">
        <v>139</v>
      </c>
      <c r="M1299" s="8">
        <f>SUM(M1300:M1301)</f>
        <v>21.720907738706142</v>
      </c>
      <c r="N1299" s="8">
        <f>SUM(N1300:N1301)</f>
        <v>4.3441815477412273</v>
      </c>
      <c r="O1299" s="8">
        <f>SUM(O1300:O1301)</f>
        <v>3.9966470239219292</v>
      </c>
      <c r="P1299" s="8">
        <f>SUM(P1300:P1301)</f>
        <v>0.11294872024127189</v>
      </c>
    </row>
    <row r="1300" spans="1:17" x14ac:dyDescent="0.3">
      <c r="A1300" s="23" t="s">
        <v>120</v>
      </c>
      <c r="M1300" s="7">
        <f>M1292</f>
        <v>21.720907738706142</v>
      </c>
      <c r="N1300" s="7">
        <f>M1330*(1-M1278)</f>
        <v>3.2581361608059205</v>
      </c>
      <c r="O1300" s="7">
        <f>N1292*(1-N1278)</f>
        <v>3.779437946534868</v>
      </c>
    </row>
    <row r="1301" spans="1:17" x14ac:dyDescent="0.3">
      <c r="A1301" s="24" t="s">
        <v>122</v>
      </c>
      <c r="N1301" s="7">
        <f>M1293*(1-M1279)</f>
        <v>1.0860453869353068</v>
      </c>
      <c r="O1301" s="7">
        <f>N1293*(1-N1279)</f>
        <v>0.21720907738706133</v>
      </c>
      <c r="P1301" s="7">
        <f>O1293*(1-O1279)</f>
        <v>0.11294872024127189</v>
      </c>
    </row>
    <row r="1302" spans="1:17" x14ac:dyDescent="0.3">
      <c r="A1302" s="23"/>
      <c r="N1302" s="7"/>
      <c r="O1302" s="7">
        <f>N1294*(1-N1280)</f>
        <v>0</v>
      </c>
      <c r="P1302" s="7">
        <f>O1294*(1-O1280)</f>
        <v>0</v>
      </c>
    </row>
    <row r="1303" spans="1:17" x14ac:dyDescent="0.3">
      <c r="A1303" s="81" t="s">
        <v>123</v>
      </c>
    </row>
    <row r="1304" spans="1:17" x14ac:dyDescent="0.3">
      <c r="A1304" s="23" t="s">
        <v>120</v>
      </c>
      <c r="M1304" s="7">
        <f>M1265-M1272</f>
        <v>128.20512820512823</v>
      </c>
      <c r="N1304" s="7">
        <f>M1304-N1272</f>
        <v>64.102564102564131</v>
      </c>
      <c r="O1304" s="7">
        <f>N1304-O1272</f>
        <v>0</v>
      </c>
    </row>
    <row r="1305" spans="1:17" x14ac:dyDescent="0.3">
      <c r="A1305" s="24" t="s">
        <v>122</v>
      </c>
      <c r="M1305" s="7">
        <f>M1265</f>
        <v>192.30769230769232</v>
      </c>
      <c r="N1305" s="7">
        <f>M1304</f>
        <v>128.20512820512823</v>
      </c>
      <c r="O1305" s="7">
        <f>N1304</f>
        <v>64.102564102564131</v>
      </c>
    </row>
    <row r="1306" spans="1:17" x14ac:dyDescent="0.3">
      <c r="A1306" s="23" t="s">
        <v>121</v>
      </c>
      <c r="N1306" s="7">
        <f>M1305</f>
        <v>192.30769230769232</v>
      </c>
      <c r="O1306" s="7">
        <f>N1305</f>
        <v>128.20512820512823</v>
      </c>
      <c r="P1306" s="7">
        <f>O1305</f>
        <v>64.102564102564131</v>
      </c>
    </row>
    <row r="1307" spans="1:17" x14ac:dyDescent="0.3">
      <c r="A1307" s="23"/>
      <c r="O1307" s="7"/>
      <c r="P1307" s="7"/>
    </row>
    <row r="1308" spans="1:17" x14ac:dyDescent="0.3">
      <c r="A1308" s="23"/>
      <c r="O1308" s="7"/>
      <c r="P1308" s="7"/>
    </row>
    <row r="1309" spans="1:17" x14ac:dyDescent="0.3">
      <c r="A1309" s="11" t="s">
        <v>130</v>
      </c>
      <c r="M1309" s="8">
        <f>SUM(M1310:M1313)</f>
        <v>3829.0061718873012</v>
      </c>
      <c r="N1309" s="8">
        <f t="shared" ref="N1309" si="180">SUM(N1310:N1313)</f>
        <v>1253.129292617662</v>
      </c>
      <c r="O1309" s="8">
        <f t="shared" ref="O1309" si="181">SUM(O1310:O1313)</f>
        <v>983.0103117645217</v>
      </c>
      <c r="P1309" s="8">
        <f t="shared" ref="P1309" si="182">SUM(P1310:P1313)</f>
        <v>975.77000918495298</v>
      </c>
    </row>
    <row r="1310" spans="1:17" x14ac:dyDescent="0.3">
      <c r="A1310" s="23" t="s">
        <v>120</v>
      </c>
      <c r="M1310" s="7">
        <f>M1304*M1292</f>
        <v>2784.7317613725827</v>
      </c>
      <c r="N1310" s="7">
        <f t="shared" ref="N1310:O1310" si="183">N1304*N1292</f>
        <v>278.47317613725829</v>
      </c>
      <c r="O1310" s="7">
        <f t="shared" si="183"/>
        <v>0</v>
      </c>
    </row>
    <row r="1311" spans="1:17" x14ac:dyDescent="0.3">
      <c r="A1311" s="24" t="s">
        <v>122</v>
      </c>
      <c r="M1311" s="7">
        <f>M1305*M1293</f>
        <v>1044.2744105147185</v>
      </c>
      <c r="N1311" s="7">
        <f t="shared" ref="N1311:O1311" si="184">N1305*N1293</f>
        <v>139.23658806862912</v>
      </c>
      <c r="O1311" s="7">
        <f t="shared" si="184"/>
        <v>36.201512897843578</v>
      </c>
      <c r="P1311" s="7">
        <f>P1305*P1293</f>
        <v>0</v>
      </c>
    </row>
    <row r="1312" spans="1:17" x14ac:dyDescent="0.3">
      <c r="A1312" s="23" t="s">
        <v>121</v>
      </c>
      <c r="N1312" s="7">
        <f>N1306*N1294</f>
        <v>835.41952841177476</v>
      </c>
      <c r="O1312" s="7">
        <f>O1306*O1294</f>
        <v>111.3892704549033</v>
      </c>
      <c r="P1312" s="7">
        <f>P1306*P1294</f>
        <v>28.961210318274865</v>
      </c>
    </row>
    <row r="1313" spans="1:17" x14ac:dyDescent="0.3">
      <c r="A1313" s="23" t="s">
        <v>299</v>
      </c>
      <c r="O1313" s="8">
        <f>N1312</f>
        <v>835.41952841177476</v>
      </c>
      <c r="P1313" s="8">
        <f>O1313+O1312</f>
        <v>946.8087988666781</v>
      </c>
      <c r="Q1313" s="8">
        <f>P1313+P1312</f>
        <v>975.77000918495298</v>
      </c>
    </row>
    <row r="1314" spans="1:17" x14ac:dyDescent="0.3">
      <c r="A1314" s="23"/>
    </row>
    <row r="1315" spans="1:17" x14ac:dyDescent="0.3">
      <c r="A1315" s="105" t="s">
        <v>300</v>
      </c>
      <c r="M1315" s="8">
        <f>Q1313</f>
        <v>975.77000918495298</v>
      </c>
    </row>
    <row r="1316" spans="1:17" x14ac:dyDescent="0.3">
      <c r="A1316" s="23"/>
    </row>
    <row r="1317" spans="1:17" x14ac:dyDescent="0.3">
      <c r="A1317" s="11" t="s">
        <v>140</v>
      </c>
      <c r="M1317" s="8">
        <f>SUM(M1319:M1322)</f>
        <v>1392.3658806862911</v>
      </c>
      <c r="N1317" s="8">
        <f>SUM(N1319:N1322)</f>
        <v>348.09147017157272</v>
      </c>
      <c r="O1317" s="8">
        <f t="shared" ref="O1317:P1317" si="185">SUM(O1319:O1322)</f>
        <v>270.11898085314044</v>
      </c>
      <c r="P1317" s="8">
        <f t="shared" si="185"/>
        <v>7.240302579568711</v>
      </c>
    </row>
    <row r="1318" spans="1:17" x14ac:dyDescent="0.3">
      <c r="A1318" s="11"/>
      <c r="M1318" s="8"/>
      <c r="N1318" s="8"/>
      <c r="O1318" s="8"/>
      <c r="P1318" s="8"/>
    </row>
    <row r="1319" spans="1:17" x14ac:dyDescent="0.3">
      <c r="A1319" t="s">
        <v>131</v>
      </c>
      <c r="C1319" s="23" t="s">
        <v>120</v>
      </c>
      <c r="M1319" s="6">
        <f>M1328*M1272</f>
        <v>1113.8927045490329</v>
      </c>
    </row>
    <row r="1320" spans="1:17" x14ac:dyDescent="0.3">
      <c r="C1320" s="23"/>
      <c r="M1320" s="6"/>
    </row>
    <row r="1321" spans="1:17" x14ac:dyDescent="0.3">
      <c r="A1321" t="s">
        <v>200</v>
      </c>
      <c r="C1321" s="23" t="s">
        <v>120</v>
      </c>
      <c r="M1321" s="6">
        <f>M1330*M1272</f>
        <v>278.47317613725818</v>
      </c>
      <c r="N1321" s="27">
        <f>N1300*N1272</f>
        <v>208.85488210294363</v>
      </c>
      <c r="O1321" s="27">
        <f t="shared" ref="O1321:P1321" si="186">O1300*O1272</f>
        <v>242.27166323941461</v>
      </c>
      <c r="P1321" s="27">
        <f t="shared" si="186"/>
        <v>0</v>
      </c>
      <c r="Q1321" s="27"/>
    </row>
    <row r="1322" spans="1:17" x14ac:dyDescent="0.3">
      <c r="A1322" t="s">
        <v>200</v>
      </c>
      <c r="C1322" s="24" t="s">
        <v>122</v>
      </c>
      <c r="M1322" s="6"/>
      <c r="N1322" s="27">
        <f>N1301*(M1272+N1272)</f>
        <v>139.23658806862909</v>
      </c>
      <c r="O1322" s="27">
        <f t="shared" ref="O1322" si="187">O1301*(N1272+O1272)</f>
        <v>27.84731761372581</v>
      </c>
      <c r="P1322" s="27">
        <f t="shared" ref="P1322" si="188">P1301*(O1272+P1272)</f>
        <v>7.240302579568711</v>
      </c>
      <c r="Q1322" s="27"/>
    </row>
    <row r="1324" spans="1:17" x14ac:dyDescent="0.3">
      <c r="A1324" s="11" t="s">
        <v>283</v>
      </c>
      <c r="M1324" s="8">
        <f>SUM(M1321:P1322)</f>
        <v>903.92392974154006</v>
      </c>
    </row>
    <row r="1326" spans="1:17" x14ac:dyDescent="0.3">
      <c r="A1326" t="s">
        <v>202</v>
      </c>
      <c r="M1326" s="28">
        <f>M1328*(N1272+O1272)</f>
        <v>2227.7854090980659</v>
      </c>
    </row>
    <row r="1328" spans="1:17" x14ac:dyDescent="0.3">
      <c r="A1328" s="72" t="s">
        <v>132</v>
      </c>
      <c r="M1328" s="73">
        <f>M1292*M1274</f>
        <v>17.376726190964913</v>
      </c>
    </row>
    <row r="1330" spans="1:21" x14ac:dyDescent="0.3">
      <c r="A1330" t="s">
        <v>201</v>
      </c>
      <c r="M1330" s="7">
        <f>M1292*M1275</f>
        <v>4.3441815477412273</v>
      </c>
    </row>
    <row r="1333" spans="1:21" x14ac:dyDescent="0.3">
      <c r="A1333" s="152" t="s">
        <v>252</v>
      </c>
      <c r="B1333" s="153"/>
      <c r="C1333" s="153"/>
      <c r="D1333" s="153"/>
      <c r="E1333" s="153"/>
      <c r="F1333" s="153"/>
      <c r="G1333" s="153"/>
      <c r="H1333" s="153"/>
      <c r="I1333" s="153"/>
      <c r="J1333" s="153"/>
      <c r="K1333" s="153"/>
      <c r="L1333" s="153"/>
      <c r="M1333" s="153"/>
      <c r="N1333" s="153"/>
      <c r="O1333" s="153"/>
      <c r="P1333" s="153"/>
      <c r="Q1333" s="153"/>
      <c r="R1333" s="153"/>
      <c r="S1333" s="153"/>
      <c r="T1333" s="153"/>
      <c r="U1333" s="154"/>
    </row>
    <row r="1334" spans="1:21" x14ac:dyDescent="0.3">
      <c r="A1334" s="32"/>
    </row>
    <row r="1335" spans="1:21" x14ac:dyDescent="0.3">
      <c r="A1335" t="s">
        <v>197</v>
      </c>
      <c r="H1335" s="83">
        <f>G719</f>
        <v>1677.7216000000005</v>
      </c>
    </row>
    <row r="1336" spans="1:21" x14ac:dyDescent="0.3">
      <c r="A1336" t="s">
        <v>206</v>
      </c>
      <c r="H1336" s="7">
        <f>H1338*H1335</f>
        <v>1677.7216000000005</v>
      </c>
      <c r="K1336" s="77"/>
    </row>
    <row r="1337" spans="1:21" x14ac:dyDescent="0.3">
      <c r="H1337" s="7"/>
      <c r="K1337" s="77"/>
    </row>
    <row r="1338" spans="1:21" x14ac:dyDescent="0.3">
      <c r="A1338" s="11" t="s">
        <v>134</v>
      </c>
      <c r="B1338" s="11"/>
      <c r="C1338" s="11"/>
      <c r="H1338" s="104">
        <f>$E$120</f>
        <v>1</v>
      </c>
      <c r="I1338" s="7">
        <f>I1339*I1340*I1341*I1342</f>
        <v>0</v>
      </c>
      <c r="J1338" s="11"/>
      <c r="L1338" s="11"/>
    </row>
    <row r="1339" spans="1:21" x14ac:dyDescent="0.3">
      <c r="A1339" t="s">
        <v>35</v>
      </c>
      <c r="H1339" s="89">
        <f>M680</f>
        <v>0</v>
      </c>
    </row>
    <row r="1340" spans="1:21" x14ac:dyDescent="0.3">
      <c r="A1340" t="s">
        <v>36</v>
      </c>
      <c r="H1340" s="89">
        <f>0.95</f>
        <v>0.95</v>
      </c>
    </row>
    <row r="1341" spans="1:21" x14ac:dyDescent="0.3">
      <c r="A1341" t="s">
        <v>142</v>
      </c>
      <c r="H1341" s="89">
        <v>0.99</v>
      </c>
    </row>
    <row r="1342" spans="1:21" x14ac:dyDescent="0.3">
      <c r="A1342" t="s">
        <v>37</v>
      </c>
      <c r="H1342" s="89">
        <v>0.98</v>
      </c>
    </row>
    <row r="1345" spans="1:10" x14ac:dyDescent="0.3">
      <c r="A1345" t="s">
        <v>125</v>
      </c>
      <c r="H1345" s="83">
        <f>H1346+G649</f>
        <v>160.25641025641025</v>
      </c>
    </row>
    <row r="1346" spans="1:10" x14ac:dyDescent="0.3">
      <c r="A1346" t="s">
        <v>135</v>
      </c>
      <c r="H1346" s="82">
        <f>$D$46</f>
        <v>32.051282051282051</v>
      </c>
    </row>
    <row r="1348" spans="1:10" x14ac:dyDescent="0.3">
      <c r="A1348" t="s">
        <v>126</v>
      </c>
      <c r="H1348" s="88">
        <f>$D$43</f>
        <v>0.5</v>
      </c>
    </row>
    <row r="1349" spans="1:10" x14ac:dyDescent="0.3">
      <c r="A1349" t="s">
        <v>117</v>
      </c>
      <c r="H1349" s="7">
        <f>H1348*H1345</f>
        <v>80.128205128205124</v>
      </c>
    </row>
    <row r="1351" spans="1:10" x14ac:dyDescent="0.3">
      <c r="A1351" t="s">
        <v>118</v>
      </c>
      <c r="H1351" s="7">
        <f>H1346</f>
        <v>32.051282051282051</v>
      </c>
    </row>
    <row r="1352" spans="1:10" x14ac:dyDescent="0.3">
      <c r="A1352" t="s">
        <v>106</v>
      </c>
      <c r="H1352" s="7">
        <f>H1345*(1+H1348)</f>
        <v>240.38461538461536</v>
      </c>
    </row>
    <row r="1353" spans="1:10" x14ac:dyDescent="0.3">
      <c r="H1353" s="7"/>
    </row>
    <row r="1354" spans="1:10" x14ac:dyDescent="0.3">
      <c r="A1354" t="s">
        <v>136</v>
      </c>
      <c r="H1354" s="7">
        <f>H1351*H1336</f>
        <v>53773.128205128225</v>
      </c>
    </row>
    <row r="1355" spans="1:10" x14ac:dyDescent="0.3">
      <c r="A1355" t="s">
        <v>119</v>
      </c>
      <c r="H1355" s="7">
        <f>H1352*H1336</f>
        <v>403298.46153846162</v>
      </c>
    </row>
    <row r="1356" spans="1:10" x14ac:dyDescent="0.3">
      <c r="H1356" s="7"/>
    </row>
    <row r="1357" spans="1:10" x14ac:dyDescent="0.3">
      <c r="A1357" t="s">
        <v>302</v>
      </c>
      <c r="H1357" s="6">
        <f>H1349*H1336</f>
        <v>134432.82051282056</v>
      </c>
    </row>
    <row r="1358" spans="1:10" x14ac:dyDescent="0.3">
      <c r="H1358" s="7"/>
    </row>
    <row r="1359" spans="1:10" x14ac:dyDescent="0.3">
      <c r="A1359" t="s">
        <v>127</v>
      </c>
      <c r="H1359" s="7">
        <f>H1352/3</f>
        <v>80.128205128205124</v>
      </c>
      <c r="I1359" s="7">
        <f>H1352/3</f>
        <v>80.128205128205124</v>
      </c>
      <c r="J1359" s="7">
        <f>H1352/3</f>
        <v>80.128205128205124</v>
      </c>
    </row>
    <row r="1361" spans="1:12" s="103" customFormat="1" x14ac:dyDescent="0.3">
      <c r="A1361" s="103" t="s">
        <v>128</v>
      </c>
      <c r="H1361" s="79">
        <f>Summary!$B$31</f>
        <v>0</v>
      </c>
    </row>
    <row r="1362" spans="1:12" s="103" customFormat="1" x14ac:dyDescent="0.3">
      <c r="A1362" s="103" t="s">
        <v>129</v>
      </c>
      <c r="H1362" s="79">
        <f>1-H1361</f>
        <v>1</v>
      </c>
    </row>
    <row r="1364" spans="1:12" x14ac:dyDescent="0.3">
      <c r="A1364" s="71" t="s">
        <v>16</v>
      </c>
    </row>
    <row r="1365" spans="1:12" x14ac:dyDescent="0.3">
      <c r="A1365" t="s">
        <v>17</v>
      </c>
      <c r="G1365" s="74">
        <f>Summary!$B$66</f>
        <v>0.45</v>
      </c>
      <c r="H1365" s="74">
        <f>Summary!$B$67</f>
        <v>0.3</v>
      </c>
      <c r="I1365" s="74">
        <f>Summary!$B$68</f>
        <v>0.13</v>
      </c>
      <c r="J1365" s="75"/>
      <c r="K1365" s="75"/>
    </row>
    <row r="1366" spans="1:12" x14ac:dyDescent="0.3">
      <c r="A1366" t="s">
        <v>18</v>
      </c>
      <c r="C1366" s="75"/>
      <c r="H1366" s="74">
        <f>Summary!$B$69</f>
        <v>0.8</v>
      </c>
      <c r="I1366" s="76">
        <f>H1366</f>
        <v>0.8</v>
      </c>
      <c r="J1366" s="76">
        <f>I1366</f>
        <v>0.8</v>
      </c>
      <c r="K1366" s="75"/>
    </row>
    <row r="1367" spans="1:12" x14ac:dyDescent="0.3">
      <c r="A1367" t="s">
        <v>19</v>
      </c>
      <c r="C1367" s="75"/>
      <c r="H1367" s="75"/>
      <c r="I1367" s="74">
        <f>Summary!$B$70</f>
        <v>1</v>
      </c>
      <c r="J1367" s="74">
        <v>1</v>
      </c>
      <c r="K1367" s="74">
        <v>1</v>
      </c>
    </row>
    <row r="1368" spans="1:12" x14ac:dyDescent="0.3">
      <c r="A1368" t="s">
        <v>20</v>
      </c>
      <c r="K1368" s="21"/>
    </row>
    <row r="1369" spans="1:12" x14ac:dyDescent="0.3">
      <c r="K1369" s="21"/>
    </row>
    <row r="1370" spans="1:12" x14ac:dyDescent="0.3">
      <c r="A1370" s="11" t="s">
        <v>196</v>
      </c>
      <c r="H1370" s="90">
        <f>SUM(H1371:H1374)</f>
        <v>1</v>
      </c>
      <c r="I1370" s="90">
        <f t="shared" ref="I1370" si="189">SUM(I1371:I1374)</f>
        <v>1</v>
      </c>
      <c r="J1370" s="90">
        <f t="shared" ref="J1370" si="190">SUM(J1371:J1374)</f>
        <v>0.55375000000000008</v>
      </c>
      <c r="K1370" s="90">
        <f t="shared" ref="K1370" si="191">SUM(K1371:K1374)</f>
        <v>0.5414000000000001</v>
      </c>
    </row>
    <row r="1371" spans="1:12" x14ac:dyDescent="0.3">
      <c r="A1371" t="s">
        <v>17</v>
      </c>
      <c r="H1371" s="22">
        <f>(1-G1365)*H1362</f>
        <v>0.55000000000000004</v>
      </c>
      <c r="I1371" s="22">
        <f>H1371*(1-H1365)+H1372*(1-H1366)</f>
        <v>0.47499999999999998</v>
      </c>
    </row>
    <row r="1372" spans="1:12" x14ac:dyDescent="0.3">
      <c r="A1372" t="s">
        <v>18</v>
      </c>
      <c r="H1372" s="22">
        <f>G1365</f>
        <v>0.45</v>
      </c>
      <c r="I1372" s="22">
        <f>H1371*H1365</f>
        <v>0.16500000000000001</v>
      </c>
      <c r="J1372" s="22">
        <f>I1371*I1365</f>
        <v>6.1749999999999999E-2</v>
      </c>
      <c r="L1372" s="22"/>
    </row>
    <row r="1373" spans="1:12" x14ac:dyDescent="0.3">
      <c r="A1373" t="s">
        <v>19</v>
      </c>
      <c r="I1373" s="22">
        <f>H1372*H1366</f>
        <v>0.36000000000000004</v>
      </c>
      <c r="J1373" s="22">
        <f>I1372*I1366+I1373</f>
        <v>0.49200000000000005</v>
      </c>
      <c r="K1373" s="22">
        <f>J1372*J1366+J1373</f>
        <v>0.5414000000000001</v>
      </c>
    </row>
    <row r="1374" spans="1:12" x14ac:dyDescent="0.3">
      <c r="I1374" s="22"/>
      <c r="J1374" s="22"/>
    </row>
    <row r="1375" spans="1:12" x14ac:dyDescent="0.3">
      <c r="A1375" t="s">
        <v>195</v>
      </c>
      <c r="H1375" s="22">
        <f>(1-G1365)*H1361</f>
        <v>0</v>
      </c>
      <c r="J1375" s="29">
        <f>I1371*(1-I1365)+I1372*(1-I1366)+I1373*(1-I1367)</f>
        <v>0.44624999999999998</v>
      </c>
      <c r="K1375" s="29">
        <f>J1372*(1-J1366)+J1375</f>
        <v>0.45859999999999995</v>
      </c>
      <c r="L1375" s="22"/>
    </row>
    <row r="1376" spans="1:12" x14ac:dyDescent="0.3">
      <c r="H1376" s="22"/>
      <c r="J1376" s="29"/>
      <c r="K1376" s="29"/>
      <c r="L1376" s="22"/>
    </row>
    <row r="1377" spans="1:12" x14ac:dyDescent="0.3">
      <c r="H1377" s="25" t="s">
        <v>32</v>
      </c>
    </row>
    <row r="1378" spans="1:12" x14ac:dyDescent="0.3">
      <c r="A1378" s="11" t="s">
        <v>124</v>
      </c>
      <c r="H1378" s="8">
        <f>SUM(H1379:H1382)</f>
        <v>1677.7216000000008</v>
      </c>
      <c r="I1378" s="8">
        <f t="shared" ref="I1378:J1378" si="192">SUM(I1379:I1382)</f>
        <v>1677.7216000000008</v>
      </c>
      <c r="J1378" s="8">
        <f t="shared" si="192"/>
        <v>929.0383360000003</v>
      </c>
    </row>
    <row r="1379" spans="1:12" x14ac:dyDescent="0.3">
      <c r="A1379" s="23" t="s">
        <v>120</v>
      </c>
      <c r="H1379" s="7">
        <f>H1336*(1-G1365)</f>
        <v>922.74688000000037</v>
      </c>
      <c r="I1379" s="82">
        <f>H1417*(1-H1365)+H1380*(1-H1366)</f>
        <v>796.91776000000027</v>
      </c>
    </row>
    <row r="1380" spans="1:12" x14ac:dyDescent="0.3">
      <c r="A1380" s="24" t="s">
        <v>122</v>
      </c>
      <c r="H1380" s="7">
        <f>H1336*G1365</f>
        <v>754.97472000000027</v>
      </c>
      <c r="I1380" s="7">
        <f>H1417*H1365</f>
        <v>276.82406400000008</v>
      </c>
      <c r="J1380" s="7">
        <f>I1379*I1365</f>
        <v>103.59930880000005</v>
      </c>
      <c r="K1380" s="7">
        <f>J1379*J1365</f>
        <v>0</v>
      </c>
    </row>
    <row r="1381" spans="1:12" x14ac:dyDescent="0.3">
      <c r="A1381" s="23" t="s">
        <v>121</v>
      </c>
      <c r="I1381" s="7">
        <f>H1380*H1366</f>
        <v>603.97977600000024</v>
      </c>
      <c r="J1381" s="7">
        <f>I1380*I1366</f>
        <v>221.45925120000007</v>
      </c>
      <c r="K1381" s="7">
        <f>J1380*J1366</f>
        <v>82.879447040000045</v>
      </c>
    </row>
    <row r="1382" spans="1:12" x14ac:dyDescent="0.3">
      <c r="A1382" s="23" t="s">
        <v>138</v>
      </c>
      <c r="I1382" s="7"/>
      <c r="J1382" s="7">
        <f>I1381*I1367</f>
        <v>603.97977600000024</v>
      </c>
      <c r="K1382" s="7">
        <f>J1381*J1367+J1382</f>
        <v>825.43902720000028</v>
      </c>
      <c r="L1382" s="7">
        <f>K1381*K1367+K1382</f>
        <v>908.31847424000034</v>
      </c>
    </row>
    <row r="1383" spans="1:12" x14ac:dyDescent="0.3">
      <c r="A1383" s="23"/>
      <c r="I1383" s="7"/>
    </row>
    <row r="1384" spans="1:12" x14ac:dyDescent="0.3">
      <c r="A1384" s="23" t="s">
        <v>137</v>
      </c>
      <c r="I1384" s="7"/>
      <c r="J1384" s="7">
        <f>I1379*(1-I1365)+I1380*(1-I1366)+I1381*(1-I1367)</f>
        <v>748.68326400000024</v>
      </c>
      <c r="K1384" s="7">
        <f>J1380*(1-J1366)+J1384</f>
        <v>769.40312576000019</v>
      </c>
      <c r="L1384" s="7">
        <f>K1381*(1-K1367)+K1384</f>
        <v>769.40312576000019</v>
      </c>
    </row>
    <row r="1385" spans="1:12" x14ac:dyDescent="0.3">
      <c r="A1385" s="23"/>
      <c r="I1385" s="7"/>
    </row>
    <row r="1386" spans="1:12" x14ac:dyDescent="0.3">
      <c r="A1386" s="11" t="s">
        <v>139</v>
      </c>
      <c r="H1386" s="8">
        <f>SUM(H1387:H1388)</f>
        <v>922.74688000000037</v>
      </c>
      <c r="I1386" s="8">
        <f>SUM(I1387:I1388)</f>
        <v>796.91776000000027</v>
      </c>
      <c r="J1386" s="8">
        <f>SUM(J1387:J1388)</f>
        <v>748.68326400000024</v>
      </c>
      <c r="K1386" s="8">
        <f>SUM(K1387:K1388)</f>
        <v>20.719861760000004</v>
      </c>
    </row>
    <row r="1387" spans="1:12" x14ac:dyDescent="0.3">
      <c r="A1387" s="23" t="s">
        <v>120</v>
      </c>
      <c r="H1387" s="7">
        <f>H1379</f>
        <v>922.74688000000037</v>
      </c>
      <c r="I1387" s="7">
        <f>H1417*(1-H1365)</f>
        <v>645.92281600000024</v>
      </c>
      <c r="J1387" s="7">
        <f>I1379*(1-I1365)</f>
        <v>693.31845120000025</v>
      </c>
    </row>
    <row r="1388" spans="1:12" x14ac:dyDescent="0.3">
      <c r="A1388" s="24" t="s">
        <v>122</v>
      </c>
      <c r="I1388" s="7">
        <f>H1380*(1-H1366)</f>
        <v>150.99494400000003</v>
      </c>
      <c r="J1388" s="7">
        <f>I1380*(1-I1366)</f>
        <v>55.364812800000003</v>
      </c>
      <c r="K1388" s="7">
        <f>J1380*(1-J1366)</f>
        <v>20.719861760000004</v>
      </c>
    </row>
    <row r="1389" spans="1:12" x14ac:dyDescent="0.3">
      <c r="A1389" s="23"/>
      <c r="I1389" s="7"/>
      <c r="J1389" s="7">
        <f>I1381*(1-I1367)</f>
        <v>0</v>
      </c>
      <c r="K1389" s="7">
        <f>J1381*(1-J1367)</f>
        <v>0</v>
      </c>
    </row>
    <row r="1390" spans="1:12" x14ac:dyDescent="0.3">
      <c r="A1390" s="81" t="s">
        <v>123</v>
      </c>
    </row>
    <row r="1391" spans="1:12" x14ac:dyDescent="0.3">
      <c r="A1391" s="23" t="s">
        <v>120</v>
      </c>
      <c r="H1391" s="7">
        <f>H1352-H1359</f>
        <v>160.25641025641022</v>
      </c>
      <c r="I1391" s="7">
        <f>H1391-I1359</f>
        <v>80.128205128205096</v>
      </c>
      <c r="J1391" s="7">
        <f>I1391-J1359</f>
        <v>0</v>
      </c>
    </row>
    <row r="1392" spans="1:12" x14ac:dyDescent="0.3">
      <c r="A1392" s="24" t="s">
        <v>122</v>
      </c>
      <c r="H1392" s="7">
        <f>H1352</f>
        <v>240.38461538461536</v>
      </c>
      <c r="I1392" s="7">
        <f>H1391</f>
        <v>160.25641025641022</v>
      </c>
      <c r="J1392" s="7">
        <f>I1391</f>
        <v>80.128205128205096</v>
      </c>
    </row>
    <row r="1393" spans="1:12" x14ac:dyDescent="0.3">
      <c r="A1393" s="23" t="s">
        <v>121</v>
      </c>
      <c r="I1393" s="7">
        <f>H1392</f>
        <v>240.38461538461536</v>
      </c>
      <c r="J1393" s="7">
        <f>I1392</f>
        <v>160.25641025641022</v>
      </c>
      <c r="K1393" s="7">
        <f>J1392</f>
        <v>80.128205128205096</v>
      </c>
    </row>
    <row r="1394" spans="1:12" x14ac:dyDescent="0.3">
      <c r="A1394" s="23"/>
      <c r="J1394" s="7"/>
      <c r="K1394" s="7"/>
    </row>
    <row r="1395" spans="1:12" x14ac:dyDescent="0.3">
      <c r="A1395" s="23"/>
      <c r="J1395" s="7"/>
      <c r="K1395" s="7"/>
    </row>
    <row r="1396" spans="1:12" x14ac:dyDescent="0.3">
      <c r="A1396" s="11" t="s">
        <v>130</v>
      </c>
      <c r="H1396" s="8">
        <f>SUM(H1397:H1400)</f>
        <v>329360.41025641037</v>
      </c>
      <c r="I1396" s="8">
        <f t="shared" ref="I1396" si="193">SUM(I1397:I1400)</f>
        <v>253405.8666666667</v>
      </c>
      <c r="J1396" s="8">
        <f t="shared" ref="J1396" si="194">SUM(J1397:J1400)</f>
        <v>188978.93743589747</v>
      </c>
      <c r="K1396" s="8">
        <f t="shared" ref="K1396" si="195">SUM(K1397:K1400)</f>
        <v>187318.69210256415</v>
      </c>
    </row>
    <row r="1397" spans="1:12" x14ac:dyDescent="0.3">
      <c r="A1397" s="23" t="s">
        <v>120</v>
      </c>
      <c r="H1397" s="7">
        <f>H1391*H1379</f>
        <v>147876.10256410259</v>
      </c>
      <c r="I1397" s="7">
        <f t="shared" ref="I1397:J1397" si="196">I1391*I1379</f>
        <v>63855.589743589742</v>
      </c>
      <c r="J1397" s="7">
        <f t="shared" si="196"/>
        <v>0</v>
      </c>
    </row>
    <row r="1398" spans="1:12" x14ac:dyDescent="0.3">
      <c r="A1398" s="24" t="s">
        <v>122</v>
      </c>
      <c r="H1398" s="7">
        <f>H1392*H1380</f>
        <v>181484.30769230775</v>
      </c>
      <c r="I1398" s="7">
        <f t="shared" ref="I1398:J1398" si="197">I1392*I1380</f>
        <v>44362.830769230772</v>
      </c>
      <c r="J1398" s="7">
        <f t="shared" si="197"/>
        <v>8301.2266666666674</v>
      </c>
      <c r="K1398" s="7">
        <f>K1392*K1380</f>
        <v>0</v>
      </c>
    </row>
    <row r="1399" spans="1:12" x14ac:dyDescent="0.3">
      <c r="A1399" s="23" t="s">
        <v>121</v>
      </c>
      <c r="I1399" s="7">
        <f>I1393*I1381</f>
        <v>145187.44615384619</v>
      </c>
      <c r="J1399" s="7">
        <f>J1393*J1381</f>
        <v>35490.264615384622</v>
      </c>
      <c r="K1399" s="7">
        <f>K1393*K1381</f>
        <v>6640.9813333333341</v>
      </c>
    </row>
    <row r="1400" spans="1:12" x14ac:dyDescent="0.3">
      <c r="A1400" s="23" t="s">
        <v>299</v>
      </c>
      <c r="J1400" s="8">
        <f>I1399</f>
        <v>145187.44615384619</v>
      </c>
      <c r="K1400" s="8">
        <f>J1400+J1399</f>
        <v>180677.71076923082</v>
      </c>
      <c r="L1400" s="8">
        <f>K1400+K1399</f>
        <v>187318.69210256415</v>
      </c>
    </row>
    <row r="1401" spans="1:12" x14ac:dyDescent="0.3">
      <c r="A1401" s="23"/>
    </row>
    <row r="1402" spans="1:12" x14ac:dyDescent="0.3">
      <c r="A1402" s="105" t="s">
        <v>300</v>
      </c>
      <c r="H1402" s="8">
        <f>L1400</f>
        <v>187318.69210256415</v>
      </c>
    </row>
    <row r="1403" spans="1:12" x14ac:dyDescent="0.3">
      <c r="A1403" s="23"/>
    </row>
    <row r="1404" spans="1:12" x14ac:dyDescent="0.3">
      <c r="A1404" s="11" t="s">
        <v>140</v>
      </c>
      <c r="H1404" s="8">
        <f>SUM(H1406:H1409)</f>
        <v>73938.05128205131</v>
      </c>
      <c r="I1404" s="8">
        <f>SUM(I1406:I1409)</f>
        <v>75954.543589743611</v>
      </c>
      <c r="J1404" s="8">
        <f t="shared" ref="J1404:K1404" si="198">SUM(J1406:J1409)</f>
        <v>64426.929230769252</v>
      </c>
      <c r="K1404" s="8">
        <f t="shared" si="198"/>
        <v>1660.2453333333335</v>
      </c>
    </row>
    <row r="1405" spans="1:12" x14ac:dyDescent="0.3">
      <c r="A1405" s="11"/>
      <c r="H1405" s="8"/>
      <c r="I1405" s="8"/>
      <c r="J1405" s="8"/>
      <c r="K1405" s="8"/>
    </row>
    <row r="1406" spans="1:12" x14ac:dyDescent="0.3">
      <c r="A1406" t="s">
        <v>131</v>
      </c>
      <c r="C1406" s="23" t="s">
        <v>120</v>
      </c>
      <c r="H1406" s="6">
        <f>H1415*H1359</f>
        <v>0</v>
      </c>
    </row>
    <row r="1407" spans="1:12" x14ac:dyDescent="0.3">
      <c r="C1407" s="23"/>
      <c r="H1407" s="6"/>
    </row>
    <row r="1408" spans="1:12" x14ac:dyDescent="0.3">
      <c r="A1408" t="s">
        <v>200</v>
      </c>
      <c r="C1408" s="23" t="s">
        <v>120</v>
      </c>
      <c r="H1408" s="6">
        <f>H1417*H1359</f>
        <v>73938.05128205131</v>
      </c>
      <c r="I1408" s="27">
        <f>I1387*I1359</f>
        <v>51756.635897435917</v>
      </c>
      <c r="J1408" s="27">
        <f t="shared" ref="J1408:K1408" si="199">J1387*J1359</f>
        <v>55554.363076923095</v>
      </c>
      <c r="K1408" s="27">
        <f t="shared" si="199"/>
        <v>0</v>
      </c>
      <c r="L1408" s="27"/>
    </row>
    <row r="1409" spans="1:21" x14ac:dyDescent="0.3">
      <c r="A1409" t="s">
        <v>200</v>
      </c>
      <c r="C1409" s="24" t="s">
        <v>122</v>
      </c>
      <c r="H1409" s="6"/>
      <c r="I1409" s="27">
        <f>I1388*(H1359+I1359)</f>
        <v>24197.907692307697</v>
      </c>
      <c r="J1409" s="27">
        <f t="shared" ref="J1409" si="200">J1388*(I1359+J1359)</f>
        <v>8872.5661538461536</v>
      </c>
      <c r="K1409" s="27">
        <f t="shared" ref="K1409" si="201">K1388*(J1359+K1359)</f>
        <v>1660.2453333333335</v>
      </c>
      <c r="L1409" s="27"/>
    </row>
    <row r="1411" spans="1:21" x14ac:dyDescent="0.3">
      <c r="A1411" s="11" t="s">
        <v>283</v>
      </c>
      <c r="H1411" s="8">
        <f>SUM(H1408:K1409)</f>
        <v>215979.7694358975</v>
      </c>
    </row>
    <row r="1413" spans="1:21" x14ac:dyDescent="0.3">
      <c r="A1413" t="s">
        <v>202</v>
      </c>
      <c r="H1413" s="28">
        <f>H1415*(I1359+J1359)</f>
        <v>0</v>
      </c>
    </row>
    <row r="1415" spans="1:21" x14ac:dyDescent="0.3">
      <c r="A1415" s="72" t="s">
        <v>132</v>
      </c>
      <c r="H1415" s="73">
        <f>H1379*H1361</f>
        <v>0</v>
      </c>
    </row>
    <row r="1417" spans="1:21" x14ac:dyDescent="0.3">
      <c r="A1417" t="s">
        <v>201</v>
      </c>
      <c r="H1417" s="7">
        <f>H1379*H1362</f>
        <v>922.74688000000037</v>
      </c>
    </row>
    <row r="1420" spans="1:21" x14ac:dyDescent="0.3">
      <c r="A1420" s="152" t="s">
        <v>257</v>
      </c>
      <c r="B1420" s="153"/>
      <c r="C1420" s="153"/>
      <c r="D1420" s="153"/>
      <c r="E1420" s="153"/>
      <c r="F1420" s="153"/>
      <c r="G1420" s="153"/>
      <c r="H1420" s="153"/>
      <c r="I1420" s="153"/>
      <c r="J1420" s="153"/>
      <c r="K1420" s="153"/>
      <c r="L1420" s="153"/>
      <c r="M1420" s="153"/>
      <c r="N1420" s="153"/>
      <c r="O1420" s="153"/>
      <c r="P1420" s="153"/>
      <c r="Q1420" s="153"/>
      <c r="R1420" s="153"/>
      <c r="S1420" s="153"/>
      <c r="T1420" s="153"/>
      <c r="U1420" s="154"/>
    </row>
    <row r="1422" spans="1:21" x14ac:dyDescent="0.3">
      <c r="A1422" t="s">
        <v>197</v>
      </c>
      <c r="J1422" s="83">
        <f>I806</f>
        <v>365.70922588569596</v>
      </c>
    </row>
    <row r="1423" spans="1:21" x14ac:dyDescent="0.3">
      <c r="A1423" t="s">
        <v>206</v>
      </c>
      <c r="J1423" s="7">
        <f>J1425*J1422</f>
        <v>365.70922588569596</v>
      </c>
      <c r="M1423" s="77"/>
    </row>
    <row r="1424" spans="1:21" x14ac:dyDescent="0.3">
      <c r="J1424" s="7"/>
      <c r="M1424" s="77"/>
    </row>
    <row r="1425" spans="1:14" x14ac:dyDescent="0.3">
      <c r="A1425" s="11" t="s">
        <v>134</v>
      </c>
      <c r="B1425" s="11"/>
      <c r="C1425" s="11"/>
      <c r="J1425" s="104">
        <f>$E$120</f>
        <v>1</v>
      </c>
      <c r="K1425" s="7">
        <f>K1426*K1427*K1428*K1429</f>
        <v>0</v>
      </c>
      <c r="L1425" s="11"/>
      <c r="N1425" s="11"/>
    </row>
    <row r="1426" spans="1:14" x14ac:dyDescent="0.3">
      <c r="A1426" t="s">
        <v>35</v>
      </c>
      <c r="J1426" s="89">
        <f>M767</f>
        <v>0</v>
      </c>
    </row>
    <row r="1427" spans="1:14" x14ac:dyDescent="0.3">
      <c r="A1427" t="s">
        <v>36</v>
      </c>
      <c r="J1427" s="89">
        <f>0.95</f>
        <v>0.95</v>
      </c>
    </row>
    <row r="1428" spans="1:14" x14ac:dyDescent="0.3">
      <c r="A1428" t="s">
        <v>142</v>
      </c>
      <c r="J1428" s="89">
        <v>0.99</v>
      </c>
    </row>
    <row r="1429" spans="1:14" x14ac:dyDescent="0.3">
      <c r="A1429" t="s">
        <v>37</v>
      </c>
      <c r="J1429" s="89">
        <v>0.98</v>
      </c>
    </row>
    <row r="1432" spans="1:14" x14ac:dyDescent="0.3">
      <c r="A1432" t="s">
        <v>125</v>
      </c>
      <c r="J1432" s="83">
        <f>J1433+I736</f>
        <v>160.25641025641025</v>
      </c>
    </row>
    <row r="1433" spans="1:14" x14ac:dyDescent="0.3">
      <c r="A1433" t="s">
        <v>135</v>
      </c>
      <c r="J1433" s="82">
        <f>$D$46</f>
        <v>32.051282051282051</v>
      </c>
    </row>
    <row r="1435" spans="1:14" x14ac:dyDescent="0.3">
      <c r="A1435" t="s">
        <v>126</v>
      </c>
      <c r="J1435" s="88">
        <f>$D$43</f>
        <v>0.5</v>
      </c>
    </row>
    <row r="1436" spans="1:14" x14ac:dyDescent="0.3">
      <c r="A1436" t="s">
        <v>117</v>
      </c>
      <c r="J1436" s="7">
        <f>J1435*J1432</f>
        <v>80.128205128205124</v>
      </c>
    </row>
    <row r="1438" spans="1:14" x14ac:dyDescent="0.3">
      <c r="A1438" t="s">
        <v>118</v>
      </c>
      <c r="J1438" s="7">
        <f>J1433</f>
        <v>32.051282051282051</v>
      </c>
    </row>
    <row r="1439" spans="1:14" x14ac:dyDescent="0.3">
      <c r="A1439" t="s">
        <v>106</v>
      </c>
      <c r="J1439" s="7">
        <f>J1432*(1+J1435)</f>
        <v>240.38461538461536</v>
      </c>
    </row>
    <row r="1440" spans="1:14" x14ac:dyDescent="0.3">
      <c r="J1440" s="7"/>
    </row>
    <row r="1441" spans="1:13" x14ac:dyDescent="0.3">
      <c r="A1441" t="s">
        <v>136</v>
      </c>
      <c r="J1441" s="7">
        <f>J1438*J1423</f>
        <v>11721.44954761846</v>
      </c>
    </row>
    <row r="1442" spans="1:13" x14ac:dyDescent="0.3">
      <c r="A1442" t="s">
        <v>119</v>
      </c>
      <c r="J1442" s="7">
        <f>J1439*J1423</f>
        <v>87910.871607138441</v>
      </c>
    </row>
    <row r="1443" spans="1:13" x14ac:dyDescent="0.3">
      <c r="J1443" s="7"/>
    </row>
    <row r="1444" spans="1:13" x14ac:dyDescent="0.3">
      <c r="A1444" t="s">
        <v>302</v>
      </c>
      <c r="J1444" s="6">
        <f>J1436*J1423</f>
        <v>29303.623869046151</v>
      </c>
    </row>
    <row r="1445" spans="1:13" x14ac:dyDescent="0.3">
      <c r="J1445" s="7"/>
    </row>
    <row r="1446" spans="1:13" x14ac:dyDescent="0.3">
      <c r="A1446" t="s">
        <v>127</v>
      </c>
      <c r="J1446" s="7">
        <f>J1439/3</f>
        <v>80.128205128205124</v>
      </c>
      <c r="K1446" s="7">
        <f>J1439/3</f>
        <v>80.128205128205124</v>
      </c>
      <c r="L1446" s="7">
        <f>J1439/3</f>
        <v>80.128205128205124</v>
      </c>
    </row>
    <row r="1448" spans="1:13" s="103" customFormat="1" x14ac:dyDescent="0.3">
      <c r="A1448" s="103" t="s">
        <v>128</v>
      </c>
      <c r="J1448" s="79">
        <f>Summary!$B$31</f>
        <v>0</v>
      </c>
    </row>
    <row r="1449" spans="1:13" s="103" customFormat="1" x14ac:dyDescent="0.3">
      <c r="A1449" s="103" t="s">
        <v>129</v>
      </c>
      <c r="J1449" s="79">
        <f>1-J1448</f>
        <v>1</v>
      </c>
    </row>
    <row r="1451" spans="1:13" x14ac:dyDescent="0.3">
      <c r="A1451" s="71" t="s">
        <v>16</v>
      </c>
    </row>
    <row r="1452" spans="1:13" x14ac:dyDescent="0.3">
      <c r="A1452" t="s">
        <v>17</v>
      </c>
      <c r="I1452" s="74">
        <f>Summary!$B$66</f>
        <v>0.45</v>
      </c>
      <c r="J1452" s="74">
        <f>Summary!$B$67</f>
        <v>0.3</v>
      </c>
      <c r="K1452" s="74">
        <f>Summary!$B$68</f>
        <v>0.13</v>
      </c>
      <c r="L1452" s="75"/>
      <c r="M1452" s="75"/>
    </row>
    <row r="1453" spans="1:13" x14ac:dyDescent="0.3">
      <c r="A1453" t="s">
        <v>18</v>
      </c>
      <c r="C1453" s="75"/>
      <c r="J1453" s="74">
        <f>Summary!$B$69</f>
        <v>0.8</v>
      </c>
      <c r="K1453" s="76">
        <f>J1453</f>
        <v>0.8</v>
      </c>
      <c r="L1453" s="76">
        <f>K1453</f>
        <v>0.8</v>
      </c>
      <c r="M1453" s="75"/>
    </row>
    <row r="1454" spans="1:13" x14ac:dyDescent="0.3">
      <c r="A1454" t="s">
        <v>19</v>
      </c>
      <c r="C1454" s="75"/>
      <c r="J1454" s="75"/>
      <c r="K1454" s="74">
        <f>Summary!$B$70</f>
        <v>1</v>
      </c>
      <c r="L1454" s="74">
        <f>K1454</f>
        <v>1</v>
      </c>
      <c r="M1454" s="74">
        <f>L1454</f>
        <v>1</v>
      </c>
    </row>
    <row r="1455" spans="1:13" x14ac:dyDescent="0.3">
      <c r="A1455" t="s">
        <v>20</v>
      </c>
      <c r="M1455" s="21"/>
    </row>
    <row r="1456" spans="1:13" x14ac:dyDescent="0.3">
      <c r="M1456" s="21"/>
    </row>
    <row r="1457" spans="1:14" x14ac:dyDescent="0.3">
      <c r="A1457" s="11" t="s">
        <v>196</v>
      </c>
      <c r="J1457" s="90">
        <f>SUM(J1458:J1461)</f>
        <v>1</v>
      </c>
      <c r="K1457" s="90">
        <f t="shared" ref="K1457:M1457" si="202">SUM(K1458:K1461)</f>
        <v>1</v>
      </c>
      <c r="L1457" s="90">
        <f t="shared" si="202"/>
        <v>0.55375000000000008</v>
      </c>
      <c r="M1457" s="90">
        <f t="shared" si="202"/>
        <v>0.5414000000000001</v>
      </c>
    </row>
    <row r="1458" spans="1:14" x14ac:dyDescent="0.3">
      <c r="A1458" t="s">
        <v>17</v>
      </c>
      <c r="J1458" s="22">
        <f>(1-I1452)*J1449</f>
        <v>0.55000000000000004</v>
      </c>
      <c r="K1458" s="22">
        <f>J1458*(1-J1452)+J1459*(1-J1453)</f>
        <v>0.47499999999999998</v>
      </c>
    </row>
    <row r="1459" spans="1:14" x14ac:dyDescent="0.3">
      <c r="A1459" t="s">
        <v>18</v>
      </c>
      <c r="J1459" s="22">
        <f>I1452</f>
        <v>0.45</v>
      </c>
      <c r="K1459" s="22">
        <f>J1458*J1452</f>
        <v>0.16500000000000001</v>
      </c>
      <c r="L1459" s="22">
        <f>K1458*K1452</f>
        <v>6.1749999999999999E-2</v>
      </c>
      <c r="N1459" s="22"/>
    </row>
    <row r="1460" spans="1:14" x14ac:dyDescent="0.3">
      <c r="A1460" t="s">
        <v>19</v>
      </c>
      <c r="K1460" s="22">
        <f>J1459*J1453</f>
        <v>0.36000000000000004</v>
      </c>
      <c r="L1460" s="22">
        <f>K1459*K1453+K1460</f>
        <v>0.49200000000000005</v>
      </c>
      <c r="M1460" s="22">
        <f>L1459*L1453+L1460</f>
        <v>0.5414000000000001</v>
      </c>
    </row>
    <row r="1461" spans="1:14" x14ac:dyDescent="0.3">
      <c r="K1461" s="22"/>
      <c r="L1461" s="22"/>
    </row>
    <row r="1462" spans="1:14" x14ac:dyDescent="0.3">
      <c r="A1462" t="s">
        <v>195</v>
      </c>
      <c r="J1462" s="22">
        <f>(1-I1452)*J1448</f>
        <v>0</v>
      </c>
      <c r="L1462" s="29">
        <f>K1458*(1-K1452)+K1459*(1-K1453)+K1460*(1-K1454)</f>
        <v>0.44624999999999998</v>
      </c>
      <c r="M1462" s="29">
        <f>L1459*(1-L1453)+L1462</f>
        <v>0.45859999999999995</v>
      </c>
      <c r="N1462" s="22"/>
    </row>
    <row r="1463" spans="1:14" x14ac:dyDescent="0.3">
      <c r="J1463" s="22"/>
      <c r="L1463" s="29"/>
      <c r="M1463" s="29"/>
      <c r="N1463" s="22"/>
    </row>
    <row r="1464" spans="1:14" x14ac:dyDescent="0.3">
      <c r="J1464" s="25" t="s">
        <v>32</v>
      </c>
    </row>
    <row r="1465" spans="1:14" x14ac:dyDescent="0.3">
      <c r="A1465" s="11" t="s">
        <v>124</v>
      </c>
      <c r="J1465" s="8">
        <f>SUM(J1466:J1469)</f>
        <v>365.70922588569596</v>
      </c>
      <c r="K1465" s="8">
        <f t="shared" ref="K1465:L1465" si="203">SUM(K1466:K1469)</f>
        <v>365.7092258856959</v>
      </c>
      <c r="L1465" s="8">
        <f t="shared" si="203"/>
        <v>202.51148383420414</v>
      </c>
    </row>
    <row r="1466" spans="1:14" x14ac:dyDescent="0.3">
      <c r="A1466" s="23" t="s">
        <v>120</v>
      </c>
      <c r="J1466" s="7">
        <f>J1423*(1-I1452)</f>
        <v>201.14007423713278</v>
      </c>
      <c r="K1466" s="82">
        <f>J1504*(1-J1452)+J1467*(1-J1453)</f>
        <v>173.71188229570555</v>
      </c>
    </row>
    <row r="1467" spans="1:14" x14ac:dyDescent="0.3">
      <c r="A1467" s="24" t="s">
        <v>122</v>
      </c>
      <c r="J1467" s="7">
        <f>J1423*I1452</f>
        <v>164.56915164856318</v>
      </c>
      <c r="K1467" s="7">
        <f>J1504*J1452</f>
        <v>60.342022271139832</v>
      </c>
      <c r="L1467" s="7">
        <f>K1466*K1452</f>
        <v>22.582544698441723</v>
      </c>
      <c r="M1467" s="7">
        <f>L1466*L1452</f>
        <v>0</v>
      </c>
    </row>
    <row r="1468" spans="1:14" x14ac:dyDescent="0.3">
      <c r="A1468" s="23" t="s">
        <v>121</v>
      </c>
      <c r="K1468" s="7">
        <f>J1467*J1453</f>
        <v>131.65532131885055</v>
      </c>
      <c r="L1468" s="7">
        <f>K1467*K1453</f>
        <v>48.273617816911866</v>
      </c>
      <c r="M1468" s="7">
        <f>L1467*L1453</f>
        <v>18.06603575875338</v>
      </c>
    </row>
    <row r="1469" spans="1:14" x14ac:dyDescent="0.3">
      <c r="A1469" s="23" t="s">
        <v>138</v>
      </c>
      <c r="K1469" s="7"/>
      <c r="L1469" s="7">
        <f>K1468*K1454</f>
        <v>131.65532131885055</v>
      </c>
      <c r="M1469" s="7">
        <f>L1468*L1454+L1469</f>
        <v>179.92893913576242</v>
      </c>
      <c r="N1469" s="7">
        <f>M1468*M1454+M1469</f>
        <v>197.99497489451579</v>
      </c>
    </row>
    <row r="1470" spans="1:14" x14ac:dyDescent="0.3">
      <c r="A1470" s="23"/>
      <c r="K1470" s="7"/>
    </row>
    <row r="1471" spans="1:14" x14ac:dyDescent="0.3">
      <c r="A1471" s="23" t="s">
        <v>137</v>
      </c>
      <c r="K1471" s="7"/>
      <c r="L1471" s="7">
        <f>K1466*(1-K1452)+K1467*(1-K1453)+K1468*(1-K1454)</f>
        <v>163.19774205149179</v>
      </c>
      <c r="M1471" s="7">
        <f>L1467*(1-L1453)+L1471</f>
        <v>167.71425099118014</v>
      </c>
      <c r="N1471" s="7">
        <f>M1468*(1-M1454)+M1471</f>
        <v>167.71425099118014</v>
      </c>
    </row>
    <row r="1472" spans="1:14" x14ac:dyDescent="0.3">
      <c r="A1472" s="23"/>
      <c r="K1472" s="7"/>
    </row>
    <row r="1473" spans="1:14" x14ac:dyDescent="0.3">
      <c r="A1473" s="11" t="s">
        <v>139</v>
      </c>
      <c r="J1473" s="8">
        <f>SUM(J1474:J1475)</f>
        <v>201.14007423713278</v>
      </c>
      <c r="K1473" s="8">
        <f>SUM(K1474:K1475)</f>
        <v>173.71188229570555</v>
      </c>
      <c r="L1473" s="8">
        <f>SUM(L1474:L1475)</f>
        <v>163.19774205149179</v>
      </c>
      <c r="M1473" s="8">
        <f>SUM(M1474:M1475)</f>
        <v>4.5165089396883431</v>
      </c>
    </row>
    <row r="1474" spans="1:14" x14ac:dyDescent="0.3">
      <c r="A1474" s="23" t="s">
        <v>120</v>
      </c>
      <c r="J1474" s="7">
        <f>J1466</f>
        <v>201.14007423713278</v>
      </c>
      <c r="K1474" s="7">
        <f>J1504*(1-J1452)</f>
        <v>140.79805196599293</v>
      </c>
      <c r="L1474" s="7">
        <f>K1466*(1-K1452)</f>
        <v>151.12933759726383</v>
      </c>
    </row>
    <row r="1475" spans="1:14" x14ac:dyDescent="0.3">
      <c r="A1475" s="24" t="s">
        <v>122</v>
      </c>
      <c r="K1475" s="7">
        <f>J1467*(1-J1453)</f>
        <v>32.913830329712631</v>
      </c>
      <c r="L1475" s="7">
        <f>K1467*(1-K1453)</f>
        <v>12.068404454227963</v>
      </c>
      <c r="M1475" s="7">
        <f>L1467*(1-L1453)</f>
        <v>4.5165089396883431</v>
      </c>
    </row>
    <row r="1476" spans="1:14" x14ac:dyDescent="0.3">
      <c r="A1476" s="23"/>
      <c r="K1476" s="7"/>
      <c r="L1476" s="7">
        <f>K1468*(1-K1454)</f>
        <v>0</v>
      </c>
      <c r="M1476" s="7">
        <f>L1468*(1-L1454)</f>
        <v>0</v>
      </c>
    </row>
    <row r="1477" spans="1:14" x14ac:dyDescent="0.3">
      <c r="A1477" s="81" t="s">
        <v>123</v>
      </c>
    </row>
    <row r="1478" spans="1:14" x14ac:dyDescent="0.3">
      <c r="A1478" s="23" t="s">
        <v>120</v>
      </c>
      <c r="J1478" s="7">
        <f>J1439-J1446</f>
        <v>160.25641025641022</v>
      </c>
      <c r="K1478" s="7">
        <f>J1478-K1446</f>
        <v>80.128205128205096</v>
      </c>
      <c r="L1478" s="7">
        <f>K1478-L1446</f>
        <v>0</v>
      </c>
    </row>
    <row r="1479" spans="1:14" x14ac:dyDescent="0.3">
      <c r="A1479" s="24" t="s">
        <v>122</v>
      </c>
      <c r="J1479" s="7">
        <f>J1439</f>
        <v>240.38461538461536</v>
      </c>
      <c r="K1479" s="7">
        <f>J1478</f>
        <v>160.25641025641022</v>
      </c>
      <c r="L1479" s="7">
        <f>K1478</f>
        <v>80.128205128205096</v>
      </c>
    </row>
    <row r="1480" spans="1:14" x14ac:dyDescent="0.3">
      <c r="A1480" s="23" t="s">
        <v>121</v>
      </c>
      <c r="K1480" s="7">
        <f>J1479</f>
        <v>240.38461538461536</v>
      </c>
      <c r="L1480" s="7">
        <f>K1479</f>
        <v>160.25641025641022</v>
      </c>
      <c r="M1480" s="7">
        <f>L1479</f>
        <v>80.128205128205096</v>
      </c>
    </row>
    <row r="1481" spans="1:14" x14ac:dyDescent="0.3">
      <c r="A1481" s="23"/>
      <c r="L1481" s="7"/>
      <c r="M1481" s="7"/>
    </row>
    <row r="1482" spans="1:14" x14ac:dyDescent="0.3">
      <c r="A1482" s="23"/>
      <c r="L1482" s="7"/>
      <c r="M1482" s="7"/>
    </row>
    <row r="1483" spans="1:14" x14ac:dyDescent="0.3">
      <c r="A1483" s="11" t="s">
        <v>130</v>
      </c>
      <c r="J1483" s="8">
        <f>SUM(J1484:J1487)</f>
        <v>71793.878479163061</v>
      </c>
      <c r="K1483" s="8">
        <f t="shared" ref="K1483:M1483" si="204">SUM(K1484:K1487)</f>
        <v>55237.330993151976</v>
      </c>
      <c r="L1483" s="8">
        <f t="shared" si="204"/>
        <v>41193.569253911621</v>
      </c>
      <c r="M1483" s="8">
        <f t="shared" si="204"/>
        <v>40831.669499128904</v>
      </c>
    </row>
    <row r="1484" spans="1:14" x14ac:dyDescent="0.3">
      <c r="A1484" s="23" t="s">
        <v>120</v>
      </c>
      <c r="J1484" s="7">
        <f>J1478*J1466</f>
        <v>32233.98625595076</v>
      </c>
      <c r="K1484" s="7">
        <f t="shared" ref="K1484:L1484" si="205">K1478*K1466</f>
        <v>13919.221337796913</v>
      </c>
      <c r="L1484" s="7">
        <f t="shared" si="205"/>
        <v>0</v>
      </c>
    </row>
    <row r="1485" spans="1:14" x14ac:dyDescent="0.3">
      <c r="A1485" s="24" t="s">
        <v>122</v>
      </c>
      <c r="J1485" s="7">
        <f>J1479*J1467</f>
        <v>39559.8922232123</v>
      </c>
      <c r="K1485" s="7">
        <f t="shared" ref="K1485:L1485" si="206">K1479*K1467</f>
        <v>9670.1958767852266</v>
      </c>
      <c r="L1485" s="7">
        <f t="shared" si="206"/>
        <v>1809.4987739135988</v>
      </c>
      <c r="M1485" s="7">
        <f>M1479*M1467</f>
        <v>0</v>
      </c>
    </row>
    <row r="1486" spans="1:14" x14ac:dyDescent="0.3">
      <c r="A1486" s="23" t="s">
        <v>121</v>
      </c>
      <c r="K1486" s="7">
        <f>K1480*K1468</f>
        <v>31647.91377856984</v>
      </c>
      <c r="L1486" s="7">
        <f>L1480*L1468</f>
        <v>7736.1567014281818</v>
      </c>
      <c r="M1486" s="7">
        <f>M1480*M1468</f>
        <v>1447.5990191308792</v>
      </c>
    </row>
    <row r="1487" spans="1:14" x14ac:dyDescent="0.3">
      <c r="A1487" s="23" t="s">
        <v>299</v>
      </c>
      <c r="L1487" s="8">
        <f>K1486</f>
        <v>31647.91377856984</v>
      </c>
      <c r="M1487" s="8">
        <f>L1487+L1486</f>
        <v>39384.070479998023</v>
      </c>
      <c r="N1487" s="8">
        <f>M1487+M1486</f>
        <v>40831.669499128904</v>
      </c>
    </row>
    <row r="1488" spans="1:14" x14ac:dyDescent="0.3">
      <c r="A1488" s="23"/>
    </row>
    <row r="1489" spans="1:14" x14ac:dyDescent="0.3">
      <c r="A1489" s="105" t="s">
        <v>300</v>
      </c>
      <c r="J1489" s="8">
        <f>N1487</f>
        <v>40831.669499128904</v>
      </c>
    </row>
    <row r="1490" spans="1:14" x14ac:dyDescent="0.3">
      <c r="A1490" s="23"/>
    </row>
    <row r="1491" spans="1:14" x14ac:dyDescent="0.3">
      <c r="A1491" s="11" t="s">
        <v>140</v>
      </c>
      <c r="J1491" s="8">
        <f>SUM(J1493:J1496)</f>
        <v>16116.993127975382</v>
      </c>
      <c r="K1491" s="8">
        <f>SUM(K1493:K1496)</f>
        <v>16556.547486011073</v>
      </c>
      <c r="L1491" s="8">
        <f t="shared" ref="L1491:M1491" si="207">SUM(L1493:L1496)</f>
        <v>14043.761739240364</v>
      </c>
      <c r="M1491" s="8">
        <f t="shared" si="207"/>
        <v>361.89975478271975</v>
      </c>
    </row>
    <row r="1492" spans="1:14" x14ac:dyDescent="0.3">
      <c r="A1492" s="11"/>
      <c r="J1492" s="8"/>
      <c r="K1492" s="8"/>
      <c r="L1492" s="8"/>
      <c r="M1492" s="8"/>
    </row>
    <row r="1493" spans="1:14" x14ac:dyDescent="0.3">
      <c r="A1493" t="s">
        <v>131</v>
      </c>
      <c r="C1493" s="23" t="s">
        <v>120</v>
      </c>
      <c r="J1493" s="6">
        <f>J1502*J1446</f>
        <v>0</v>
      </c>
    </row>
    <row r="1494" spans="1:14" x14ac:dyDescent="0.3">
      <c r="C1494" s="23"/>
      <c r="J1494" s="6"/>
    </row>
    <row r="1495" spans="1:14" x14ac:dyDescent="0.3">
      <c r="A1495" t="s">
        <v>200</v>
      </c>
      <c r="C1495" s="23" t="s">
        <v>120</v>
      </c>
      <c r="J1495" s="6">
        <f>J1504*J1446</f>
        <v>16116.993127975382</v>
      </c>
      <c r="K1495" s="27">
        <f>K1474*K1446</f>
        <v>11281.895189582767</v>
      </c>
      <c r="L1495" s="27">
        <f t="shared" ref="L1495:M1495" si="208">L1474*L1446</f>
        <v>12109.722563883319</v>
      </c>
      <c r="M1495" s="27">
        <f t="shared" si="208"/>
        <v>0</v>
      </c>
      <c r="N1495" s="27"/>
    </row>
    <row r="1496" spans="1:14" x14ac:dyDescent="0.3">
      <c r="A1496" t="s">
        <v>200</v>
      </c>
      <c r="C1496" s="24" t="s">
        <v>122</v>
      </c>
      <c r="J1496" s="6"/>
      <c r="K1496" s="27">
        <f>K1475*(J1446+K1446)</f>
        <v>5274.6522964283058</v>
      </c>
      <c r="L1496" s="27">
        <f t="shared" ref="L1496" si="209">L1475*(K1446+L1446)</f>
        <v>1934.0391753570452</v>
      </c>
      <c r="M1496" s="27">
        <f t="shared" ref="M1496" si="210">M1475*(L1446+M1446)</f>
        <v>361.89975478271975</v>
      </c>
      <c r="N1496" s="27"/>
    </row>
    <row r="1498" spans="1:14" x14ac:dyDescent="0.3">
      <c r="A1498" s="11" t="s">
        <v>283</v>
      </c>
      <c r="J1498" s="8">
        <f>SUM(J1495:M1496)</f>
        <v>47079.202108009536</v>
      </c>
    </row>
    <row r="1500" spans="1:14" x14ac:dyDescent="0.3">
      <c r="A1500" t="s">
        <v>202</v>
      </c>
      <c r="J1500" s="28">
        <f>J1502*(K1446+L1446)</f>
        <v>0</v>
      </c>
    </row>
    <row r="1502" spans="1:14" x14ac:dyDescent="0.3">
      <c r="A1502" s="72" t="s">
        <v>132</v>
      </c>
      <c r="J1502" s="73">
        <f>J1466*J1448</f>
        <v>0</v>
      </c>
    </row>
    <row r="1504" spans="1:14" x14ac:dyDescent="0.3">
      <c r="A1504" t="s">
        <v>201</v>
      </c>
      <c r="J1504" s="7">
        <f>J1466*J1449</f>
        <v>201.14007423713278</v>
      </c>
    </row>
    <row r="1509" spans="1:21" x14ac:dyDescent="0.3">
      <c r="A1509" s="152" t="s">
        <v>260</v>
      </c>
      <c r="B1509" s="153"/>
      <c r="C1509" s="153"/>
      <c r="D1509" s="153"/>
      <c r="E1509" s="153"/>
      <c r="F1509" s="153"/>
      <c r="G1509" s="153"/>
      <c r="H1509" s="153"/>
      <c r="I1509" s="153"/>
      <c r="J1509" s="153"/>
      <c r="K1509" s="153"/>
      <c r="L1509" s="153"/>
      <c r="M1509" s="153"/>
      <c r="N1509" s="153"/>
      <c r="O1509" s="153"/>
      <c r="P1509" s="153"/>
      <c r="Q1509" s="153"/>
      <c r="R1509" s="153"/>
      <c r="S1509" s="153"/>
      <c r="T1509" s="153"/>
      <c r="U1509" s="154"/>
    </row>
    <row r="1511" spans="1:21" x14ac:dyDescent="0.3">
      <c r="A1511" t="s">
        <v>197</v>
      </c>
      <c r="J1511" s="83">
        <f>I893</f>
        <v>365.70922588569601</v>
      </c>
    </row>
    <row r="1512" spans="1:21" x14ac:dyDescent="0.3">
      <c r="A1512" t="s">
        <v>206</v>
      </c>
      <c r="J1512" s="7">
        <f>J1514*J1511</f>
        <v>365.70922588569601</v>
      </c>
      <c r="M1512" s="77"/>
    </row>
    <row r="1513" spans="1:21" x14ac:dyDescent="0.3">
      <c r="J1513" s="7"/>
      <c r="M1513" s="77"/>
    </row>
    <row r="1514" spans="1:21" x14ac:dyDescent="0.3">
      <c r="A1514" s="11" t="s">
        <v>134</v>
      </c>
      <c r="B1514" s="11"/>
      <c r="C1514" s="11"/>
      <c r="J1514" s="104">
        <f>$E$120</f>
        <v>1</v>
      </c>
      <c r="K1514" s="7">
        <f>K1515*K1516*K1517*K1518</f>
        <v>0</v>
      </c>
      <c r="L1514" s="11"/>
      <c r="N1514" s="11"/>
    </row>
    <row r="1515" spans="1:21" x14ac:dyDescent="0.3">
      <c r="A1515" t="s">
        <v>35</v>
      </c>
      <c r="J1515" s="89">
        <f>M856</f>
        <v>0</v>
      </c>
    </row>
    <row r="1516" spans="1:21" x14ac:dyDescent="0.3">
      <c r="A1516" t="s">
        <v>36</v>
      </c>
      <c r="J1516" s="89">
        <f>0.95</f>
        <v>0.95</v>
      </c>
    </row>
    <row r="1517" spans="1:21" x14ac:dyDescent="0.3">
      <c r="A1517" t="s">
        <v>142</v>
      </c>
      <c r="J1517" s="89">
        <v>0.99</v>
      </c>
    </row>
    <row r="1518" spans="1:21" x14ac:dyDescent="0.3">
      <c r="A1518" t="s">
        <v>37</v>
      </c>
      <c r="J1518" s="89">
        <v>0.98</v>
      </c>
    </row>
    <row r="1521" spans="1:12" x14ac:dyDescent="0.3">
      <c r="A1521" t="s">
        <v>125</v>
      </c>
      <c r="J1521" s="83">
        <f>J1522+I823</f>
        <v>160.25641025641025</v>
      </c>
    </row>
    <row r="1522" spans="1:12" x14ac:dyDescent="0.3">
      <c r="A1522" t="s">
        <v>135</v>
      </c>
      <c r="J1522" s="82">
        <f>$D$46</f>
        <v>32.051282051282051</v>
      </c>
    </row>
    <row r="1524" spans="1:12" x14ac:dyDescent="0.3">
      <c r="A1524" t="s">
        <v>126</v>
      </c>
      <c r="J1524" s="88">
        <f>$D$43</f>
        <v>0.5</v>
      </c>
    </row>
    <row r="1525" spans="1:12" x14ac:dyDescent="0.3">
      <c r="A1525" t="s">
        <v>117</v>
      </c>
      <c r="J1525" s="7">
        <f>J1524*J1521</f>
        <v>80.128205128205124</v>
      </c>
    </row>
    <row r="1527" spans="1:12" x14ac:dyDescent="0.3">
      <c r="A1527" t="s">
        <v>118</v>
      </c>
      <c r="J1527" s="7">
        <f>J1522</f>
        <v>32.051282051282051</v>
      </c>
    </row>
    <row r="1528" spans="1:12" x14ac:dyDescent="0.3">
      <c r="A1528" t="s">
        <v>106</v>
      </c>
      <c r="J1528" s="7">
        <f>J1521*(1+J1524)</f>
        <v>240.38461538461536</v>
      </c>
    </row>
    <row r="1529" spans="1:12" x14ac:dyDescent="0.3">
      <c r="J1529" s="7"/>
    </row>
    <row r="1530" spans="1:12" x14ac:dyDescent="0.3">
      <c r="A1530" t="s">
        <v>136</v>
      </c>
      <c r="J1530" s="7">
        <f>J1527*J1512</f>
        <v>11721.449547618462</v>
      </c>
    </row>
    <row r="1531" spans="1:12" x14ac:dyDescent="0.3">
      <c r="A1531" t="s">
        <v>119</v>
      </c>
      <c r="J1531" s="7">
        <f>J1528*J1512</f>
        <v>87910.871607138455</v>
      </c>
    </row>
    <row r="1532" spans="1:12" x14ac:dyDescent="0.3">
      <c r="J1532" s="7"/>
    </row>
    <row r="1533" spans="1:12" x14ac:dyDescent="0.3">
      <c r="A1533" t="s">
        <v>302</v>
      </c>
      <c r="J1533" s="6">
        <f>J1525*J1512</f>
        <v>29303.623869046154</v>
      </c>
    </row>
    <row r="1534" spans="1:12" x14ac:dyDescent="0.3">
      <c r="J1534" s="7"/>
    </row>
    <row r="1535" spans="1:12" x14ac:dyDescent="0.3">
      <c r="A1535" t="s">
        <v>127</v>
      </c>
      <c r="J1535" s="7">
        <f>J1528/3</f>
        <v>80.128205128205124</v>
      </c>
      <c r="K1535" s="7">
        <f>J1528/3</f>
        <v>80.128205128205124</v>
      </c>
      <c r="L1535" s="7">
        <f>J1528/3</f>
        <v>80.128205128205124</v>
      </c>
    </row>
    <row r="1537" spans="1:14" s="103" customFormat="1" x14ac:dyDescent="0.3">
      <c r="A1537" s="103" t="s">
        <v>128</v>
      </c>
      <c r="J1537" s="79">
        <f>Summary!$B$31</f>
        <v>0</v>
      </c>
    </row>
    <row r="1538" spans="1:14" s="103" customFormat="1" x14ac:dyDescent="0.3">
      <c r="A1538" s="103" t="s">
        <v>129</v>
      </c>
      <c r="J1538" s="79">
        <f>1-J1537</f>
        <v>1</v>
      </c>
    </row>
    <row r="1540" spans="1:14" x14ac:dyDescent="0.3">
      <c r="A1540" s="71" t="s">
        <v>16</v>
      </c>
    </row>
    <row r="1541" spans="1:14" x14ac:dyDescent="0.3">
      <c r="A1541" t="s">
        <v>17</v>
      </c>
      <c r="I1541" s="74">
        <f>Summary!$B$66</f>
        <v>0.45</v>
      </c>
      <c r="J1541" s="74">
        <f>Summary!$B$67</f>
        <v>0.3</v>
      </c>
      <c r="K1541" s="74">
        <f>Summary!$B$68</f>
        <v>0.13</v>
      </c>
      <c r="L1541" s="75"/>
      <c r="M1541" s="75"/>
    </row>
    <row r="1542" spans="1:14" x14ac:dyDescent="0.3">
      <c r="A1542" t="s">
        <v>18</v>
      </c>
      <c r="C1542" s="75"/>
      <c r="J1542" s="74">
        <f>Summary!$B$69</f>
        <v>0.8</v>
      </c>
      <c r="K1542" s="76">
        <f>J1542</f>
        <v>0.8</v>
      </c>
      <c r="L1542" s="76">
        <f>K1542</f>
        <v>0.8</v>
      </c>
      <c r="M1542" s="75"/>
    </row>
    <row r="1543" spans="1:14" x14ac:dyDescent="0.3">
      <c r="A1543" t="s">
        <v>19</v>
      </c>
      <c r="C1543" s="75"/>
      <c r="J1543" s="75"/>
      <c r="K1543" s="74">
        <f>Summary!$B$70</f>
        <v>1</v>
      </c>
      <c r="L1543" s="74">
        <f>K1543</f>
        <v>1</v>
      </c>
      <c r="M1543" s="74">
        <f>L1543</f>
        <v>1</v>
      </c>
    </row>
    <row r="1544" spans="1:14" x14ac:dyDescent="0.3">
      <c r="A1544" t="s">
        <v>20</v>
      </c>
      <c r="M1544" s="21"/>
    </row>
    <row r="1545" spans="1:14" x14ac:dyDescent="0.3">
      <c r="M1545" s="21"/>
    </row>
    <row r="1546" spans="1:14" x14ac:dyDescent="0.3">
      <c r="A1546" s="11" t="s">
        <v>196</v>
      </c>
      <c r="J1546" s="90">
        <f>SUM(J1547:J1550)</f>
        <v>1</v>
      </c>
      <c r="K1546" s="90">
        <f t="shared" ref="K1546:M1546" si="211">SUM(K1547:K1550)</f>
        <v>1</v>
      </c>
      <c r="L1546" s="90">
        <f t="shared" si="211"/>
        <v>0.55375000000000008</v>
      </c>
      <c r="M1546" s="90">
        <f t="shared" si="211"/>
        <v>0.5414000000000001</v>
      </c>
    </row>
    <row r="1547" spans="1:14" x14ac:dyDescent="0.3">
      <c r="A1547" t="s">
        <v>17</v>
      </c>
      <c r="J1547" s="22">
        <f>(1-I1541)*J1538</f>
        <v>0.55000000000000004</v>
      </c>
      <c r="K1547" s="22">
        <f>J1547*(1-J1541)+J1548*(1-J1542)</f>
        <v>0.47499999999999998</v>
      </c>
    </row>
    <row r="1548" spans="1:14" x14ac:dyDescent="0.3">
      <c r="A1548" t="s">
        <v>18</v>
      </c>
      <c r="J1548" s="22">
        <f>I1541</f>
        <v>0.45</v>
      </c>
      <c r="K1548" s="22">
        <f>J1547*J1541</f>
        <v>0.16500000000000001</v>
      </c>
      <c r="L1548" s="22">
        <f>K1547*K1541</f>
        <v>6.1749999999999999E-2</v>
      </c>
      <c r="N1548" s="22"/>
    </row>
    <row r="1549" spans="1:14" x14ac:dyDescent="0.3">
      <c r="A1549" t="s">
        <v>19</v>
      </c>
      <c r="K1549" s="22">
        <f>J1548*J1542</f>
        <v>0.36000000000000004</v>
      </c>
      <c r="L1549" s="22">
        <f>K1548*K1542+K1549</f>
        <v>0.49200000000000005</v>
      </c>
      <c r="M1549" s="22">
        <f>L1548*L1542+L1549</f>
        <v>0.5414000000000001</v>
      </c>
    </row>
    <row r="1550" spans="1:14" x14ac:dyDescent="0.3">
      <c r="K1550" s="22"/>
      <c r="L1550" s="22"/>
    </row>
    <row r="1551" spans="1:14" x14ac:dyDescent="0.3">
      <c r="A1551" t="s">
        <v>195</v>
      </c>
      <c r="J1551" s="22">
        <f>(1-I1541)*J1537</f>
        <v>0</v>
      </c>
      <c r="L1551" s="29">
        <f>K1547*(1-K1541)+K1548*(1-K1542)+K1549*(1-K1543)</f>
        <v>0.44624999999999998</v>
      </c>
      <c r="M1551" s="29">
        <f>L1548*(1-L1542)+L1551</f>
        <v>0.45859999999999995</v>
      </c>
      <c r="N1551" s="22"/>
    </row>
    <row r="1552" spans="1:14" x14ac:dyDescent="0.3">
      <c r="J1552" s="22"/>
      <c r="L1552" s="29"/>
      <c r="M1552" s="29"/>
      <c r="N1552" s="22"/>
    </row>
    <row r="1553" spans="1:14" x14ac:dyDescent="0.3">
      <c r="J1553" s="25" t="s">
        <v>32</v>
      </c>
    </row>
    <row r="1554" spans="1:14" x14ac:dyDescent="0.3">
      <c r="A1554" s="11" t="s">
        <v>124</v>
      </c>
      <c r="J1554" s="8">
        <f>SUM(J1555:J1558)</f>
        <v>365.70922588569601</v>
      </c>
      <c r="K1554" s="8">
        <f t="shared" ref="K1554:L1554" si="212">SUM(K1555:K1558)</f>
        <v>365.70922588569601</v>
      </c>
      <c r="L1554" s="8">
        <f t="shared" si="212"/>
        <v>202.5114838342042</v>
      </c>
    </row>
    <row r="1555" spans="1:14" x14ac:dyDescent="0.3">
      <c r="A1555" s="23" t="s">
        <v>120</v>
      </c>
      <c r="J1555" s="7">
        <f>J1512*(1-I1541)</f>
        <v>201.14007423713284</v>
      </c>
      <c r="K1555" s="82">
        <f>J1593*(1-J1541)+J1556*(1-J1542)</f>
        <v>173.71188229570561</v>
      </c>
    </row>
    <row r="1556" spans="1:14" x14ac:dyDescent="0.3">
      <c r="A1556" s="24" t="s">
        <v>122</v>
      </c>
      <c r="J1556" s="7">
        <f>J1512*I1541</f>
        <v>164.56915164856321</v>
      </c>
      <c r="K1556" s="7">
        <f>J1593*J1541</f>
        <v>60.342022271139847</v>
      </c>
      <c r="L1556" s="7">
        <f>K1555*K1541</f>
        <v>22.58254469844173</v>
      </c>
      <c r="M1556" s="7">
        <f>L1555*L1541</f>
        <v>0</v>
      </c>
    </row>
    <row r="1557" spans="1:14" x14ac:dyDescent="0.3">
      <c r="A1557" s="23" t="s">
        <v>121</v>
      </c>
      <c r="K1557" s="7">
        <f>J1556*J1542</f>
        <v>131.65532131885058</v>
      </c>
      <c r="L1557" s="7">
        <f>K1556*K1542</f>
        <v>48.27361781691188</v>
      </c>
      <c r="M1557" s="7">
        <f>L1556*L1542</f>
        <v>18.066035758753383</v>
      </c>
    </row>
    <row r="1558" spans="1:14" x14ac:dyDescent="0.3">
      <c r="A1558" s="23" t="s">
        <v>138</v>
      </c>
      <c r="K1558" s="7"/>
      <c r="L1558" s="7">
        <f>K1557*K1543</f>
        <v>131.65532131885058</v>
      </c>
      <c r="M1558" s="7">
        <f>L1557*L1543+L1558</f>
        <v>179.92893913576245</v>
      </c>
      <c r="N1558" s="7">
        <f>M1557*M1543+M1558</f>
        <v>197.99497489451582</v>
      </c>
    </row>
    <row r="1559" spans="1:14" x14ac:dyDescent="0.3">
      <c r="A1559" s="23"/>
      <c r="K1559" s="7"/>
    </row>
    <row r="1560" spans="1:14" x14ac:dyDescent="0.3">
      <c r="A1560" s="23" t="s">
        <v>137</v>
      </c>
      <c r="K1560" s="7"/>
      <c r="L1560" s="7">
        <f>K1555*(1-K1541)+K1556*(1-K1542)+K1557*(1-K1543)</f>
        <v>163.19774205149184</v>
      </c>
      <c r="M1560" s="7">
        <f>L1556*(1-L1542)+L1560</f>
        <v>167.71425099118019</v>
      </c>
      <c r="N1560" s="7">
        <f>M1557*(1-M1543)+M1560</f>
        <v>167.71425099118019</v>
      </c>
    </row>
    <row r="1561" spans="1:14" x14ac:dyDescent="0.3">
      <c r="A1561" s="23"/>
      <c r="K1561" s="7"/>
    </row>
    <row r="1562" spans="1:14" x14ac:dyDescent="0.3">
      <c r="A1562" s="11" t="s">
        <v>139</v>
      </c>
      <c r="J1562" s="8">
        <f>SUM(J1563:J1564)</f>
        <v>201.14007423713284</v>
      </c>
      <c r="K1562" s="8">
        <f>SUM(K1563:K1564)</f>
        <v>173.71188229570561</v>
      </c>
      <c r="L1562" s="8">
        <f>SUM(L1563:L1564)</f>
        <v>163.19774205149184</v>
      </c>
      <c r="M1562" s="8">
        <f>SUM(M1563:M1564)</f>
        <v>4.5165089396883449</v>
      </c>
    </row>
    <row r="1563" spans="1:14" x14ac:dyDescent="0.3">
      <c r="A1563" s="23" t="s">
        <v>120</v>
      </c>
      <c r="J1563" s="7">
        <f>J1555</f>
        <v>201.14007423713284</v>
      </c>
      <c r="K1563" s="7">
        <f>J1593*(1-J1541)</f>
        <v>140.79805196599298</v>
      </c>
      <c r="L1563" s="7">
        <f>K1555*(1-K1541)</f>
        <v>151.12933759726388</v>
      </c>
    </row>
    <row r="1564" spans="1:14" x14ac:dyDescent="0.3">
      <c r="A1564" s="24" t="s">
        <v>122</v>
      </c>
      <c r="K1564" s="7">
        <f>J1556*(1-J1542)</f>
        <v>32.913830329712631</v>
      </c>
      <c r="L1564" s="7">
        <f>K1556*(1-K1542)</f>
        <v>12.068404454227966</v>
      </c>
      <c r="M1564" s="7">
        <f>L1556*(1-L1542)</f>
        <v>4.5165089396883449</v>
      </c>
    </row>
    <row r="1565" spans="1:14" x14ac:dyDescent="0.3">
      <c r="A1565" s="23"/>
      <c r="K1565" s="7"/>
      <c r="L1565" s="7">
        <f>K1557*(1-K1543)</f>
        <v>0</v>
      </c>
      <c r="M1565" s="7">
        <f>L1557*(1-L1543)</f>
        <v>0</v>
      </c>
    </row>
    <row r="1566" spans="1:14" x14ac:dyDescent="0.3">
      <c r="A1566" s="81" t="s">
        <v>123</v>
      </c>
    </row>
    <row r="1567" spans="1:14" x14ac:dyDescent="0.3">
      <c r="A1567" s="23" t="s">
        <v>120</v>
      </c>
      <c r="J1567" s="7">
        <f>J1528-J1535</f>
        <v>160.25641025641022</v>
      </c>
      <c r="K1567" s="7">
        <f>J1567-K1535</f>
        <v>80.128205128205096</v>
      </c>
      <c r="L1567" s="7">
        <f>K1567-L1535</f>
        <v>0</v>
      </c>
    </row>
    <row r="1568" spans="1:14" x14ac:dyDescent="0.3">
      <c r="A1568" s="24" t="s">
        <v>122</v>
      </c>
      <c r="J1568" s="7">
        <f>J1528</f>
        <v>240.38461538461536</v>
      </c>
      <c r="K1568" s="7">
        <f>J1567</f>
        <v>160.25641025641022</v>
      </c>
      <c r="L1568" s="7">
        <f>K1567</f>
        <v>80.128205128205096</v>
      </c>
    </row>
    <row r="1569" spans="1:14" x14ac:dyDescent="0.3">
      <c r="A1569" s="23" t="s">
        <v>121</v>
      </c>
      <c r="K1569" s="7">
        <f>J1568</f>
        <v>240.38461538461536</v>
      </c>
      <c r="L1569" s="7">
        <f>K1568</f>
        <v>160.25641025641022</v>
      </c>
      <c r="M1569" s="7">
        <f>L1568</f>
        <v>80.128205128205096</v>
      </c>
    </row>
    <row r="1570" spans="1:14" x14ac:dyDescent="0.3">
      <c r="A1570" s="23"/>
      <c r="L1570" s="7"/>
      <c r="M1570" s="7"/>
    </row>
    <row r="1571" spans="1:14" x14ac:dyDescent="0.3">
      <c r="A1571" s="23"/>
      <c r="L1571" s="7"/>
      <c r="M1571" s="7"/>
    </row>
    <row r="1572" spans="1:14" x14ac:dyDescent="0.3">
      <c r="A1572" s="11" t="s">
        <v>130</v>
      </c>
      <c r="J1572" s="8">
        <f>SUM(J1573:J1576)</f>
        <v>71793.878479163075</v>
      </c>
      <c r="K1572" s="8">
        <f t="shared" ref="K1572:M1572" si="213">SUM(K1573:K1576)</f>
        <v>55237.330993151998</v>
      </c>
      <c r="L1572" s="8">
        <f t="shared" si="213"/>
        <v>41193.569253911628</v>
      </c>
      <c r="M1572" s="8">
        <f t="shared" si="213"/>
        <v>40831.669499128911</v>
      </c>
    </row>
    <row r="1573" spans="1:14" x14ac:dyDescent="0.3">
      <c r="A1573" s="23" t="s">
        <v>120</v>
      </c>
      <c r="J1573" s="7">
        <f>J1567*J1555</f>
        <v>32233.986255950767</v>
      </c>
      <c r="K1573" s="7">
        <f t="shared" ref="K1573:L1573" si="214">K1567*K1555</f>
        <v>13919.221337796918</v>
      </c>
      <c r="L1573" s="7">
        <f t="shared" si="214"/>
        <v>0</v>
      </c>
    </row>
    <row r="1574" spans="1:14" x14ac:dyDescent="0.3">
      <c r="A1574" s="24" t="s">
        <v>122</v>
      </c>
      <c r="J1574" s="7">
        <f>J1568*J1556</f>
        <v>39559.892223212308</v>
      </c>
      <c r="K1574" s="7">
        <f t="shared" ref="K1574:L1574" si="215">K1568*K1556</f>
        <v>9670.1958767852302</v>
      </c>
      <c r="L1574" s="7">
        <f t="shared" si="215"/>
        <v>1809.4987739135995</v>
      </c>
      <c r="M1574" s="7">
        <f>M1568*M1556</f>
        <v>0</v>
      </c>
    </row>
    <row r="1575" spans="1:14" x14ac:dyDescent="0.3">
      <c r="A1575" s="23" t="s">
        <v>121</v>
      </c>
      <c r="K1575" s="7">
        <f>K1569*K1557</f>
        <v>31647.913778569848</v>
      </c>
      <c r="L1575" s="7">
        <f>L1569*L1557</f>
        <v>7736.1567014281845</v>
      </c>
      <c r="M1575" s="7">
        <f>M1569*M1557</f>
        <v>1447.5990191308795</v>
      </c>
    </row>
    <row r="1576" spans="1:14" x14ac:dyDescent="0.3">
      <c r="A1576" s="23" t="s">
        <v>299</v>
      </c>
      <c r="L1576" s="8">
        <f>K1575</f>
        <v>31647.913778569848</v>
      </c>
      <c r="M1576" s="8">
        <f>L1576+L1575</f>
        <v>39384.07047999803</v>
      </c>
      <c r="N1576" s="8">
        <f>M1576+M1575</f>
        <v>40831.669499128911</v>
      </c>
    </row>
    <row r="1577" spans="1:14" x14ac:dyDescent="0.3">
      <c r="A1577" s="23"/>
    </row>
    <row r="1578" spans="1:14" x14ac:dyDescent="0.3">
      <c r="A1578" s="105" t="s">
        <v>300</v>
      </c>
      <c r="J1578" s="8">
        <f>N1576</f>
        <v>40831.669499128911</v>
      </c>
      <c r="L1578" s="7"/>
    </row>
    <row r="1579" spans="1:14" x14ac:dyDescent="0.3">
      <c r="A1579" s="23"/>
    </row>
    <row r="1580" spans="1:14" x14ac:dyDescent="0.3">
      <c r="A1580" s="11" t="s">
        <v>140</v>
      </c>
      <c r="J1580" s="8">
        <f>SUM(J1582:J1585)</f>
        <v>16116.993127975387</v>
      </c>
      <c r="K1580" s="8">
        <f>SUM(K1582:K1585)</f>
        <v>16556.547486011077</v>
      </c>
      <c r="L1580" s="8">
        <f t="shared" ref="L1580:M1580" si="216">SUM(L1582:L1585)</f>
        <v>14043.76173924037</v>
      </c>
      <c r="M1580" s="8">
        <f t="shared" si="216"/>
        <v>361.89975478271992</v>
      </c>
    </row>
    <row r="1581" spans="1:14" x14ac:dyDescent="0.3">
      <c r="A1581" s="11"/>
      <c r="J1581" s="8"/>
      <c r="K1581" s="8"/>
      <c r="L1581" s="8"/>
      <c r="M1581" s="8"/>
    </row>
    <row r="1582" spans="1:14" x14ac:dyDescent="0.3">
      <c r="A1582" t="s">
        <v>131</v>
      </c>
      <c r="C1582" s="23" t="s">
        <v>120</v>
      </c>
      <c r="J1582" s="6">
        <f>J1591*J1535</f>
        <v>0</v>
      </c>
    </row>
    <row r="1583" spans="1:14" x14ac:dyDescent="0.3">
      <c r="C1583" s="23"/>
      <c r="J1583" s="6"/>
    </row>
    <row r="1584" spans="1:14" x14ac:dyDescent="0.3">
      <c r="A1584" t="s">
        <v>200</v>
      </c>
      <c r="C1584" s="23" t="s">
        <v>120</v>
      </c>
      <c r="J1584" s="6">
        <f>J1593*J1535</f>
        <v>16116.993127975387</v>
      </c>
      <c r="K1584" s="27">
        <f>K1563*K1535</f>
        <v>11281.89518958277</v>
      </c>
      <c r="L1584" s="27">
        <f t="shared" ref="L1584:M1584" si="217">L1563*L1535</f>
        <v>12109.722563883324</v>
      </c>
      <c r="M1584" s="27">
        <f t="shared" si="217"/>
        <v>0</v>
      </c>
      <c r="N1584" s="27"/>
    </row>
    <row r="1585" spans="1:21" x14ac:dyDescent="0.3">
      <c r="A1585" t="s">
        <v>200</v>
      </c>
      <c r="C1585" s="24" t="s">
        <v>122</v>
      </c>
      <c r="J1585" s="6"/>
      <c r="K1585" s="27">
        <f>K1564*(J1535+K1535)</f>
        <v>5274.6522964283058</v>
      </c>
      <c r="L1585" s="27">
        <f t="shared" ref="L1585" si="218">L1564*(K1535+L1535)</f>
        <v>1934.0391753570459</v>
      </c>
      <c r="M1585" s="27">
        <f t="shared" ref="M1585" si="219">M1564*(L1535+M1535)</f>
        <v>361.89975478271992</v>
      </c>
      <c r="N1585" s="27"/>
    </row>
    <row r="1587" spans="1:21" x14ac:dyDescent="0.3">
      <c r="A1587" s="11" t="s">
        <v>283</v>
      </c>
      <c r="J1587" s="8">
        <f>SUM(J1584:M1585)</f>
        <v>47079.202108009551</v>
      </c>
    </row>
    <row r="1589" spans="1:21" x14ac:dyDescent="0.3">
      <c r="A1589" t="s">
        <v>202</v>
      </c>
      <c r="J1589" s="28">
        <f>J1591*(K1535+L1535)</f>
        <v>0</v>
      </c>
    </row>
    <row r="1591" spans="1:21" x14ac:dyDescent="0.3">
      <c r="A1591" s="72" t="s">
        <v>132</v>
      </c>
      <c r="J1591" s="73">
        <f>J1555*J1537</f>
        <v>0</v>
      </c>
    </row>
    <row r="1593" spans="1:21" x14ac:dyDescent="0.3">
      <c r="A1593" t="s">
        <v>201</v>
      </c>
      <c r="J1593" s="7">
        <f>J1555*J1538</f>
        <v>201.14007423713284</v>
      </c>
    </row>
    <row r="1598" spans="1:21" x14ac:dyDescent="0.3">
      <c r="A1598" s="152" t="s">
        <v>261</v>
      </c>
      <c r="B1598" s="153"/>
      <c r="C1598" s="153"/>
      <c r="D1598" s="153"/>
      <c r="E1598" s="153"/>
      <c r="F1598" s="153"/>
      <c r="G1598" s="153"/>
      <c r="H1598" s="153"/>
      <c r="I1598" s="153"/>
      <c r="J1598" s="153"/>
      <c r="K1598" s="153"/>
      <c r="L1598" s="153"/>
      <c r="M1598" s="153"/>
      <c r="N1598" s="153"/>
      <c r="O1598" s="153"/>
      <c r="P1598" s="153"/>
      <c r="Q1598" s="153"/>
      <c r="R1598" s="153"/>
      <c r="S1598" s="153"/>
      <c r="T1598" s="153"/>
      <c r="U1598" s="154"/>
    </row>
    <row r="1600" spans="1:21" x14ac:dyDescent="0.3">
      <c r="A1600" t="s">
        <v>197</v>
      </c>
      <c r="J1600" s="83">
        <f>I893</f>
        <v>365.70922588569601</v>
      </c>
    </row>
    <row r="1601" spans="1:14" x14ac:dyDescent="0.3">
      <c r="A1601" t="s">
        <v>206</v>
      </c>
      <c r="J1601" s="7">
        <f>J1603*J1600</f>
        <v>365.70922588569601</v>
      </c>
      <c r="M1601" s="77"/>
    </row>
    <row r="1602" spans="1:14" x14ac:dyDescent="0.3">
      <c r="J1602" s="7"/>
      <c r="M1602" s="77"/>
    </row>
    <row r="1603" spans="1:14" x14ac:dyDescent="0.3">
      <c r="A1603" s="11" t="s">
        <v>134</v>
      </c>
      <c r="B1603" s="11"/>
      <c r="C1603" s="11"/>
      <c r="J1603" s="104">
        <f>$E$120</f>
        <v>1</v>
      </c>
      <c r="K1603" s="7">
        <f>K1604*K1605*K1606*K1607</f>
        <v>0</v>
      </c>
      <c r="L1603" s="11"/>
      <c r="N1603" s="11"/>
    </row>
    <row r="1604" spans="1:14" x14ac:dyDescent="0.3">
      <c r="A1604" t="s">
        <v>35</v>
      </c>
      <c r="J1604" s="89">
        <f>M945</f>
        <v>0</v>
      </c>
    </row>
    <row r="1605" spans="1:14" x14ac:dyDescent="0.3">
      <c r="A1605" t="s">
        <v>36</v>
      </c>
      <c r="J1605" s="89">
        <f>0.95</f>
        <v>0.95</v>
      </c>
    </row>
    <row r="1606" spans="1:14" x14ac:dyDescent="0.3">
      <c r="A1606" t="s">
        <v>142</v>
      </c>
      <c r="J1606" s="89">
        <v>0.99</v>
      </c>
    </row>
    <row r="1607" spans="1:14" x14ac:dyDescent="0.3">
      <c r="A1607" t="s">
        <v>37</v>
      </c>
      <c r="J1607" s="89">
        <v>0.98</v>
      </c>
    </row>
    <row r="1610" spans="1:14" x14ac:dyDescent="0.3">
      <c r="A1610" t="s">
        <v>125</v>
      </c>
      <c r="J1610" s="83">
        <f>J1611+I910</f>
        <v>160.25641025641025</v>
      </c>
    </row>
    <row r="1611" spans="1:14" x14ac:dyDescent="0.3">
      <c r="A1611" t="s">
        <v>135</v>
      </c>
      <c r="J1611" s="82">
        <f>$D$46</f>
        <v>32.051282051282051</v>
      </c>
    </row>
    <row r="1613" spans="1:14" x14ac:dyDescent="0.3">
      <c r="A1613" t="s">
        <v>126</v>
      </c>
      <c r="J1613" s="88">
        <f>$D$43</f>
        <v>0.5</v>
      </c>
    </row>
    <row r="1614" spans="1:14" x14ac:dyDescent="0.3">
      <c r="A1614" t="s">
        <v>117</v>
      </c>
      <c r="J1614" s="7">
        <f>J1613*J1610</f>
        <v>80.128205128205124</v>
      </c>
    </row>
    <row r="1616" spans="1:14" x14ac:dyDescent="0.3">
      <c r="A1616" t="s">
        <v>118</v>
      </c>
      <c r="J1616" s="7">
        <f>J1611</f>
        <v>32.051282051282051</v>
      </c>
    </row>
    <row r="1617" spans="1:13" x14ac:dyDescent="0.3">
      <c r="A1617" t="s">
        <v>106</v>
      </c>
      <c r="J1617" s="7">
        <f>J1610*(1+J1613)</f>
        <v>240.38461538461536</v>
      </c>
    </row>
    <row r="1618" spans="1:13" x14ac:dyDescent="0.3">
      <c r="J1618" s="7"/>
    </row>
    <row r="1619" spans="1:13" x14ac:dyDescent="0.3">
      <c r="A1619" t="s">
        <v>136</v>
      </c>
      <c r="J1619" s="7">
        <f>J1616*J1601</f>
        <v>11721.449547618462</v>
      </c>
    </row>
    <row r="1620" spans="1:13" x14ac:dyDescent="0.3">
      <c r="A1620" t="s">
        <v>119</v>
      </c>
      <c r="J1620" s="7">
        <f>J1617*J1601</f>
        <v>87910.871607138455</v>
      </c>
    </row>
    <row r="1621" spans="1:13" x14ac:dyDescent="0.3">
      <c r="J1621" s="7"/>
    </row>
    <row r="1622" spans="1:13" x14ac:dyDescent="0.3">
      <c r="A1622" t="s">
        <v>302</v>
      </c>
      <c r="J1622" s="6">
        <f>J1614*J1601</f>
        <v>29303.623869046154</v>
      </c>
    </row>
    <row r="1623" spans="1:13" x14ac:dyDescent="0.3">
      <c r="J1623" s="7"/>
    </row>
    <row r="1624" spans="1:13" x14ac:dyDescent="0.3">
      <c r="A1624" t="s">
        <v>127</v>
      </c>
      <c r="J1624" s="7">
        <f>J1617/3</f>
        <v>80.128205128205124</v>
      </c>
      <c r="K1624" s="7">
        <f>J1617/3</f>
        <v>80.128205128205124</v>
      </c>
      <c r="L1624" s="7">
        <f>J1617/3</f>
        <v>80.128205128205124</v>
      </c>
    </row>
    <row r="1626" spans="1:13" s="103" customFormat="1" x14ac:dyDescent="0.3">
      <c r="A1626" s="103" t="s">
        <v>128</v>
      </c>
      <c r="J1626" s="79">
        <f>Summary!$B$31</f>
        <v>0</v>
      </c>
    </row>
    <row r="1627" spans="1:13" s="103" customFormat="1" x14ac:dyDescent="0.3">
      <c r="A1627" s="103" t="s">
        <v>129</v>
      </c>
      <c r="J1627" s="79">
        <f>1-J1626</f>
        <v>1</v>
      </c>
    </row>
    <row r="1629" spans="1:13" x14ac:dyDescent="0.3">
      <c r="A1629" s="71" t="s">
        <v>16</v>
      </c>
    </row>
    <row r="1630" spans="1:13" x14ac:dyDescent="0.3">
      <c r="A1630" t="s">
        <v>17</v>
      </c>
      <c r="I1630" s="74">
        <f>Summary!$B$66</f>
        <v>0.45</v>
      </c>
      <c r="J1630" s="74">
        <f>Summary!$B$67</f>
        <v>0.3</v>
      </c>
      <c r="K1630" s="74">
        <f>Summary!$B$68</f>
        <v>0.13</v>
      </c>
      <c r="L1630" s="75"/>
      <c r="M1630" s="75"/>
    </row>
    <row r="1631" spans="1:13" x14ac:dyDescent="0.3">
      <c r="A1631" t="s">
        <v>18</v>
      </c>
      <c r="C1631" s="75"/>
      <c r="J1631" s="74">
        <f>Summary!$B$69</f>
        <v>0.8</v>
      </c>
      <c r="K1631" s="76">
        <f>J1631</f>
        <v>0.8</v>
      </c>
      <c r="L1631" s="76">
        <f>K1631</f>
        <v>0.8</v>
      </c>
      <c r="M1631" s="75"/>
    </row>
    <row r="1632" spans="1:13" x14ac:dyDescent="0.3">
      <c r="A1632" t="s">
        <v>19</v>
      </c>
      <c r="C1632" s="75"/>
      <c r="J1632" s="75"/>
      <c r="K1632" s="74">
        <f>Summary!$B$70</f>
        <v>1</v>
      </c>
      <c r="L1632" s="74">
        <f>K1632</f>
        <v>1</v>
      </c>
      <c r="M1632" s="74">
        <f>L1632</f>
        <v>1</v>
      </c>
    </row>
    <row r="1633" spans="1:14" x14ac:dyDescent="0.3">
      <c r="A1633" t="s">
        <v>20</v>
      </c>
      <c r="M1633" s="21"/>
    </row>
    <row r="1634" spans="1:14" x14ac:dyDescent="0.3">
      <c r="M1634" s="21"/>
    </row>
    <row r="1635" spans="1:14" x14ac:dyDescent="0.3">
      <c r="A1635" s="11" t="s">
        <v>196</v>
      </c>
      <c r="J1635" s="90">
        <f>SUM(J1636:J1639)</f>
        <v>1</v>
      </c>
      <c r="K1635" s="90">
        <f t="shared" ref="K1635:M1635" si="220">SUM(K1636:K1639)</f>
        <v>1</v>
      </c>
      <c r="L1635" s="90">
        <f t="shared" si="220"/>
        <v>0.55375000000000008</v>
      </c>
      <c r="M1635" s="90">
        <f t="shared" si="220"/>
        <v>0.5414000000000001</v>
      </c>
    </row>
    <row r="1636" spans="1:14" x14ac:dyDescent="0.3">
      <c r="A1636" t="s">
        <v>17</v>
      </c>
      <c r="J1636" s="22">
        <f>(1-I1630)*J1627</f>
        <v>0.55000000000000004</v>
      </c>
      <c r="K1636" s="22">
        <f>J1636*(1-J1630)+J1637*(1-J1631)</f>
        <v>0.47499999999999998</v>
      </c>
    </row>
    <row r="1637" spans="1:14" x14ac:dyDescent="0.3">
      <c r="A1637" t="s">
        <v>18</v>
      </c>
      <c r="J1637" s="22">
        <f>I1630</f>
        <v>0.45</v>
      </c>
      <c r="K1637" s="22">
        <f>J1636*J1630</f>
        <v>0.16500000000000001</v>
      </c>
      <c r="L1637" s="22">
        <f>K1636*K1630</f>
        <v>6.1749999999999999E-2</v>
      </c>
      <c r="N1637" s="22"/>
    </row>
    <row r="1638" spans="1:14" x14ac:dyDescent="0.3">
      <c r="A1638" t="s">
        <v>19</v>
      </c>
      <c r="K1638" s="22">
        <f>J1637*J1631</f>
        <v>0.36000000000000004</v>
      </c>
      <c r="L1638" s="22">
        <f>K1637*K1631+K1638</f>
        <v>0.49200000000000005</v>
      </c>
      <c r="M1638" s="22">
        <f>L1637*L1631+L1638</f>
        <v>0.5414000000000001</v>
      </c>
    </row>
    <row r="1639" spans="1:14" x14ac:dyDescent="0.3">
      <c r="K1639" s="22"/>
      <c r="L1639" s="22"/>
    </row>
    <row r="1640" spans="1:14" x14ac:dyDescent="0.3">
      <c r="A1640" t="s">
        <v>195</v>
      </c>
      <c r="J1640" s="22">
        <f>(1-I1630)*J1626</f>
        <v>0</v>
      </c>
      <c r="L1640" s="29">
        <f>K1636*(1-K1630)+K1637*(1-K1631)+K1638*(1-K1632)</f>
        <v>0.44624999999999998</v>
      </c>
      <c r="M1640" s="29">
        <f>L1637*(1-L1631)+L1640</f>
        <v>0.45859999999999995</v>
      </c>
      <c r="N1640" s="22"/>
    </row>
    <row r="1641" spans="1:14" x14ac:dyDescent="0.3">
      <c r="J1641" s="22"/>
      <c r="L1641" s="29"/>
      <c r="M1641" s="29"/>
      <c r="N1641" s="22"/>
    </row>
    <row r="1642" spans="1:14" x14ac:dyDescent="0.3">
      <c r="J1642" s="25" t="s">
        <v>32</v>
      </c>
    </row>
    <row r="1643" spans="1:14" x14ac:dyDescent="0.3">
      <c r="A1643" s="11" t="s">
        <v>124</v>
      </c>
      <c r="J1643" s="8">
        <f>SUM(J1644:J1647)</f>
        <v>365.70922588569601</v>
      </c>
      <c r="K1643" s="8">
        <f t="shared" ref="K1643:L1643" si="221">SUM(K1644:K1647)</f>
        <v>365.70922588569601</v>
      </c>
      <c r="L1643" s="8">
        <f t="shared" si="221"/>
        <v>202.5114838342042</v>
      </c>
    </row>
    <row r="1644" spans="1:14" x14ac:dyDescent="0.3">
      <c r="A1644" s="23" t="s">
        <v>120</v>
      </c>
      <c r="J1644" s="7">
        <f>J1601*(1-I1630)</f>
        <v>201.14007423713284</v>
      </c>
      <c r="K1644" s="82">
        <f>J1682*(1-J1630)+J1645*(1-J1631)</f>
        <v>173.71188229570561</v>
      </c>
    </row>
    <row r="1645" spans="1:14" x14ac:dyDescent="0.3">
      <c r="A1645" s="24" t="s">
        <v>122</v>
      </c>
      <c r="J1645" s="7">
        <f>J1601*I1630</f>
        <v>164.56915164856321</v>
      </c>
      <c r="K1645" s="7">
        <f>J1682*J1630</f>
        <v>60.342022271139847</v>
      </c>
      <c r="L1645" s="7">
        <f>K1644*K1630</f>
        <v>22.58254469844173</v>
      </c>
      <c r="M1645" s="7">
        <f>L1644*L1630</f>
        <v>0</v>
      </c>
    </row>
    <row r="1646" spans="1:14" x14ac:dyDescent="0.3">
      <c r="A1646" s="23" t="s">
        <v>121</v>
      </c>
      <c r="K1646" s="7">
        <f>J1645*J1631</f>
        <v>131.65532131885058</v>
      </c>
      <c r="L1646" s="7">
        <f>K1645*K1631</f>
        <v>48.27361781691188</v>
      </c>
      <c r="M1646" s="7">
        <f>L1645*L1631</f>
        <v>18.066035758753383</v>
      </c>
    </row>
    <row r="1647" spans="1:14" x14ac:dyDescent="0.3">
      <c r="A1647" s="23" t="s">
        <v>138</v>
      </c>
      <c r="K1647" s="7"/>
      <c r="L1647" s="7">
        <f>K1646*K1632</f>
        <v>131.65532131885058</v>
      </c>
      <c r="M1647" s="7">
        <f>L1646*L1632+L1647</f>
        <v>179.92893913576245</v>
      </c>
      <c r="N1647" s="7">
        <f>M1646*M1632+M1647</f>
        <v>197.99497489451582</v>
      </c>
    </row>
    <row r="1648" spans="1:14" x14ac:dyDescent="0.3">
      <c r="A1648" s="23"/>
      <c r="K1648" s="7"/>
    </row>
    <row r="1649" spans="1:14" x14ac:dyDescent="0.3">
      <c r="A1649" s="23" t="s">
        <v>137</v>
      </c>
      <c r="K1649" s="7"/>
      <c r="L1649" s="7">
        <f>K1644*(1-K1630)+K1645*(1-K1631)+K1646*(1-K1632)</f>
        <v>163.19774205149184</v>
      </c>
      <c r="M1649" s="7">
        <f>L1645*(1-L1631)+L1649</f>
        <v>167.71425099118019</v>
      </c>
      <c r="N1649" s="7">
        <f>M1646*(1-M1632)+M1649</f>
        <v>167.71425099118019</v>
      </c>
    </row>
    <row r="1650" spans="1:14" x14ac:dyDescent="0.3">
      <c r="A1650" s="23"/>
      <c r="K1650" s="7"/>
    </row>
    <row r="1651" spans="1:14" x14ac:dyDescent="0.3">
      <c r="A1651" s="11" t="s">
        <v>139</v>
      </c>
      <c r="J1651" s="8">
        <f>SUM(J1652:J1653)</f>
        <v>201.14007423713284</v>
      </c>
      <c r="K1651" s="8">
        <f>SUM(K1652:K1653)</f>
        <v>173.71188229570561</v>
      </c>
      <c r="L1651" s="8">
        <f>SUM(L1652:L1653)</f>
        <v>163.19774205149184</v>
      </c>
      <c r="M1651" s="8">
        <f>SUM(M1652:M1653)</f>
        <v>4.5165089396883449</v>
      </c>
    </row>
    <row r="1652" spans="1:14" x14ac:dyDescent="0.3">
      <c r="A1652" s="23" t="s">
        <v>120</v>
      </c>
      <c r="J1652" s="7">
        <f>J1644</f>
        <v>201.14007423713284</v>
      </c>
      <c r="K1652" s="7">
        <f>J1682*(1-J1630)</f>
        <v>140.79805196599298</v>
      </c>
      <c r="L1652" s="7">
        <f>K1644*(1-K1630)</f>
        <v>151.12933759726388</v>
      </c>
    </row>
    <row r="1653" spans="1:14" x14ac:dyDescent="0.3">
      <c r="A1653" s="24" t="s">
        <v>122</v>
      </c>
      <c r="K1653" s="7">
        <f>J1645*(1-J1631)</f>
        <v>32.913830329712631</v>
      </c>
      <c r="L1653" s="7">
        <f>K1645*(1-K1631)</f>
        <v>12.068404454227966</v>
      </c>
      <c r="M1653" s="7">
        <f>L1645*(1-L1631)</f>
        <v>4.5165089396883449</v>
      </c>
    </row>
    <row r="1654" spans="1:14" x14ac:dyDescent="0.3">
      <c r="A1654" s="23"/>
      <c r="K1654" s="7"/>
      <c r="L1654" s="7">
        <f>K1646*(1-K1632)</f>
        <v>0</v>
      </c>
      <c r="M1654" s="7">
        <f>L1646*(1-L1632)</f>
        <v>0</v>
      </c>
    </row>
    <row r="1655" spans="1:14" x14ac:dyDescent="0.3">
      <c r="A1655" s="81" t="s">
        <v>123</v>
      </c>
    </row>
    <row r="1656" spans="1:14" x14ac:dyDescent="0.3">
      <c r="A1656" s="23" t="s">
        <v>120</v>
      </c>
      <c r="J1656" s="7">
        <f>J1617-J1624</f>
        <v>160.25641025641022</v>
      </c>
      <c r="K1656" s="7">
        <f>J1656-K1624</f>
        <v>80.128205128205096</v>
      </c>
      <c r="L1656" s="7">
        <f>K1656-L1624</f>
        <v>0</v>
      </c>
    </row>
    <row r="1657" spans="1:14" x14ac:dyDescent="0.3">
      <c r="A1657" s="24" t="s">
        <v>122</v>
      </c>
      <c r="J1657" s="7">
        <f>J1617</f>
        <v>240.38461538461536</v>
      </c>
      <c r="K1657" s="7">
        <f>J1656</f>
        <v>160.25641025641022</v>
      </c>
      <c r="L1657" s="7">
        <f>K1656</f>
        <v>80.128205128205096</v>
      </c>
    </row>
    <row r="1658" spans="1:14" x14ac:dyDescent="0.3">
      <c r="A1658" s="23" t="s">
        <v>121</v>
      </c>
      <c r="K1658" s="7">
        <f>J1657</f>
        <v>240.38461538461536</v>
      </c>
      <c r="L1658" s="7">
        <f>K1657</f>
        <v>160.25641025641022</v>
      </c>
      <c r="M1658" s="7">
        <f>L1657</f>
        <v>80.128205128205096</v>
      </c>
    </row>
    <row r="1659" spans="1:14" x14ac:dyDescent="0.3">
      <c r="A1659" s="23"/>
      <c r="L1659" s="7"/>
      <c r="M1659" s="7"/>
    </row>
    <row r="1660" spans="1:14" x14ac:dyDescent="0.3">
      <c r="A1660" s="23"/>
      <c r="L1660" s="7"/>
      <c r="M1660" s="7"/>
    </row>
    <row r="1661" spans="1:14" x14ac:dyDescent="0.3">
      <c r="A1661" s="11" t="s">
        <v>130</v>
      </c>
      <c r="J1661" s="8">
        <f>SUM(J1662:J1665)</f>
        <v>71793.878479163075</v>
      </c>
      <c r="K1661" s="8">
        <f t="shared" ref="K1661:M1661" si="222">SUM(K1662:K1665)</f>
        <v>55237.330993151998</v>
      </c>
      <c r="L1661" s="8">
        <f t="shared" si="222"/>
        <v>41193.569253911628</v>
      </c>
      <c r="M1661" s="8">
        <f t="shared" si="222"/>
        <v>40831.669499128911</v>
      </c>
    </row>
    <row r="1662" spans="1:14" x14ac:dyDescent="0.3">
      <c r="A1662" s="23" t="s">
        <v>120</v>
      </c>
      <c r="J1662" s="7">
        <f>J1656*J1644</f>
        <v>32233.986255950767</v>
      </c>
      <c r="K1662" s="7">
        <f t="shared" ref="K1662:L1662" si="223">K1656*K1644</f>
        <v>13919.221337796918</v>
      </c>
      <c r="L1662" s="7">
        <f t="shared" si="223"/>
        <v>0</v>
      </c>
    </row>
    <row r="1663" spans="1:14" x14ac:dyDescent="0.3">
      <c r="A1663" s="24" t="s">
        <v>122</v>
      </c>
      <c r="J1663" s="7">
        <f>J1657*J1645</f>
        <v>39559.892223212308</v>
      </c>
      <c r="K1663" s="7">
        <f t="shared" ref="K1663:L1663" si="224">K1657*K1645</f>
        <v>9670.1958767852302</v>
      </c>
      <c r="L1663" s="7">
        <f t="shared" si="224"/>
        <v>1809.4987739135995</v>
      </c>
      <c r="M1663" s="7">
        <f>M1657*M1645</f>
        <v>0</v>
      </c>
    </row>
    <row r="1664" spans="1:14" x14ac:dyDescent="0.3">
      <c r="A1664" s="23" t="s">
        <v>121</v>
      </c>
      <c r="K1664" s="7">
        <f>K1658*K1646</f>
        <v>31647.913778569848</v>
      </c>
      <c r="L1664" s="7">
        <f>L1658*L1646</f>
        <v>7736.1567014281845</v>
      </c>
      <c r="M1664" s="7">
        <f>M1658*M1646</f>
        <v>1447.5990191308795</v>
      </c>
    </row>
    <row r="1665" spans="1:14" x14ac:dyDescent="0.3">
      <c r="A1665" s="23" t="s">
        <v>299</v>
      </c>
      <c r="L1665" s="8">
        <f>K1664</f>
        <v>31647.913778569848</v>
      </c>
      <c r="M1665" s="8">
        <f>L1665+L1664</f>
        <v>39384.07047999803</v>
      </c>
      <c r="N1665" s="8">
        <f>M1665+M1664</f>
        <v>40831.669499128911</v>
      </c>
    </row>
    <row r="1666" spans="1:14" x14ac:dyDescent="0.3">
      <c r="A1666" s="23"/>
    </row>
    <row r="1667" spans="1:14" x14ac:dyDescent="0.3">
      <c r="A1667" s="105" t="s">
        <v>300</v>
      </c>
      <c r="J1667" s="8">
        <f>N1665</f>
        <v>40831.669499128911</v>
      </c>
    </row>
    <row r="1668" spans="1:14" x14ac:dyDescent="0.3">
      <c r="A1668" s="23"/>
    </row>
    <row r="1669" spans="1:14" x14ac:dyDescent="0.3">
      <c r="A1669" s="11" t="s">
        <v>140</v>
      </c>
      <c r="J1669" s="8">
        <f>SUM(J1671:J1674)</f>
        <v>16116.993127975387</v>
      </c>
      <c r="K1669" s="8">
        <f>SUM(K1671:K1674)</f>
        <v>16556.547486011077</v>
      </c>
      <c r="L1669" s="8">
        <f t="shared" ref="L1669:M1669" si="225">SUM(L1671:L1674)</f>
        <v>14043.76173924037</v>
      </c>
      <c r="M1669" s="8">
        <f t="shared" si="225"/>
        <v>361.89975478271992</v>
      </c>
    </row>
    <row r="1670" spans="1:14" x14ac:dyDescent="0.3">
      <c r="A1670" s="11"/>
      <c r="J1670" s="8"/>
      <c r="K1670" s="8"/>
      <c r="L1670" s="8"/>
      <c r="M1670" s="8"/>
    </row>
    <row r="1671" spans="1:14" x14ac:dyDescent="0.3">
      <c r="A1671" t="s">
        <v>131</v>
      </c>
      <c r="C1671" s="23" t="s">
        <v>120</v>
      </c>
      <c r="J1671" s="6">
        <f>J1680*J1624</f>
        <v>0</v>
      </c>
    </row>
    <row r="1672" spans="1:14" x14ac:dyDescent="0.3">
      <c r="C1672" s="23"/>
      <c r="J1672" s="6"/>
    </row>
    <row r="1673" spans="1:14" x14ac:dyDescent="0.3">
      <c r="A1673" t="s">
        <v>200</v>
      </c>
      <c r="C1673" s="23" t="s">
        <v>120</v>
      </c>
      <c r="J1673" s="6">
        <f>J1682*J1624</f>
        <v>16116.993127975387</v>
      </c>
      <c r="K1673" s="27">
        <f>K1652*K1624</f>
        <v>11281.89518958277</v>
      </c>
      <c r="L1673" s="27">
        <f t="shared" ref="L1673:M1673" si="226">L1652*L1624</f>
        <v>12109.722563883324</v>
      </c>
      <c r="M1673" s="27">
        <f t="shared" si="226"/>
        <v>0</v>
      </c>
      <c r="N1673" s="27"/>
    </row>
    <row r="1674" spans="1:14" x14ac:dyDescent="0.3">
      <c r="A1674" t="s">
        <v>200</v>
      </c>
      <c r="C1674" s="24" t="s">
        <v>122</v>
      </c>
      <c r="J1674" s="6"/>
      <c r="K1674" s="27">
        <f>K1653*(J1624+K1624)</f>
        <v>5274.6522964283058</v>
      </c>
      <c r="L1674" s="27">
        <f t="shared" ref="L1674" si="227">L1653*(K1624+L1624)</f>
        <v>1934.0391753570459</v>
      </c>
      <c r="M1674" s="27">
        <f t="shared" ref="M1674" si="228">M1653*(L1624+M1624)</f>
        <v>361.89975478271992</v>
      </c>
      <c r="N1674" s="27"/>
    </row>
    <row r="1676" spans="1:14" x14ac:dyDescent="0.3">
      <c r="A1676" s="11" t="s">
        <v>283</v>
      </c>
      <c r="J1676" s="8">
        <f>SUM(J1673:M1674)</f>
        <v>47079.202108009551</v>
      </c>
    </row>
    <row r="1678" spans="1:14" x14ac:dyDescent="0.3">
      <c r="A1678" t="s">
        <v>202</v>
      </c>
      <c r="J1678" s="28">
        <f>J1680*(K1624+L1624)</f>
        <v>0</v>
      </c>
    </row>
    <row r="1680" spans="1:14" x14ac:dyDescent="0.3">
      <c r="A1680" s="72" t="s">
        <v>132</v>
      </c>
      <c r="J1680" s="73">
        <f>J1644*J1626</f>
        <v>0</v>
      </c>
    </row>
    <row r="1682" spans="1:30" x14ac:dyDescent="0.3">
      <c r="A1682" t="s">
        <v>201</v>
      </c>
      <c r="J1682" s="7">
        <f>J1644*J1627</f>
        <v>201.14007423713284</v>
      </c>
    </row>
    <row r="1685" spans="1:30" x14ac:dyDescent="0.3">
      <c r="A1685" s="160" t="s">
        <v>263</v>
      </c>
      <c r="B1685" s="161"/>
      <c r="C1685" s="161"/>
      <c r="D1685" s="161"/>
      <c r="E1685" s="161"/>
      <c r="F1685" s="161"/>
      <c r="G1685" s="161"/>
      <c r="H1685" s="161"/>
      <c r="I1685" s="161"/>
      <c r="J1685" s="161"/>
      <c r="K1685" s="161"/>
      <c r="L1685" s="161"/>
      <c r="M1685" s="161"/>
      <c r="N1685" s="161"/>
      <c r="O1685" s="161"/>
      <c r="P1685" s="161"/>
      <c r="Q1685" s="161"/>
      <c r="R1685" s="161"/>
      <c r="S1685" s="161"/>
      <c r="T1685" s="161"/>
      <c r="U1685" s="161"/>
      <c r="V1685" s="161"/>
      <c r="W1685" s="161"/>
      <c r="X1685" s="161"/>
      <c r="Y1685" s="161"/>
      <c r="Z1685" s="161"/>
      <c r="AA1685" s="161"/>
      <c r="AB1685" s="161"/>
      <c r="AC1685" s="161"/>
      <c r="AD1685" s="162"/>
    </row>
    <row r="1687" spans="1:30" x14ac:dyDescent="0.3">
      <c r="A1687" t="s">
        <v>197</v>
      </c>
      <c r="K1687" s="83">
        <f>G640</f>
        <v>2621.4400000000005</v>
      </c>
    </row>
    <row r="1688" spans="1:30" x14ac:dyDescent="0.3">
      <c r="A1688" t="s">
        <v>206</v>
      </c>
      <c r="K1688" s="7">
        <f>K1690*K1687</f>
        <v>365.70922588569601</v>
      </c>
      <c r="N1688" s="77"/>
    </row>
    <row r="1689" spans="1:30" x14ac:dyDescent="0.3">
      <c r="K1689" s="7"/>
      <c r="N1689" s="77"/>
    </row>
    <row r="1690" spans="1:30" x14ac:dyDescent="0.3">
      <c r="A1690" s="11" t="s">
        <v>134</v>
      </c>
      <c r="B1690" s="11"/>
      <c r="C1690" s="11"/>
      <c r="K1690" s="97">
        <f>K1691*K1692*K1693*K1694</f>
        <v>0.13950699839999997</v>
      </c>
      <c r="L1690" s="7">
        <f>L1691*L1692*L1693*L1694</f>
        <v>0</v>
      </c>
      <c r="M1690" s="11"/>
      <c r="O1690" s="11"/>
    </row>
    <row r="1691" spans="1:30" x14ac:dyDescent="0.3">
      <c r="A1691" t="s">
        <v>35</v>
      </c>
      <c r="K1691" s="97">
        <f>J679</f>
        <v>0.15135999999999999</v>
      </c>
    </row>
    <row r="1692" spans="1:30" x14ac:dyDescent="0.3">
      <c r="A1692" t="s">
        <v>36</v>
      </c>
      <c r="K1692" s="86">
        <f>0.95</f>
        <v>0.95</v>
      </c>
    </row>
    <row r="1693" spans="1:30" x14ac:dyDescent="0.3">
      <c r="A1693" t="s">
        <v>142</v>
      </c>
      <c r="K1693" s="86">
        <v>0.99</v>
      </c>
    </row>
    <row r="1694" spans="1:30" x14ac:dyDescent="0.3">
      <c r="A1694" t="s">
        <v>37</v>
      </c>
      <c r="K1694" s="86">
        <v>0.98</v>
      </c>
    </row>
    <row r="1697" spans="1:13" x14ac:dyDescent="0.3">
      <c r="A1697" t="s">
        <v>125</v>
      </c>
      <c r="K1697" s="83">
        <f>$B$34</f>
        <v>160.25641025641025</v>
      </c>
    </row>
    <row r="1698" spans="1:13" x14ac:dyDescent="0.3">
      <c r="A1698" s="100" t="s">
        <v>135</v>
      </c>
      <c r="K1698" s="101">
        <f>K1697</f>
        <v>160.25641025641025</v>
      </c>
    </row>
    <row r="1700" spans="1:13" x14ac:dyDescent="0.3">
      <c r="A1700" t="s">
        <v>126</v>
      </c>
      <c r="K1700" s="88">
        <f>$D$43</f>
        <v>0.5</v>
      </c>
    </row>
    <row r="1701" spans="1:13" x14ac:dyDescent="0.3">
      <c r="A1701" t="s">
        <v>117</v>
      </c>
      <c r="K1701" s="7">
        <f>K1700*K1697</f>
        <v>80.128205128205124</v>
      </c>
    </row>
    <row r="1703" spans="1:13" x14ac:dyDescent="0.3">
      <c r="A1703" t="s">
        <v>118</v>
      </c>
      <c r="K1703" s="7">
        <f>K1698</f>
        <v>160.25641025641025</v>
      </c>
    </row>
    <row r="1704" spans="1:13" x14ac:dyDescent="0.3">
      <c r="A1704" t="s">
        <v>106</v>
      </c>
      <c r="K1704" s="7">
        <f>K1697*(1+K1700)</f>
        <v>240.38461538461536</v>
      </c>
    </row>
    <row r="1705" spans="1:13" x14ac:dyDescent="0.3">
      <c r="K1705" s="7"/>
    </row>
    <row r="1706" spans="1:13" x14ac:dyDescent="0.3">
      <c r="A1706" t="s">
        <v>136</v>
      </c>
      <c r="K1706" s="7">
        <f>K1703*K1688</f>
        <v>58607.247738092308</v>
      </c>
    </row>
    <row r="1707" spans="1:13" x14ac:dyDescent="0.3">
      <c r="A1707" t="s">
        <v>119</v>
      </c>
      <c r="K1707" s="7">
        <f>K1704*K1688</f>
        <v>87910.871607138455</v>
      </c>
    </row>
    <row r="1708" spans="1:13" x14ac:dyDescent="0.3">
      <c r="K1708" s="7"/>
    </row>
    <row r="1709" spans="1:13" x14ac:dyDescent="0.3">
      <c r="A1709" t="s">
        <v>302</v>
      </c>
      <c r="K1709" s="6">
        <f>K1701*K1688</f>
        <v>29303.623869046154</v>
      </c>
    </row>
    <row r="1710" spans="1:13" x14ac:dyDescent="0.3">
      <c r="K1710" s="7"/>
    </row>
    <row r="1711" spans="1:13" x14ac:dyDescent="0.3">
      <c r="A1711" t="s">
        <v>127</v>
      </c>
      <c r="K1711" s="7">
        <f>K1704/3</f>
        <v>80.128205128205124</v>
      </c>
      <c r="L1711" s="7">
        <f>K1704/3</f>
        <v>80.128205128205124</v>
      </c>
      <c r="M1711" s="7">
        <f>K1704/3</f>
        <v>80.128205128205124</v>
      </c>
    </row>
    <row r="1713" spans="1:15" s="103" customFormat="1" x14ac:dyDescent="0.3">
      <c r="A1713" s="103" t="s">
        <v>128</v>
      </c>
      <c r="K1713" s="79">
        <f>Summary!$D$31</f>
        <v>0</v>
      </c>
    </row>
    <row r="1714" spans="1:15" s="103" customFormat="1" x14ac:dyDescent="0.3">
      <c r="A1714" s="103" t="s">
        <v>129</v>
      </c>
      <c r="K1714" s="79">
        <f>1-K1713</f>
        <v>1</v>
      </c>
    </row>
    <row r="1716" spans="1:15" x14ac:dyDescent="0.3">
      <c r="A1716" s="71" t="s">
        <v>16</v>
      </c>
    </row>
    <row r="1717" spans="1:15" x14ac:dyDescent="0.3">
      <c r="A1717" t="s">
        <v>17</v>
      </c>
      <c r="J1717" s="74">
        <f>Summary!$C$66</f>
        <v>0.45</v>
      </c>
      <c r="K1717" s="74">
        <f>Summary!$C$67</f>
        <v>0.3</v>
      </c>
      <c r="L1717" s="74">
        <f>Summary!$C$68</f>
        <v>0.13</v>
      </c>
      <c r="M1717" s="75"/>
      <c r="N1717" s="75"/>
    </row>
    <row r="1718" spans="1:15" x14ac:dyDescent="0.3">
      <c r="A1718" t="s">
        <v>18</v>
      </c>
      <c r="C1718" s="75"/>
      <c r="K1718" s="74">
        <f>Summary!$C$69</f>
        <v>0.8</v>
      </c>
      <c r="L1718" s="76">
        <f>K1718</f>
        <v>0.8</v>
      </c>
      <c r="M1718" s="76">
        <f>L1718</f>
        <v>0.8</v>
      </c>
      <c r="N1718" s="75"/>
    </row>
    <row r="1719" spans="1:15" x14ac:dyDescent="0.3">
      <c r="A1719" t="s">
        <v>19</v>
      </c>
      <c r="C1719" s="75"/>
      <c r="K1719" s="75"/>
      <c r="L1719" s="74">
        <f>Summary!$C$70</f>
        <v>1</v>
      </c>
      <c r="M1719" s="74">
        <f>L1719</f>
        <v>1</v>
      </c>
      <c r="N1719" s="74">
        <f>M1719</f>
        <v>1</v>
      </c>
    </row>
    <row r="1720" spans="1:15" x14ac:dyDescent="0.3">
      <c r="A1720" t="s">
        <v>20</v>
      </c>
      <c r="N1720" s="21"/>
    </row>
    <row r="1721" spans="1:15" x14ac:dyDescent="0.3">
      <c r="N1721" s="21"/>
    </row>
    <row r="1722" spans="1:15" x14ac:dyDescent="0.3">
      <c r="A1722" s="11" t="s">
        <v>196</v>
      </c>
      <c r="K1722" s="90">
        <f>SUM(K1723:K1726)</f>
        <v>1</v>
      </c>
      <c r="L1722" s="90">
        <f t="shared" ref="L1722:N1722" si="229">SUM(L1723:L1726)</f>
        <v>1</v>
      </c>
      <c r="M1722" s="90">
        <f t="shared" si="229"/>
        <v>0.55375000000000008</v>
      </c>
      <c r="N1722" s="90">
        <f t="shared" si="229"/>
        <v>0.5414000000000001</v>
      </c>
    </row>
    <row r="1723" spans="1:15" x14ac:dyDescent="0.3">
      <c r="A1723" t="s">
        <v>17</v>
      </c>
      <c r="K1723" s="22">
        <f>(1-J1717)*K1714</f>
        <v>0.55000000000000004</v>
      </c>
      <c r="L1723" s="22">
        <f>K1723*(1-K1717)+K1724*(1-K1718)</f>
        <v>0.47499999999999998</v>
      </c>
    </row>
    <row r="1724" spans="1:15" x14ac:dyDescent="0.3">
      <c r="A1724" t="s">
        <v>18</v>
      </c>
      <c r="K1724" s="22">
        <f>J1717</f>
        <v>0.45</v>
      </c>
      <c r="L1724" s="22">
        <f>K1723*K1717</f>
        <v>0.16500000000000001</v>
      </c>
      <c r="M1724" s="22">
        <f>L1723*L1717</f>
        <v>6.1749999999999999E-2</v>
      </c>
      <c r="O1724" s="22"/>
    </row>
    <row r="1725" spans="1:15" x14ac:dyDescent="0.3">
      <c r="A1725" t="s">
        <v>19</v>
      </c>
      <c r="L1725" s="22">
        <f>K1724*K1718</f>
        <v>0.36000000000000004</v>
      </c>
      <c r="M1725" s="22">
        <f>L1724*L1718+L1725</f>
        <v>0.49200000000000005</v>
      </c>
      <c r="N1725" s="22">
        <f>M1724*M1718+M1725</f>
        <v>0.5414000000000001</v>
      </c>
    </row>
    <row r="1726" spans="1:15" x14ac:dyDescent="0.3">
      <c r="L1726" s="22"/>
      <c r="M1726" s="22"/>
    </row>
    <row r="1727" spans="1:15" x14ac:dyDescent="0.3">
      <c r="A1727" t="s">
        <v>195</v>
      </c>
      <c r="K1727" s="22">
        <f>(1-J1717)*K1713</f>
        <v>0</v>
      </c>
      <c r="M1727" s="29">
        <f>L1723*(1-L1717)+L1724*(1-L1718)+L1725*(1-L1719)</f>
        <v>0.44624999999999998</v>
      </c>
      <c r="N1727" s="29">
        <f>M1724*(1-M1718)+M1727</f>
        <v>0.45859999999999995</v>
      </c>
      <c r="O1727" s="22"/>
    </row>
    <row r="1728" spans="1:15" x14ac:dyDescent="0.3">
      <c r="K1728" s="22"/>
      <c r="M1728" s="29"/>
      <c r="N1728" s="29"/>
      <c r="O1728" s="22"/>
    </row>
    <row r="1729" spans="1:15" x14ac:dyDescent="0.3">
      <c r="K1729" s="25" t="s">
        <v>32</v>
      </c>
    </row>
    <row r="1730" spans="1:15" x14ac:dyDescent="0.3">
      <c r="A1730" s="11" t="s">
        <v>124</v>
      </c>
      <c r="K1730" s="8">
        <f>SUM(K1731:K1734)</f>
        <v>365.70922588569601</v>
      </c>
      <c r="L1730" s="8">
        <f t="shared" ref="L1730:M1730" si="230">SUM(L1731:L1734)</f>
        <v>365.70922588569601</v>
      </c>
      <c r="M1730" s="8">
        <f t="shared" si="230"/>
        <v>202.5114838342042</v>
      </c>
    </row>
    <row r="1731" spans="1:15" x14ac:dyDescent="0.3">
      <c r="A1731" s="23" t="s">
        <v>120</v>
      </c>
      <c r="K1731" s="7">
        <f>K1688*(1-J1717)</f>
        <v>201.14007423713284</v>
      </c>
      <c r="L1731" s="82">
        <f>K1769*(1-K1717)+K1732*(1-K1718)</f>
        <v>173.71188229570561</v>
      </c>
    </row>
    <row r="1732" spans="1:15" x14ac:dyDescent="0.3">
      <c r="A1732" s="24" t="s">
        <v>122</v>
      </c>
      <c r="K1732" s="7">
        <f>K1688*J1717</f>
        <v>164.56915164856321</v>
      </c>
      <c r="L1732" s="7">
        <f>K1769*K1717</f>
        <v>60.342022271139847</v>
      </c>
      <c r="M1732" s="7">
        <f>L1731*L1717</f>
        <v>22.58254469844173</v>
      </c>
      <c r="N1732" s="7">
        <f>M1731*M1717</f>
        <v>0</v>
      </c>
    </row>
    <row r="1733" spans="1:15" x14ac:dyDescent="0.3">
      <c r="A1733" s="23" t="s">
        <v>121</v>
      </c>
      <c r="L1733" s="7">
        <f>K1732*K1718</f>
        <v>131.65532131885058</v>
      </c>
      <c r="M1733" s="7">
        <f>L1732*L1718</f>
        <v>48.27361781691188</v>
      </c>
      <c r="N1733" s="7">
        <f>M1732*M1718</f>
        <v>18.066035758753383</v>
      </c>
    </row>
    <row r="1734" spans="1:15" x14ac:dyDescent="0.3">
      <c r="A1734" s="23" t="s">
        <v>138</v>
      </c>
      <c r="L1734" s="7"/>
      <c r="M1734" s="7">
        <f>L1733*L1719</f>
        <v>131.65532131885058</v>
      </c>
      <c r="N1734" s="7">
        <f>M1733*M1719+M1734</f>
        <v>179.92893913576245</v>
      </c>
      <c r="O1734" s="7">
        <f>N1733*N1719+N1734</f>
        <v>197.99497489451582</v>
      </c>
    </row>
    <row r="1735" spans="1:15" x14ac:dyDescent="0.3">
      <c r="A1735" s="23"/>
      <c r="L1735" s="7"/>
    </row>
    <row r="1736" spans="1:15" x14ac:dyDescent="0.3">
      <c r="A1736" s="23" t="s">
        <v>137</v>
      </c>
      <c r="L1736" s="7"/>
      <c r="M1736" s="7">
        <f>L1731*(1-L1717)+L1732*(1-L1718)+L1733*(1-L1719)</f>
        <v>163.19774205149184</v>
      </c>
      <c r="N1736" s="7">
        <f>M1732*(1-M1718)+M1736</f>
        <v>167.71425099118019</v>
      </c>
      <c r="O1736" s="7">
        <f>N1733*(1-N1719)+N1736</f>
        <v>167.71425099118019</v>
      </c>
    </row>
    <row r="1737" spans="1:15" x14ac:dyDescent="0.3">
      <c r="A1737" s="23"/>
      <c r="L1737" s="7"/>
    </row>
    <row r="1738" spans="1:15" x14ac:dyDescent="0.3">
      <c r="A1738" s="11" t="s">
        <v>139</v>
      </c>
      <c r="K1738" s="8">
        <f>SUM(K1739:K1740)</f>
        <v>201.14007423713284</v>
      </c>
      <c r="L1738" s="8">
        <f>SUM(L1739:L1740)</f>
        <v>173.71188229570561</v>
      </c>
      <c r="M1738" s="8">
        <f>SUM(M1739:M1740)</f>
        <v>163.19774205149184</v>
      </c>
      <c r="N1738" s="8">
        <f>SUM(N1739:N1740)</f>
        <v>4.5165089396883449</v>
      </c>
    </row>
    <row r="1739" spans="1:15" x14ac:dyDescent="0.3">
      <c r="A1739" s="23" t="s">
        <v>120</v>
      </c>
      <c r="K1739" s="7">
        <f>K1731</f>
        <v>201.14007423713284</v>
      </c>
      <c r="L1739" s="7">
        <f>K1769*(1-K1717)</f>
        <v>140.79805196599298</v>
      </c>
      <c r="M1739" s="7">
        <f>L1731*(1-L1717)</f>
        <v>151.12933759726388</v>
      </c>
    </row>
    <row r="1740" spans="1:15" x14ac:dyDescent="0.3">
      <c r="A1740" s="24" t="s">
        <v>122</v>
      </c>
      <c r="L1740" s="7">
        <f>K1732*(1-K1718)</f>
        <v>32.913830329712631</v>
      </c>
      <c r="M1740" s="7">
        <f>L1732*(1-L1718)</f>
        <v>12.068404454227966</v>
      </c>
      <c r="N1740" s="7">
        <f>M1732*(1-M1718)</f>
        <v>4.5165089396883449</v>
      </c>
    </row>
    <row r="1741" spans="1:15" x14ac:dyDescent="0.3">
      <c r="A1741" s="23"/>
      <c r="L1741" s="7"/>
      <c r="M1741" s="7">
        <f>L1733*(1-L1719)</f>
        <v>0</v>
      </c>
      <c r="N1741" s="7">
        <f>M1733*(1-M1719)</f>
        <v>0</v>
      </c>
    </row>
    <row r="1742" spans="1:15" x14ac:dyDescent="0.3">
      <c r="A1742" s="81" t="s">
        <v>123</v>
      </c>
    </row>
    <row r="1743" spans="1:15" x14ac:dyDescent="0.3">
      <c r="A1743" s="23" t="s">
        <v>120</v>
      </c>
      <c r="K1743" s="7">
        <f>K1704-K1711</f>
        <v>160.25641025641022</v>
      </c>
      <c r="L1743" s="7">
        <f>K1743-L1711</f>
        <v>80.128205128205096</v>
      </c>
      <c r="M1743" s="7">
        <f>L1743-M1711</f>
        <v>0</v>
      </c>
    </row>
    <row r="1744" spans="1:15" x14ac:dyDescent="0.3">
      <c r="A1744" s="24" t="s">
        <v>122</v>
      </c>
      <c r="K1744" s="7">
        <f>K1704</f>
        <v>240.38461538461536</v>
      </c>
      <c r="L1744" s="7">
        <f>K1743</f>
        <v>160.25641025641022</v>
      </c>
      <c r="M1744" s="7">
        <f>L1743</f>
        <v>80.128205128205096</v>
      </c>
    </row>
    <row r="1745" spans="1:15" x14ac:dyDescent="0.3">
      <c r="A1745" s="23" t="s">
        <v>121</v>
      </c>
      <c r="L1745" s="7">
        <f>K1744</f>
        <v>240.38461538461536</v>
      </c>
      <c r="M1745" s="7">
        <f>L1744</f>
        <v>160.25641025641022</v>
      </c>
      <c r="N1745" s="7">
        <f>M1744</f>
        <v>80.128205128205096</v>
      </c>
    </row>
    <row r="1746" spans="1:15" x14ac:dyDescent="0.3">
      <c r="A1746" s="23"/>
      <c r="M1746" s="7"/>
      <c r="N1746" s="7"/>
    </row>
    <row r="1747" spans="1:15" x14ac:dyDescent="0.3">
      <c r="A1747" s="23"/>
      <c r="M1747" s="7"/>
      <c r="N1747" s="7"/>
    </row>
    <row r="1748" spans="1:15" x14ac:dyDescent="0.3">
      <c r="A1748" s="11" t="s">
        <v>130</v>
      </c>
      <c r="K1748" s="8">
        <f>SUM(K1749:K1752)</f>
        <v>71793.878479163075</v>
      </c>
      <c r="L1748" s="8">
        <f t="shared" ref="L1748:N1748" si="231">SUM(L1749:L1752)</f>
        <v>55237.330993151998</v>
      </c>
      <c r="M1748" s="8">
        <f t="shared" si="231"/>
        <v>41193.569253911628</v>
      </c>
      <c r="N1748" s="8">
        <f t="shared" si="231"/>
        <v>40831.669499128911</v>
      </c>
    </row>
    <row r="1749" spans="1:15" x14ac:dyDescent="0.3">
      <c r="A1749" s="23" t="s">
        <v>120</v>
      </c>
      <c r="K1749" s="7">
        <f>K1743*K1731</f>
        <v>32233.986255950767</v>
      </c>
      <c r="L1749" s="7">
        <f t="shared" ref="L1749:M1749" si="232">L1743*L1731</f>
        <v>13919.221337796918</v>
      </c>
      <c r="M1749" s="7">
        <f t="shared" si="232"/>
        <v>0</v>
      </c>
    </row>
    <row r="1750" spans="1:15" x14ac:dyDescent="0.3">
      <c r="A1750" s="24" t="s">
        <v>122</v>
      </c>
      <c r="K1750" s="7">
        <f>K1744*K1732</f>
        <v>39559.892223212308</v>
      </c>
      <c r="L1750" s="7">
        <f t="shared" ref="L1750:M1750" si="233">L1744*L1732</f>
        <v>9670.1958767852302</v>
      </c>
      <c r="M1750" s="7">
        <f t="shared" si="233"/>
        <v>1809.4987739135995</v>
      </c>
      <c r="N1750" s="7">
        <f>N1744*N1732</f>
        <v>0</v>
      </c>
    </row>
    <row r="1751" spans="1:15" x14ac:dyDescent="0.3">
      <c r="A1751" s="23" t="s">
        <v>121</v>
      </c>
      <c r="L1751" s="7">
        <f>L1745*L1733</f>
        <v>31647.913778569848</v>
      </c>
      <c r="M1751" s="7">
        <f>M1745*M1733</f>
        <v>7736.1567014281845</v>
      </c>
      <c r="N1751" s="7">
        <f>N1745*N1733</f>
        <v>1447.5990191308795</v>
      </c>
    </row>
    <row r="1752" spans="1:15" x14ac:dyDescent="0.3">
      <c r="A1752" s="23" t="s">
        <v>299</v>
      </c>
      <c r="M1752" s="8">
        <f>L1751</f>
        <v>31647.913778569848</v>
      </c>
      <c r="N1752" s="8">
        <f>M1752+M1751</f>
        <v>39384.07047999803</v>
      </c>
      <c r="O1752" s="8">
        <f>N1752+N1751</f>
        <v>40831.669499128911</v>
      </c>
    </row>
    <row r="1753" spans="1:15" x14ac:dyDescent="0.3">
      <c r="A1753" s="23"/>
    </row>
    <row r="1754" spans="1:15" x14ac:dyDescent="0.3">
      <c r="A1754" s="105" t="s">
        <v>300</v>
      </c>
      <c r="K1754" s="8">
        <f>O1752</f>
        <v>40831.669499128911</v>
      </c>
    </row>
    <row r="1755" spans="1:15" x14ac:dyDescent="0.3">
      <c r="A1755" s="23"/>
    </row>
    <row r="1756" spans="1:15" x14ac:dyDescent="0.3">
      <c r="A1756" s="11" t="s">
        <v>140</v>
      </c>
      <c r="K1756" s="8">
        <f>SUM(K1758:K1761)</f>
        <v>16116.993127975387</v>
      </c>
      <c r="L1756" s="8">
        <f>SUM(L1758:L1761)</f>
        <v>16556.547486011077</v>
      </c>
      <c r="M1756" s="8">
        <f t="shared" ref="M1756:N1756" si="234">SUM(M1758:M1761)</f>
        <v>14043.76173924037</v>
      </c>
      <c r="N1756" s="8">
        <f t="shared" si="234"/>
        <v>361.89975478271992</v>
      </c>
    </row>
    <row r="1757" spans="1:15" x14ac:dyDescent="0.3">
      <c r="A1757" s="11"/>
      <c r="K1757" s="8"/>
      <c r="L1757" s="8"/>
      <c r="M1757" s="8"/>
      <c r="N1757" s="8"/>
    </row>
    <row r="1758" spans="1:15" x14ac:dyDescent="0.3">
      <c r="A1758" t="s">
        <v>131</v>
      </c>
      <c r="C1758" s="23" t="s">
        <v>120</v>
      </c>
      <c r="K1758" s="6">
        <f>K1767*K1711</f>
        <v>0</v>
      </c>
    </row>
    <row r="1759" spans="1:15" x14ac:dyDescent="0.3">
      <c r="C1759" s="23"/>
      <c r="K1759" s="6"/>
    </row>
    <row r="1760" spans="1:15" x14ac:dyDescent="0.3">
      <c r="A1760" t="s">
        <v>200</v>
      </c>
      <c r="C1760" s="23" t="s">
        <v>120</v>
      </c>
      <c r="K1760" s="6">
        <f>K1769*K1711</f>
        <v>16116.993127975387</v>
      </c>
      <c r="L1760" s="27">
        <f>L1739*L1711</f>
        <v>11281.89518958277</v>
      </c>
      <c r="M1760" s="27">
        <f t="shared" ref="M1760:N1760" si="235">M1739*M1711</f>
        <v>12109.722563883324</v>
      </c>
      <c r="N1760" s="27">
        <f t="shared" si="235"/>
        <v>0</v>
      </c>
      <c r="O1760" s="27"/>
    </row>
    <row r="1761" spans="1:30" x14ac:dyDescent="0.3">
      <c r="A1761" t="s">
        <v>200</v>
      </c>
      <c r="C1761" s="24" t="s">
        <v>122</v>
      </c>
      <c r="K1761" s="6"/>
      <c r="L1761" s="27">
        <f>L1740*(K1711+L1711)</f>
        <v>5274.6522964283058</v>
      </c>
      <c r="M1761" s="27">
        <f t="shared" ref="M1761" si="236">M1740*(L1711+M1711)</f>
        <v>1934.0391753570459</v>
      </c>
      <c r="N1761" s="27">
        <f t="shared" ref="N1761" si="237">N1740*(M1711+N1711)</f>
        <v>361.89975478271992</v>
      </c>
      <c r="O1761" s="27"/>
    </row>
    <row r="1763" spans="1:30" x14ac:dyDescent="0.3">
      <c r="A1763" s="11" t="s">
        <v>283</v>
      </c>
      <c r="K1763" s="8">
        <f>SUM(K1760:N1761)</f>
        <v>47079.202108009551</v>
      </c>
    </row>
    <row r="1765" spans="1:30" x14ac:dyDescent="0.3">
      <c r="A1765" t="s">
        <v>202</v>
      </c>
      <c r="K1765" s="28">
        <f>K1767*(L1711+M1711)</f>
        <v>0</v>
      </c>
    </row>
    <row r="1767" spans="1:30" x14ac:dyDescent="0.3">
      <c r="A1767" s="72" t="s">
        <v>132</v>
      </c>
      <c r="K1767" s="73">
        <f>K1731*K1713</f>
        <v>0</v>
      </c>
    </row>
    <row r="1769" spans="1:30" x14ac:dyDescent="0.3">
      <c r="A1769" t="s">
        <v>201</v>
      </c>
      <c r="K1769" s="7">
        <f>K1731*K1714</f>
        <v>201.14007423713284</v>
      </c>
    </row>
    <row r="1774" spans="1:30" x14ac:dyDescent="0.3">
      <c r="A1774" s="160" t="s">
        <v>264</v>
      </c>
      <c r="B1774" s="161"/>
      <c r="C1774" s="161"/>
      <c r="D1774" s="161"/>
      <c r="E1774" s="161"/>
      <c r="F1774" s="161"/>
      <c r="G1774" s="161"/>
      <c r="H1774" s="161"/>
      <c r="I1774" s="161"/>
      <c r="J1774" s="161"/>
      <c r="K1774" s="161"/>
      <c r="L1774" s="161"/>
      <c r="M1774" s="161"/>
      <c r="N1774" s="161"/>
      <c r="O1774" s="161"/>
      <c r="P1774" s="161"/>
      <c r="Q1774" s="161"/>
      <c r="R1774" s="161"/>
      <c r="S1774" s="161"/>
      <c r="T1774" s="161"/>
      <c r="U1774" s="161"/>
      <c r="V1774" s="161"/>
      <c r="W1774" s="161"/>
      <c r="X1774" s="161"/>
      <c r="Y1774" s="161"/>
      <c r="Z1774" s="161"/>
      <c r="AA1774" s="161"/>
      <c r="AB1774" s="161"/>
      <c r="AC1774" s="161"/>
      <c r="AD1774" s="162"/>
    </row>
    <row r="1776" spans="1:30" x14ac:dyDescent="0.3">
      <c r="A1776" t="s">
        <v>197</v>
      </c>
      <c r="L1776" s="83">
        <f>I727</f>
        <v>571.42066544639988</v>
      </c>
    </row>
    <row r="1777" spans="1:16" x14ac:dyDescent="0.3">
      <c r="A1777" t="s">
        <v>206</v>
      </c>
      <c r="L1777" s="7">
        <f>L1779*L1776</f>
        <v>79.717181860157822</v>
      </c>
      <c r="O1777" s="77"/>
    </row>
    <row r="1778" spans="1:16" x14ac:dyDescent="0.3">
      <c r="L1778" s="7"/>
      <c r="O1778" s="77"/>
    </row>
    <row r="1779" spans="1:16" x14ac:dyDescent="0.3">
      <c r="A1779" s="11" t="s">
        <v>134</v>
      </c>
      <c r="B1779" s="11"/>
      <c r="C1779" s="11"/>
      <c r="L1779" s="98">
        <f>L1780*L1781*L1782*L1783</f>
        <v>0.13950699839999997</v>
      </c>
      <c r="M1779" s="7">
        <f>M1780*M1781*M1782*M1783</f>
        <v>0</v>
      </c>
      <c r="N1779" s="11"/>
      <c r="P1779" s="11"/>
    </row>
    <row r="1780" spans="1:16" x14ac:dyDescent="0.3">
      <c r="A1780" t="s">
        <v>35</v>
      </c>
      <c r="L1780" s="97">
        <f>L766</f>
        <v>0.15135999999999999</v>
      </c>
    </row>
    <row r="1781" spans="1:16" x14ac:dyDescent="0.3">
      <c r="A1781" t="s">
        <v>36</v>
      </c>
      <c r="L1781" s="86">
        <f>0.95</f>
        <v>0.95</v>
      </c>
    </row>
    <row r="1782" spans="1:16" x14ac:dyDescent="0.3">
      <c r="A1782" t="s">
        <v>142</v>
      </c>
      <c r="L1782" s="86">
        <v>0.99</v>
      </c>
    </row>
    <row r="1783" spans="1:16" x14ac:dyDescent="0.3">
      <c r="A1783" t="s">
        <v>37</v>
      </c>
      <c r="L1783" s="86">
        <v>0.98</v>
      </c>
    </row>
    <row r="1786" spans="1:16" x14ac:dyDescent="0.3">
      <c r="A1786" t="s">
        <v>125</v>
      </c>
      <c r="L1786" s="83">
        <f>$B$34</f>
        <v>160.25641025641025</v>
      </c>
    </row>
    <row r="1787" spans="1:16" x14ac:dyDescent="0.3">
      <c r="A1787" s="100" t="s">
        <v>135</v>
      </c>
      <c r="L1787" s="82">
        <f>L1786</f>
        <v>160.25641025641025</v>
      </c>
    </row>
    <row r="1789" spans="1:16" x14ac:dyDescent="0.3">
      <c r="A1789" t="s">
        <v>126</v>
      </c>
      <c r="L1789" s="88">
        <f>$D$43</f>
        <v>0.5</v>
      </c>
    </row>
    <row r="1790" spans="1:16" x14ac:dyDescent="0.3">
      <c r="A1790" t="s">
        <v>117</v>
      </c>
      <c r="L1790" s="7">
        <f>L1789*L1786</f>
        <v>80.128205128205124</v>
      </c>
    </row>
    <row r="1792" spans="1:16" x14ac:dyDescent="0.3">
      <c r="A1792" t="s">
        <v>118</v>
      </c>
      <c r="L1792" s="7">
        <f>L1787</f>
        <v>160.25641025641025</v>
      </c>
    </row>
    <row r="1793" spans="1:15" x14ac:dyDescent="0.3">
      <c r="A1793" t="s">
        <v>106</v>
      </c>
      <c r="L1793" s="7">
        <f>L1786*(1+L1789)</f>
        <v>240.38461538461536</v>
      </c>
    </row>
    <row r="1794" spans="1:15" x14ac:dyDescent="0.3">
      <c r="L1794" s="7"/>
    </row>
    <row r="1795" spans="1:15" x14ac:dyDescent="0.3">
      <c r="A1795" t="s">
        <v>136</v>
      </c>
      <c r="L1795" s="7">
        <f>L1792*L1777</f>
        <v>12775.189400666317</v>
      </c>
    </row>
    <row r="1796" spans="1:15" x14ac:dyDescent="0.3">
      <c r="A1796" t="s">
        <v>119</v>
      </c>
      <c r="L1796" s="7">
        <f>L1793*L1777</f>
        <v>19162.784100999474</v>
      </c>
    </row>
    <row r="1797" spans="1:15" x14ac:dyDescent="0.3">
      <c r="L1797" s="7"/>
    </row>
    <row r="1798" spans="1:15" x14ac:dyDescent="0.3">
      <c r="A1798" t="s">
        <v>302</v>
      </c>
      <c r="L1798" s="6">
        <f>L1790*L1777</f>
        <v>6387.5947003331585</v>
      </c>
    </row>
    <row r="1799" spans="1:15" x14ac:dyDescent="0.3">
      <c r="L1799" s="7"/>
    </row>
    <row r="1800" spans="1:15" x14ac:dyDescent="0.3">
      <c r="A1800" t="s">
        <v>127</v>
      </c>
      <c r="L1800" s="7">
        <f>L1793/3</f>
        <v>80.128205128205124</v>
      </c>
      <c r="M1800" s="7">
        <f>L1793/3</f>
        <v>80.128205128205124</v>
      </c>
      <c r="N1800" s="7">
        <f>L1793/3</f>
        <v>80.128205128205124</v>
      </c>
    </row>
    <row r="1802" spans="1:15" s="103" customFormat="1" x14ac:dyDescent="0.3">
      <c r="A1802" s="103" t="s">
        <v>128</v>
      </c>
      <c r="L1802" s="79">
        <f>Summary!$D$31</f>
        <v>0</v>
      </c>
    </row>
    <row r="1803" spans="1:15" s="103" customFormat="1" x14ac:dyDescent="0.3">
      <c r="A1803" s="103" t="s">
        <v>129</v>
      </c>
      <c r="L1803" s="79">
        <f>1-L1802</f>
        <v>1</v>
      </c>
    </row>
    <row r="1805" spans="1:15" x14ac:dyDescent="0.3">
      <c r="A1805" s="71" t="s">
        <v>16</v>
      </c>
    </row>
    <row r="1806" spans="1:15" x14ac:dyDescent="0.3">
      <c r="A1806" t="s">
        <v>17</v>
      </c>
      <c r="K1806" s="74">
        <f>Summary!$C$66</f>
        <v>0.45</v>
      </c>
      <c r="L1806" s="74">
        <f>Summary!$C$67</f>
        <v>0.3</v>
      </c>
      <c r="M1806" s="74">
        <f>Summary!$C$68</f>
        <v>0.13</v>
      </c>
      <c r="N1806" s="75"/>
      <c r="O1806" s="75"/>
    </row>
    <row r="1807" spans="1:15" x14ac:dyDescent="0.3">
      <c r="A1807" t="s">
        <v>18</v>
      </c>
      <c r="C1807" s="75"/>
      <c r="L1807" s="74">
        <f>Summary!$C$69</f>
        <v>0.8</v>
      </c>
      <c r="M1807" s="76">
        <f>L1807</f>
        <v>0.8</v>
      </c>
      <c r="N1807" s="76">
        <f>M1807</f>
        <v>0.8</v>
      </c>
      <c r="O1807" s="75"/>
    </row>
    <row r="1808" spans="1:15" x14ac:dyDescent="0.3">
      <c r="A1808" t="s">
        <v>19</v>
      </c>
      <c r="C1808" s="75"/>
      <c r="L1808" s="75"/>
      <c r="M1808" s="74">
        <f>Summary!$C$70</f>
        <v>1</v>
      </c>
      <c r="N1808" s="74">
        <f>M1808</f>
        <v>1</v>
      </c>
      <c r="O1808" s="74">
        <f>N1808</f>
        <v>1</v>
      </c>
    </row>
    <row r="1809" spans="1:16" x14ac:dyDescent="0.3">
      <c r="A1809" t="s">
        <v>20</v>
      </c>
      <c r="O1809" s="21"/>
    </row>
    <row r="1810" spans="1:16" x14ac:dyDescent="0.3">
      <c r="O1810" s="21"/>
    </row>
    <row r="1811" spans="1:16" x14ac:dyDescent="0.3">
      <c r="A1811" s="11" t="s">
        <v>196</v>
      </c>
      <c r="L1811" s="90">
        <f>SUM(L1812:L1815)</f>
        <v>1</v>
      </c>
      <c r="M1811" s="90">
        <f t="shared" ref="M1811:O1811" si="238">SUM(M1812:M1815)</f>
        <v>1</v>
      </c>
      <c r="N1811" s="90">
        <f t="shared" si="238"/>
        <v>0.55375000000000008</v>
      </c>
      <c r="O1811" s="90">
        <f t="shared" si="238"/>
        <v>0.5414000000000001</v>
      </c>
    </row>
    <row r="1812" spans="1:16" x14ac:dyDescent="0.3">
      <c r="A1812" t="s">
        <v>17</v>
      </c>
      <c r="L1812" s="22">
        <f>(1-K1806)*L1803</f>
        <v>0.55000000000000004</v>
      </c>
      <c r="M1812" s="22">
        <f>L1812*(1-L1806)+L1813*(1-L1807)</f>
        <v>0.47499999999999998</v>
      </c>
    </row>
    <row r="1813" spans="1:16" x14ac:dyDescent="0.3">
      <c r="A1813" t="s">
        <v>18</v>
      </c>
      <c r="L1813" s="22">
        <f>K1806</f>
        <v>0.45</v>
      </c>
      <c r="M1813" s="22">
        <f>L1812*L1806</f>
        <v>0.16500000000000001</v>
      </c>
      <c r="N1813" s="22">
        <f>M1812*M1806</f>
        <v>6.1749999999999999E-2</v>
      </c>
      <c r="P1813" s="22"/>
    </row>
    <row r="1814" spans="1:16" x14ac:dyDescent="0.3">
      <c r="A1814" t="s">
        <v>19</v>
      </c>
      <c r="M1814" s="22">
        <f>L1813*L1807</f>
        <v>0.36000000000000004</v>
      </c>
      <c r="N1814" s="22">
        <f>M1813*M1807+M1814</f>
        <v>0.49200000000000005</v>
      </c>
      <c r="O1814" s="22">
        <f>N1813*N1807+N1814</f>
        <v>0.5414000000000001</v>
      </c>
    </row>
    <row r="1815" spans="1:16" x14ac:dyDescent="0.3">
      <c r="M1815" s="22"/>
      <c r="N1815" s="22"/>
    </row>
    <row r="1816" spans="1:16" x14ac:dyDescent="0.3">
      <c r="A1816" t="s">
        <v>195</v>
      </c>
      <c r="L1816" s="22">
        <f>(1-K1806)*L1802</f>
        <v>0</v>
      </c>
      <c r="N1816" s="29">
        <f>M1812*(1-M1806)+M1813*(1-M1807)+M1814*(1-M1808)</f>
        <v>0.44624999999999998</v>
      </c>
      <c r="O1816" s="29">
        <f>N1813*(1-N1807)+N1816</f>
        <v>0.45859999999999995</v>
      </c>
      <c r="P1816" s="22"/>
    </row>
    <row r="1817" spans="1:16" x14ac:dyDescent="0.3">
      <c r="L1817" s="22"/>
      <c r="N1817" s="29"/>
      <c r="O1817" s="29"/>
      <c r="P1817" s="22"/>
    </row>
    <row r="1818" spans="1:16" x14ac:dyDescent="0.3">
      <c r="L1818" s="25" t="s">
        <v>32</v>
      </c>
    </row>
    <row r="1819" spans="1:16" x14ac:dyDescent="0.3">
      <c r="A1819" s="11" t="s">
        <v>124</v>
      </c>
      <c r="L1819" s="8">
        <f>SUM(L1820:L1823)</f>
        <v>79.717181860157837</v>
      </c>
      <c r="M1819" s="8">
        <f t="shared" ref="M1819:N1819" si="239">SUM(M1820:M1823)</f>
        <v>79.717181860157837</v>
      </c>
      <c r="N1819" s="8">
        <f t="shared" si="239"/>
        <v>44.143389455062405</v>
      </c>
    </row>
    <row r="1820" spans="1:16" x14ac:dyDescent="0.3">
      <c r="A1820" s="23" t="s">
        <v>120</v>
      </c>
      <c r="L1820" s="7">
        <f>L1777*(1-K1806)</f>
        <v>43.844450023086807</v>
      </c>
      <c r="M1820" s="82">
        <f>L1858*(1-L1806)+L1821*(1-L1807)</f>
        <v>37.865661383574967</v>
      </c>
    </row>
    <row r="1821" spans="1:16" x14ac:dyDescent="0.3">
      <c r="A1821" s="24" t="s">
        <v>122</v>
      </c>
      <c r="L1821" s="7">
        <f>L1777*K1806</f>
        <v>35.872731837071022</v>
      </c>
      <c r="M1821" s="7">
        <f>L1858*L1806</f>
        <v>13.153335006926042</v>
      </c>
      <c r="N1821" s="7">
        <f>M1820*M1806</f>
        <v>4.9225359798647457</v>
      </c>
      <c r="O1821" s="7">
        <f>N1820*N1806</f>
        <v>0</v>
      </c>
    </row>
    <row r="1822" spans="1:16" x14ac:dyDescent="0.3">
      <c r="A1822" s="23" t="s">
        <v>121</v>
      </c>
      <c r="M1822" s="7">
        <f>L1821*L1807</f>
        <v>28.698185469656821</v>
      </c>
      <c r="N1822" s="7">
        <f>M1821*M1807</f>
        <v>10.522668005540835</v>
      </c>
      <c r="O1822" s="7">
        <f>N1821*N1807</f>
        <v>3.9380287838917969</v>
      </c>
    </row>
    <row r="1823" spans="1:16" x14ac:dyDescent="0.3">
      <c r="A1823" s="23" t="s">
        <v>138</v>
      </c>
      <c r="M1823" s="7"/>
      <c r="N1823" s="7">
        <f>M1822*M1808</f>
        <v>28.698185469656821</v>
      </c>
      <c r="O1823" s="7">
        <f>N1822*N1808+N1823</f>
        <v>39.220853475197657</v>
      </c>
      <c r="P1823" s="7">
        <f>O1822*O1808+O1823</f>
        <v>43.158882259089452</v>
      </c>
    </row>
    <row r="1824" spans="1:16" x14ac:dyDescent="0.3">
      <c r="A1824" s="23"/>
      <c r="M1824" s="7"/>
    </row>
    <row r="1825" spans="1:16" x14ac:dyDescent="0.3">
      <c r="A1825" s="23" t="s">
        <v>137</v>
      </c>
      <c r="M1825" s="7"/>
      <c r="N1825" s="7">
        <f>M1820*(1-M1806)+M1821*(1-M1807)+M1822*(1-M1808)</f>
        <v>35.573792405095425</v>
      </c>
      <c r="O1825" s="7">
        <f>N1821*(1-N1807)+N1825</f>
        <v>36.558299601068377</v>
      </c>
      <c r="P1825" s="7">
        <f>O1822*(1-O1808)+O1825</f>
        <v>36.558299601068377</v>
      </c>
    </row>
    <row r="1826" spans="1:16" x14ac:dyDescent="0.3">
      <c r="A1826" s="23"/>
      <c r="M1826" s="7"/>
    </row>
    <row r="1827" spans="1:16" x14ac:dyDescent="0.3">
      <c r="A1827" s="11" t="s">
        <v>139</v>
      </c>
      <c r="L1827" s="8">
        <f>SUM(L1828:L1829)</f>
        <v>43.844450023086807</v>
      </c>
      <c r="M1827" s="8">
        <f>SUM(M1828:M1829)</f>
        <v>37.865661383574967</v>
      </c>
      <c r="N1827" s="8">
        <f>SUM(N1828:N1829)</f>
        <v>35.573792405095425</v>
      </c>
      <c r="O1827" s="8">
        <f>SUM(O1828:O1829)</f>
        <v>0.98450719597294889</v>
      </c>
    </row>
    <row r="1828" spans="1:16" x14ac:dyDescent="0.3">
      <c r="A1828" s="23" t="s">
        <v>120</v>
      </c>
      <c r="L1828" s="7">
        <f>L1820</f>
        <v>43.844450023086807</v>
      </c>
      <c r="M1828" s="7">
        <f>L1858*(1-L1806)</f>
        <v>30.691115016160762</v>
      </c>
      <c r="N1828" s="7">
        <f>M1820*(1-M1806)</f>
        <v>32.943125403710219</v>
      </c>
    </row>
    <row r="1829" spans="1:16" x14ac:dyDescent="0.3">
      <c r="A1829" s="24" t="s">
        <v>122</v>
      </c>
      <c r="M1829" s="7">
        <f>L1821*(1-L1807)</f>
        <v>7.1745463674142025</v>
      </c>
      <c r="N1829" s="7">
        <f>M1821*(1-M1807)</f>
        <v>2.6306670013852078</v>
      </c>
      <c r="O1829" s="7">
        <f>N1821*(1-N1807)</f>
        <v>0.98450719597294889</v>
      </c>
    </row>
    <row r="1830" spans="1:16" x14ac:dyDescent="0.3">
      <c r="A1830" s="23"/>
      <c r="M1830" s="7"/>
      <c r="N1830" s="7">
        <f>M1822*(1-M1808)</f>
        <v>0</v>
      </c>
      <c r="O1830" s="7">
        <f>N1822*(1-N1808)</f>
        <v>0</v>
      </c>
    </row>
    <row r="1831" spans="1:16" x14ac:dyDescent="0.3">
      <c r="A1831" s="81" t="s">
        <v>123</v>
      </c>
    </row>
    <row r="1832" spans="1:16" x14ac:dyDescent="0.3">
      <c r="A1832" s="23" t="s">
        <v>120</v>
      </c>
      <c r="L1832" s="7">
        <f>L1793-L1800</f>
        <v>160.25641025641022</v>
      </c>
      <c r="M1832" s="7">
        <f>L1832-M1800</f>
        <v>80.128205128205096</v>
      </c>
      <c r="N1832" s="7">
        <f>M1832-N1800</f>
        <v>0</v>
      </c>
    </row>
    <row r="1833" spans="1:16" x14ac:dyDescent="0.3">
      <c r="A1833" s="24" t="s">
        <v>122</v>
      </c>
      <c r="L1833" s="7">
        <f>L1793</f>
        <v>240.38461538461536</v>
      </c>
      <c r="M1833" s="7">
        <f>L1832</f>
        <v>160.25641025641022</v>
      </c>
      <c r="N1833" s="7">
        <f>M1832</f>
        <v>80.128205128205096</v>
      </c>
    </row>
    <row r="1834" spans="1:16" x14ac:dyDescent="0.3">
      <c r="A1834" s="23" t="s">
        <v>121</v>
      </c>
      <c r="M1834" s="7">
        <f>L1833</f>
        <v>240.38461538461536</v>
      </c>
      <c r="N1834" s="7">
        <f>M1833</f>
        <v>160.25641025641022</v>
      </c>
      <c r="O1834" s="7">
        <f>N1833</f>
        <v>80.128205128205096</v>
      </c>
    </row>
    <row r="1835" spans="1:16" x14ac:dyDescent="0.3">
      <c r="A1835" s="23"/>
      <c r="N1835" s="7"/>
      <c r="O1835" s="7"/>
    </row>
    <row r="1836" spans="1:16" x14ac:dyDescent="0.3">
      <c r="A1836" s="23"/>
      <c r="N1836" s="7"/>
      <c r="O1836" s="7"/>
    </row>
    <row r="1837" spans="1:16" x14ac:dyDescent="0.3">
      <c r="A1837" s="11" t="s">
        <v>130</v>
      </c>
      <c r="L1837" s="8">
        <f>SUM(L1838:L1841)</f>
        <v>15649.607015816238</v>
      </c>
      <c r="M1837" s="8">
        <f t="shared" ref="M1837:O1837" si="240">SUM(M1838:M1841)</f>
        <v>12040.616010128004</v>
      </c>
      <c r="N1837" s="8">
        <f t="shared" si="240"/>
        <v>8979.3612499933388</v>
      </c>
      <c r="O1837" s="8">
        <f t="shared" si="240"/>
        <v>8900.4744554442223</v>
      </c>
    </row>
    <row r="1838" spans="1:16" x14ac:dyDescent="0.3">
      <c r="A1838" s="23" t="s">
        <v>120</v>
      </c>
      <c r="L1838" s="7">
        <f>L1832*L1820</f>
        <v>7026.3541703664741</v>
      </c>
      <c r="M1838" s="7">
        <f t="shared" ref="M1838:N1838" si="241">M1832*M1820</f>
        <v>3034.1074826582494</v>
      </c>
      <c r="N1838" s="7">
        <f t="shared" si="241"/>
        <v>0</v>
      </c>
    </row>
    <row r="1839" spans="1:16" x14ac:dyDescent="0.3">
      <c r="A1839" s="24" t="s">
        <v>122</v>
      </c>
      <c r="L1839" s="7">
        <f>L1833*L1821</f>
        <v>8623.2528454497642</v>
      </c>
      <c r="M1839" s="7">
        <f t="shared" ref="M1839:N1839" si="242">M1833*M1821</f>
        <v>2107.9062511099423</v>
      </c>
      <c r="N1839" s="7">
        <f t="shared" si="242"/>
        <v>394.43397274557242</v>
      </c>
      <c r="O1839" s="7">
        <f>O1833*O1821</f>
        <v>0</v>
      </c>
    </row>
    <row r="1840" spans="1:16" x14ac:dyDescent="0.3">
      <c r="A1840" s="23" t="s">
        <v>121</v>
      </c>
      <c r="M1840" s="7">
        <f>M1834*M1822</f>
        <v>6898.6022763598121</v>
      </c>
      <c r="N1840" s="7">
        <f>N1834*N1822</f>
        <v>1686.3250008879538</v>
      </c>
      <c r="O1840" s="7">
        <f>O1834*O1822</f>
        <v>315.54717819645793</v>
      </c>
    </row>
    <row r="1841" spans="1:16" x14ac:dyDescent="0.3">
      <c r="A1841" s="23" t="s">
        <v>299</v>
      </c>
      <c r="N1841" s="8">
        <f>M1840</f>
        <v>6898.6022763598121</v>
      </c>
      <c r="O1841" s="8">
        <f>N1841+N1840</f>
        <v>8584.9272772477652</v>
      </c>
      <c r="P1841" s="8">
        <f>O1841+O1840</f>
        <v>8900.4744554442223</v>
      </c>
    </row>
    <row r="1842" spans="1:16" x14ac:dyDescent="0.3">
      <c r="A1842" s="23"/>
    </row>
    <row r="1843" spans="1:16" x14ac:dyDescent="0.3">
      <c r="A1843" s="105" t="s">
        <v>300</v>
      </c>
      <c r="L1843" s="8">
        <f>P1841</f>
        <v>8900.4744554442223</v>
      </c>
    </row>
    <row r="1844" spans="1:16" x14ac:dyDescent="0.3">
      <c r="A1844" s="23"/>
    </row>
    <row r="1845" spans="1:16" x14ac:dyDescent="0.3">
      <c r="A1845" s="11" t="s">
        <v>140</v>
      </c>
      <c r="L1845" s="8">
        <f>SUM(L1847:L1850)</f>
        <v>3513.1770851832375</v>
      </c>
      <c r="M1845" s="8">
        <f>SUM(M1847:M1850)</f>
        <v>3608.9910056882345</v>
      </c>
      <c r="N1845" s="8">
        <f t="shared" ref="N1845:O1845" si="243">SUM(N1847:N1850)</f>
        <v>3061.254760134666</v>
      </c>
      <c r="O1845" s="8">
        <f t="shared" si="243"/>
        <v>78.886794549114484</v>
      </c>
    </row>
    <row r="1846" spans="1:16" x14ac:dyDescent="0.3">
      <c r="A1846" s="11"/>
      <c r="L1846" s="8"/>
      <c r="M1846" s="8"/>
      <c r="N1846" s="8"/>
      <c r="O1846" s="8"/>
    </row>
    <row r="1847" spans="1:16" x14ac:dyDescent="0.3">
      <c r="A1847" t="s">
        <v>131</v>
      </c>
      <c r="C1847" s="23" t="s">
        <v>120</v>
      </c>
      <c r="L1847" s="6">
        <f>L1856*L1800</f>
        <v>0</v>
      </c>
    </row>
    <row r="1848" spans="1:16" x14ac:dyDescent="0.3">
      <c r="C1848" s="23"/>
      <c r="L1848" s="6"/>
    </row>
    <row r="1849" spans="1:16" x14ac:dyDescent="0.3">
      <c r="A1849" t="s">
        <v>200</v>
      </c>
      <c r="C1849" s="23" t="s">
        <v>120</v>
      </c>
      <c r="L1849" s="6">
        <f>L1858*L1800</f>
        <v>3513.1770851832375</v>
      </c>
      <c r="M1849" s="27">
        <f>M1828*M1800</f>
        <v>2459.2239596282661</v>
      </c>
      <c r="N1849" s="27">
        <f t="shared" ref="N1849:O1849" si="244">N1828*N1800</f>
        <v>2639.6735099126777</v>
      </c>
      <c r="O1849" s="27">
        <f t="shared" si="244"/>
        <v>0</v>
      </c>
      <c r="P1849" s="27"/>
    </row>
    <row r="1850" spans="1:16" x14ac:dyDescent="0.3">
      <c r="A1850" t="s">
        <v>200</v>
      </c>
      <c r="C1850" s="24" t="s">
        <v>122</v>
      </c>
      <c r="L1850" s="6"/>
      <c r="M1850" s="27">
        <f>M1829*(L1800+M1800)</f>
        <v>1149.7670460599684</v>
      </c>
      <c r="N1850" s="27">
        <f t="shared" ref="N1850" si="245">N1829*(M1800+N1800)</f>
        <v>421.5812502219884</v>
      </c>
      <c r="O1850" s="27">
        <f t="shared" ref="O1850" si="246">O1829*(N1800+O1800)</f>
        <v>78.886794549114484</v>
      </c>
      <c r="P1850" s="27"/>
    </row>
    <row r="1852" spans="1:16" x14ac:dyDescent="0.3">
      <c r="A1852" s="11" t="s">
        <v>283</v>
      </c>
      <c r="L1852" s="8">
        <f>SUM(L1849:O1850)</f>
        <v>10262.309645555255</v>
      </c>
    </row>
    <row r="1854" spans="1:16" x14ac:dyDescent="0.3">
      <c r="A1854" t="s">
        <v>202</v>
      </c>
      <c r="L1854" s="28">
        <f>L1856*(M1800+N1800)</f>
        <v>0</v>
      </c>
    </row>
    <row r="1856" spans="1:16" x14ac:dyDescent="0.3">
      <c r="A1856" s="72" t="s">
        <v>132</v>
      </c>
      <c r="L1856" s="73">
        <f>L1820*L1802</f>
        <v>0</v>
      </c>
    </row>
    <row r="1858" spans="1:30" x14ac:dyDescent="0.3">
      <c r="A1858" t="s">
        <v>201</v>
      </c>
      <c r="L1858" s="7">
        <f>L1820*L1803</f>
        <v>43.844450023086807</v>
      </c>
    </row>
    <row r="1863" spans="1:30" x14ac:dyDescent="0.3">
      <c r="A1863" s="160" t="s">
        <v>268</v>
      </c>
      <c r="B1863" s="161"/>
      <c r="C1863" s="161"/>
      <c r="D1863" s="161"/>
      <c r="E1863" s="161"/>
      <c r="F1863" s="161"/>
      <c r="G1863" s="161"/>
      <c r="H1863" s="161"/>
      <c r="I1863" s="161"/>
      <c r="J1863" s="161"/>
      <c r="K1863" s="161"/>
      <c r="L1863" s="161"/>
      <c r="M1863" s="161"/>
      <c r="N1863" s="161"/>
      <c r="O1863" s="161"/>
      <c r="P1863" s="161"/>
      <c r="Q1863" s="161"/>
      <c r="R1863" s="161"/>
      <c r="S1863" s="161"/>
      <c r="T1863" s="161"/>
      <c r="U1863" s="161"/>
      <c r="V1863" s="161"/>
      <c r="W1863" s="161"/>
      <c r="X1863" s="161"/>
      <c r="Y1863" s="161"/>
      <c r="Z1863" s="161"/>
      <c r="AA1863" s="161"/>
      <c r="AB1863" s="161"/>
      <c r="AC1863" s="161"/>
      <c r="AD1863" s="162"/>
    </row>
    <row r="1865" spans="1:30" x14ac:dyDescent="0.3">
      <c r="A1865" t="s">
        <v>197</v>
      </c>
      <c r="L1865" s="83">
        <f>I814</f>
        <v>571.42066544639999</v>
      </c>
    </row>
    <row r="1866" spans="1:30" x14ac:dyDescent="0.3">
      <c r="A1866" t="s">
        <v>206</v>
      </c>
      <c r="L1866" s="7">
        <f>L1868*L1865</f>
        <v>79.717181860157837</v>
      </c>
      <c r="O1866" s="77"/>
    </row>
    <row r="1867" spans="1:30" x14ac:dyDescent="0.3">
      <c r="L1867" s="7"/>
      <c r="O1867" s="77"/>
    </row>
    <row r="1868" spans="1:30" x14ac:dyDescent="0.3">
      <c r="A1868" s="11" t="s">
        <v>134</v>
      </c>
      <c r="B1868" s="11"/>
      <c r="C1868" s="11"/>
      <c r="L1868" s="98">
        <f>L1869*L1870*L1871*L1872</f>
        <v>0.13950699839999997</v>
      </c>
      <c r="M1868" s="7">
        <f>M1869*M1870*M1871*M1872</f>
        <v>0</v>
      </c>
      <c r="N1868" s="11"/>
      <c r="P1868" s="11"/>
    </row>
    <row r="1869" spans="1:30" x14ac:dyDescent="0.3">
      <c r="A1869" t="s">
        <v>35</v>
      </c>
      <c r="L1869" s="97">
        <f>L853</f>
        <v>0.15135999999999999</v>
      </c>
    </row>
    <row r="1870" spans="1:30" x14ac:dyDescent="0.3">
      <c r="A1870" t="s">
        <v>36</v>
      </c>
      <c r="L1870" s="86">
        <f>0.95</f>
        <v>0.95</v>
      </c>
    </row>
    <row r="1871" spans="1:30" x14ac:dyDescent="0.3">
      <c r="A1871" t="s">
        <v>142</v>
      </c>
      <c r="L1871" s="86">
        <v>0.99</v>
      </c>
    </row>
    <row r="1872" spans="1:30" x14ac:dyDescent="0.3">
      <c r="A1872" t="s">
        <v>37</v>
      </c>
      <c r="L1872" s="86">
        <v>0.98</v>
      </c>
    </row>
    <row r="1875" spans="1:12" x14ac:dyDescent="0.3">
      <c r="A1875" t="s">
        <v>125</v>
      </c>
      <c r="L1875" s="83">
        <f>$B$34</f>
        <v>160.25641025641025</v>
      </c>
    </row>
    <row r="1876" spans="1:12" x14ac:dyDescent="0.3">
      <c r="A1876" s="100" t="s">
        <v>135</v>
      </c>
      <c r="L1876" s="101">
        <f>L1875</f>
        <v>160.25641025641025</v>
      </c>
    </row>
    <row r="1878" spans="1:12" x14ac:dyDescent="0.3">
      <c r="A1878" t="s">
        <v>126</v>
      </c>
      <c r="L1878" s="88">
        <f>$D$43</f>
        <v>0.5</v>
      </c>
    </row>
    <row r="1879" spans="1:12" x14ac:dyDescent="0.3">
      <c r="A1879" t="s">
        <v>117</v>
      </c>
      <c r="L1879" s="7">
        <f>L1878*L1875</f>
        <v>80.128205128205124</v>
      </c>
    </row>
    <row r="1881" spans="1:12" x14ac:dyDescent="0.3">
      <c r="A1881" t="s">
        <v>118</v>
      </c>
      <c r="L1881" s="7">
        <f>L1876</f>
        <v>160.25641025641025</v>
      </c>
    </row>
    <row r="1882" spans="1:12" x14ac:dyDescent="0.3">
      <c r="A1882" t="s">
        <v>106</v>
      </c>
      <c r="L1882" s="7">
        <f>L1875*(1+L1878)</f>
        <v>240.38461538461536</v>
      </c>
    </row>
    <row r="1883" spans="1:12" x14ac:dyDescent="0.3">
      <c r="L1883" s="7"/>
    </row>
    <row r="1884" spans="1:12" x14ac:dyDescent="0.3">
      <c r="A1884" t="s">
        <v>136</v>
      </c>
      <c r="L1884" s="7">
        <f>L1881*L1866</f>
        <v>12775.189400666319</v>
      </c>
    </row>
    <row r="1885" spans="1:12" x14ac:dyDescent="0.3">
      <c r="A1885" t="s">
        <v>119</v>
      </c>
      <c r="L1885" s="7">
        <f>L1882*L1866</f>
        <v>19162.784100999477</v>
      </c>
    </row>
    <row r="1886" spans="1:12" x14ac:dyDescent="0.3">
      <c r="L1886" s="7"/>
    </row>
    <row r="1887" spans="1:12" x14ac:dyDescent="0.3">
      <c r="A1887" t="s">
        <v>302</v>
      </c>
      <c r="L1887" s="6">
        <f>L1879*L1866</f>
        <v>6387.5947003331594</v>
      </c>
    </row>
    <row r="1888" spans="1:12" x14ac:dyDescent="0.3">
      <c r="L1888" s="7"/>
    </row>
    <row r="1889" spans="1:16" x14ac:dyDescent="0.3">
      <c r="A1889" t="s">
        <v>127</v>
      </c>
      <c r="L1889" s="7">
        <f>L1882/3</f>
        <v>80.128205128205124</v>
      </c>
      <c r="M1889" s="7">
        <f>L1882/3</f>
        <v>80.128205128205124</v>
      </c>
      <c r="N1889" s="7">
        <f>L1882/3</f>
        <v>80.128205128205124</v>
      </c>
    </row>
    <row r="1891" spans="1:16" s="103" customFormat="1" x14ac:dyDescent="0.3">
      <c r="A1891" s="103" t="s">
        <v>128</v>
      </c>
      <c r="L1891" s="79">
        <f>Summary!$D$31</f>
        <v>0</v>
      </c>
    </row>
    <row r="1892" spans="1:16" s="103" customFormat="1" x14ac:dyDescent="0.3">
      <c r="A1892" s="103" t="s">
        <v>129</v>
      </c>
      <c r="L1892" s="79">
        <f>1-L1891</f>
        <v>1</v>
      </c>
    </row>
    <row r="1894" spans="1:16" x14ac:dyDescent="0.3">
      <c r="A1894" s="71" t="s">
        <v>16</v>
      </c>
    </row>
    <row r="1895" spans="1:16" x14ac:dyDescent="0.3">
      <c r="A1895" t="s">
        <v>17</v>
      </c>
      <c r="K1895" s="74">
        <f>Summary!$C$66</f>
        <v>0.45</v>
      </c>
      <c r="L1895" s="74">
        <f>Summary!$C$67</f>
        <v>0.3</v>
      </c>
      <c r="M1895" s="74">
        <f>Summary!$C$68</f>
        <v>0.13</v>
      </c>
      <c r="N1895" s="75"/>
      <c r="O1895" s="75"/>
    </row>
    <row r="1896" spans="1:16" x14ac:dyDescent="0.3">
      <c r="A1896" t="s">
        <v>18</v>
      </c>
      <c r="C1896" s="75"/>
      <c r="L1896" s="74">
        <f>Summary!$C$69</f>
        <v>0.8</v>
      </c>
      <c r="M1896" s="76">
        <f>L1896</f>
        <v>0.8</v>
      </c>
      <c r="N1896" s="76">
        <f>M1896</f>
        <v>0.8</v>
      </c>
      <c r="O1896" s="75"/>
    </row>
    <row r="1897" spans="1:16" x14ac:dyDescent="0.3">
      <c r="A1897" t="s">
        <v>19</v>
      </c>
      <c r="C1897" s="75"/>
      <c r="L1897" s="75"/>
      <c r="M1897" s="74">
        <f>Summary!$C$70</f>
        <v>1</v>
      </c>
      <c r="N1897" s="74">
        <f>M1897</f>
        <v>1</v>
      </c>
      <c r="O1897" s="74">
        <f>N1897</f>
        <v>1</v>
      </c>
    </row>
    <row r="1898" spans="1:16" x14ac:dyDescent="0.3">
      <c r="A1898" t="s">
        <v>20</v>
      </c>
      <c r="O1898" s="21"/>
    </row>
    <row r="1899" spans="1:16" x14ac:dyDescent="0.3">
      <c r="O1899" s="21"/>
    </row>
    <row r="1900" spans="1:16" x14ac:dyDescent="0.3">
      <c r="A1900" s="11" t="s">
        <v>196</v>
      </c>
      <c r="L1900" s="90">
        <f>SUM(L1901:L1904)</f>
        <v>1</v>
      </c>
      <c r="M1900" s="90">
        <f t="shared" ref="M1900:O1900" si="247">SUM(M1901:M1904)</f>
        <v>1</v>
      </c>
      <c r="N1900" s="90">
        <f t="shared" si="247"/>
        <v>0.55375000000000008</v>
      </c>
      <c r="O1900" s="90">
        <f t="shared" si="247"/>
        <v>0.5414000000000001</v>
      </c>
    </row>
    <row r="1901" spans="1:16" x14ac:dyDescent="0.3">
      <c r="A1901" t="s">
        <v>17</v>
      </c>
      <c r="L1901" s="22">
        <f>(1-K1895)*L1892</f>
        <v>0.55000000000000004</v>
      </c>
      <c r="M1901" s="22">
        <f>L1901*(1-L1895)+L1902*(1-L1896)</f>
        <v>0.47499999999999998</v>
      </c>
    </row>
    <row r="1902" spans="1:16" x14ac:dyDescent="0.3">
      <c r="A1902" t="s">
        <v>18</v>
      </c>
      <c r="L1902" s="22">
        <f>K1895</f>
        <v>0.45</v>
      </c>
      <c r="M1902" s="22">
        <f>L1901*L1895</f>
        <v>0.16500000000000001</v>
      </c>
      <c r="N1902" s="22">
        <f>M1901*M1895</f>
        <v>6.1749999999999999E-2</v>
      </c>
      <c r="P1902" s="22"/>
    </row>
    <row r="1903" spans="1:16" x14ac:dyDescent="0.3">
      <c r="A1903" t="s">
        <v>19</v>
      </c>
      <c r="M1903" s="22">
        <f>L1902*L1896</f>
        <v>0.36000000000000004</v>
      </c>
      <c r="N1903" s="22">
        <f>M1902*M1896+M1903</f>
        <v>0.49200000000000005</v>
      </c>
      <c r="O1903" s="22">
        <f>N1902*N1896+N1903</f>
        <v>0.5414000000000001</v>
      </c>
    </row>
    <row r="1904" spans="1:16" x14ac:dyDescent="0.3">
      <c r="M1904" s="22"/>
      <c r="N1904" s="22"/>
    </row>
    <row r="1905" spans="1:16" x14ac:dyDescent="0.3">
      <c r="A1905" t="s">
        <v>195</v>
      </c>
      <c r="L1905" s="22">
        <f>(1-K1895)*L1891</f>
        <v>0</v>
      </c>
      <c r="N1905" s="29">
        <f>M1901*(1-M1895)+M1902*(1-M1896)+M1903*(1-M1897)</f>
        <v>0.44624999999999998</v>
      </c>
      <c r="O1905" s="29">
        <f>N1902*(1-N1896)+N1905</f>
        <v>0.45859999999999995</v>
      </c>
      <c r="P1905" s="22"/>
    </row>
    <row r="1906" spans="1:16" x14ac:dyDescent="0.3">
      <c r="L1906" s="22"/>
      <c r="N1906" s="29"/>
      <c r="O1906" s="29"/>
      <c r="P1906" s="22"/>
    </row>
    <row r="1907" spans="1:16" x14ac:dyDescent="0.3">
      <c r="L1907" s="25" t="s">
        <v>32</v>
      </c>
    </row>
    <row r="1908" spans="1:16" x14ac:dyDescent="0.3">
      <c r="A1908" s="11" t="s">
        <v>124</v>
      </c>
      <c r="L1908" s="8">
        <f>SUM(L1909:L1912)</f>
        <v>79.717181860157837</v>
      </c>
      <c r="M1908" s="8">
        <f t="shared" ref="M1908:N1908" si="248">SUM(M1909:M1912)</f>
        <v>79.717181860157837</v>
      </c>
      <c r="N1908" s="8">
        <f t="shared" si="248"/>
        <v>44.143389455062405</v>
      </c>
    </row>
    <row r="1909" spans="1:16" x14ac:dyDescent="0.3">
      <c r="A1909" s="23" t="s">
        <v>120</v>
      </c>
      <c r="L1909" s="7">
        <f>L1866*(1-K1895)</f>
        <v>43.844450023086814</v>
      </c>
      <c r="M1909" s="82">
        <f>L1947*(1-L1895)+L1910*(1-L1896)</f>
        <v>37.865661383574974</v>
      </c>
    </row>
    <row r="1910" spans="1:16" x14ac:dyDescent="0.3">
      <c r="A1910" s="24" t="s">
        <v>122</v>
      </c>
      <c r="L1910" s="7">
        <f>L1866*K1895</f>
        <v>35.872731837071029</v>
      </c>
      <c r="M1910" s="7">
        <f>L1947*L1895</f>
        <v>13.153335006926044</v>
      </c>
      <c r="N1910" s="7">
        <f>M1909*M1895</f>
        <v>4.9225359798647466</v>
      </c>
      <c r="O1910" s="7">
        <f>N1909*N1895</f>
        <v>0</v>
      </c>
    </row>
    <row r="1911" spans="1:16" x14ac:dyDescent="0.3">
      <c r="A1911" s="23" t="s">
        <v>121</v>
      </c>
      <c r="M1911" s="7">
        <f>L1910*L1896</f>
        <v>28.698185469656824</v>
      </c>
      <c r="N1911" s="7">
        <f>M1910*M1896</f>
        <v>10.522668005540837</v>
      </c>
      <c r="O1911" s="7">
        <f>N1910*N1896</f>
        <v>3.9380287838917973</v>
      </c>
    </row>
    <row r="1912" spans="1:16" x14ac:dyDescent="0.3">
      <c r="A1912" s="23" t="s">
        <v>138</v>
      </c>
      <c r="M1912" s="7"/>
      <c r="N1912" s="7">
        <f>M1911*M1897</f>
        <v>28.698185469656824</v>
      </c>
      <c r="O1912" s="7">
        <f>N1911*N1897+N1912</f>
        <v>39.220853475197657</v>
      </c>
      <c r="P1912" s="7">
        <f>O1911*O1897+O1912</f>
        <v>43.158882259089452</v>
      </c>
    </row>
    <row r="1913" spans="1:16" x14ac:dyDescent="0.3">
      <c r="A1913" s="23"/>
      <c r="M1913" s="7"/>
    </row>
    <row r="1914" spans="1:16" x14ac:dyDescent="0.3">
      <c r="A1914" s="23" t="s">
        <v>137</v>
      </c>
      <c r="M1914" s="7"/>
      <c r="N1914" s="7">
        <f>M1909*(1-M1895)+M1910*(1-M1896)+M1911*(1-M1897)</f>
        <v>35.573792405095432</v>
      </c>
      <c r="O1914" s="7">
        <f>N1910*(1-N1896)+N1914</f>
        <v>36.558299601068384</v>
      </c>
      <c r="P1914" s="7">
        <f>O1911*(1-O1897)+O1914</f>
        <v>36.558299601068384</v>
      </c>
    </row>
    <row r="1915" spans="1:16" x14ac:dyDescent="0.3">
      <c r="A1915" s="23"/>
      <c r="M1915" s="7"/>
    </row>
    <row r="1916" spans="1:16" x14ac:dyDescent="0.3">
      <c r="A1916" s="11" t="s">
        <v>139</v>
      </c>
      <c r="L1916" s="8">
        <f>SUM(L1917:L1918)</f>
        <v>43.844450023086814</v>
      </c>
      <c r="M1916" s="8">
        <f>SUM(M1917:M1918)</f>
        <v>37.865661383574974</v>
      </c>
      <c r="N1916" s="8">
        <f>SUM(N1917:N1918)</f>
        <v>35.573792405095432</v>
      </c>
      <c r="O1916" s="8">
        <f>SUM(O1917:O1918)</f>
        <v>0.98450719597294911</v>
      </c>
    </row>
    <row r="1917" spans="1:16" x14ac:dyDescent="0.3">
      <c r="A1917" s="23" t="s">
        <v>120</v>
      </c>
      <c r="L1917" s="7">
        <f>L1909</f>
        <v>43.844450023086814</v>
      </c>
      <c r="M1917" s="7">
        <f>L1947*(1-L1895)</f>
        <v>30.691115016160769</v>
      </c>
      <c r="N1917" s="7">
        <f>M1909*(1-M1895)</f>
        <v>32.943125403710226</v>
      </c>
    </row>
    <row r="1918" spans="1:16" x14ac:dyDescent="0.3">
      <c r="A1918" s="24" t="s">
        <v>122</v>
      </c>
      <c r="M1918" s="7">
        <f>L1910*(1-L1896)</f>
        <v>7.1745463674142043</v>
      </c>
      <c r="N1918" s="7">
        <f>M1910*(1-M1896)</f>
        <v>2.6306670013852083</v>
      </c>
      <c r="O1918" s="7">
        <f>N1910*(1-N1896)</f>
        <v>0.98450719597294911</v>
      </c>
    </row>
    <row r="1919" spans="1:16" x14ac:dyDescent="0.3">
      <c r="A1919" s="23"/>
      <c r="M1919" s="7"/>
      <c r="N1919" s="7">
        <f>M1911*(1-M1897)</f>
        <v>0</v>
      </c>
      <c r="O1919" s="7">
        <f>N1911*(1-N1897)</f>
        <v>0</v>
      </c>
    </row>
    <row r="1920" spans="1:16" x14ac:dyDescent="0.3">
      <c r="A1920" s="81" t="s">
        <v>123</v>
      </c>
    </row>
    <row r="1921" spans="1:16" x14ac:dyDescent="0.3">
      <c r="A1921" s="23" t="s">
        <v>120</v>
      </c>
      <c r="L1921" s="7">
        <f>L1882-L1889</f>
        <v>160.25641025641022</v>
      </c>
      <c r="M1921" s="7">
        <f>L1921-M1889</f>
        <v>80.128205128205096</v>
      </c>
      <c r="N1921" s="7">
        <f>M1921-N1889</f>
        <v>0</v>
      </c>
    </row>
    <row r="1922" spans="1:16" x14ac:dyDescent="0.3">
      <c r="A1922" s="24" t="s">
        <v>122</v>
      </c>
      <c r="L1922" s="7">
        <f>L1882</f>
        <v>240.38461538461536</v>
      </c>
      <c r="M1922" s="7">
        <f>L1921</f>
        <v>160.25641025641022</v>
      </c>
      <c r="N1922" s="7">
        <f>M1921</f>
        <v>80.128205128205096</v>
      </c>
    </row>
    <row r="1923" spans="1:16" x14ac:dyDescent="0.3">
      <c r="A1923" s="23" t="s">
        <v>121</v>
      </c>
      <c r="M1923" s="7">
        <f>L1922</f>
        <v>240.38461538461536</v>
      </c>
      <c r="N1923" s="7">
        <f>M1922</f>
        <v>160.25641025641022</v>
      </c>
      <c r="O1923" s="7">
        <f>N1922</f>
        <v>80.128205128205096</v>
      </c>
    </row>
    <row r="1924" spans="1:16" x14ac:dyDescent="0.3">
      <c r="A1924" s="23"/>
      <c r="N1924" s="7"/>
      <c r="O1924" s="7"/>
    </row>
    <row r="1925" spans="1:16" x14ac:dyDescent="0.3">
      <c r="A1925" s="23"/>
      <c r="N1925" s="7"/>
      <c r="O1925" s="7"/>
    </row>
    <row r="1926" spans="1:16" x14ac:dyDescent="0.3">
      <c r="A1926" s="11" t="s">
        <v>130</v>
      </c>
      <c r="L1926" s="8">
        <f>SUM(L1927:L1930)</f>
        <v>15649.60701581624</v>
      </c>
      <c r="M1926" s="8">
        <f t="shared" ref="M1926:O1926" si="249">SUM(M1927:M1930)</f>
        <v>12040.616010128004</v>
      </c>
      <c r="N1926" s="8">
        <f t="shared" si="249"/>
        <v>8979.3612499933406</v>
      </c>
      <c r="O1926" s="8">
        <f t="shared" si="249"/>
        <v>8900.4744554442259</v>
      </c>
    </row>
    <row r="1927" spans="1:16" x14ac:dyDescent="0.3">
      <c r="A1927" s="23" t="s">
        <v>120</v>
      </c>
      <c r="L1927" s="7">
        <f>L1921*L1909</f>
        <v>7026.354170366475</v>
      </c>
      <c r="M1927" s="7">
        <f t="shared" ref="M1927:N1927" si="250">M1921*M1909</f>
        <v>3034.1074826582499</v>
      </c>
      <c r="N1927" s="7">
        <f t="shared" si="250"/>
        <v>0</v>
      </c>
    </row>
    <row r="1928" spans="1:16" x14ac:dyDescent="0.3">
      <c r="A1928" s="24" t="s">
        <v>122</v>
      </c>
      <c r="L1928" s="7">
        <f>L1922*L1910</f>
        <v>8623.252845449766</v>
      </c>
      <c r="M1928" s="7">
        <f t="shared" ref="M1928:N1928" si="251">M1922*M1910</f>
        <v>2107.9062511099423</v>
      </c>
      <c r="N1928" s="7">
        <f t="shared" si="251"/>
        <v>394.43397274557248</v>
      </c>
      <c r="O1928" s="7">
        <f>O1922*O1910</f>
        <v>0</v>
      </c>
    </row>
    <row r="1929" spans="1:16" x14ac:dyDescent="0.3">
      <c r="A1929" s="23" t="s">
        <v>121</v>
      </c>
      <c r="M1929" s="7">
        <f>M1923*M1911</f>
        <v>6898.602276359813</v>
      </c>
      <c r="N1929" s="7">
        <f>N1923*N1911</f>
        <v>1686.3250008879543</v>
      </c>
      <c r="O1929" s="7">
        <f>O1923*O1911</f>
        <v>315.54717819645799</v>
      </c>
    </row>
    <row r="1930" spans="1:16" x14ac:dyDescent="0.3">
      <c r="A1930" s="23" t="s">
        <v>299</v>
      </c>
      <c r="N1930" s="8">
        <f>M1929</f>
        <v>6898.602276359813</v>
      </c>
      <c r="O1930" s="8">
        <f>N1930+N1929</f>
        <v>8584.9272772477671</v>
      </c>
      <c r="P1930" s="8">
        <f>O1930+O1929</f>
        <v>8900.4744554442259</v>
      </c>
    </row>
    <row r="1931" spans="1:16" x14ac:dyDescent="0.3">
      <c r="A1931" s="23"/>
    </row>
    <row r="1932" spans="1:16" x14ac:dyDescent="0.3">
      <c r="A1932" s="105" t="s">
        <v>300</v>
      </c>
      <c r="L1932" s="8">
        <f>P1930</f>
        <v>8900.4744554442259</v>
      </c>
    </row>
    <row r="1933" spans="1:16" x14ac:dyDescent="0.3">
      <c r="A1933" s="23"/>
    </row>
    <row r="1934" spans="1:16" x14ac:dyDescent="0.3">
      <c r="A1934" s="11" t="s">
        <v>140</v>
      </c>
      <c r="L1934" s="8">
        <f>SUM(L1936:L1939)</f>
        <v>3513.177085183238</v>
      </c>
      <c r="M1934" s="8">
        <f>SUM(M1936:M1939)</f>
        <v>3608.9910056882354</v>
      </c>
      <c r="N1934" s="8">
        <f t="shared" ref="N1934:O1934" si="252">SUM(N1936:N1939)</f>
        <v>3061.2547601346664</v>
      </c>
      <c r="O1934" s="8">
        <f t="shared" si="252"/>
        <v>78.886794549114512</v>
      </c>
    </row>
    <row r="1935" spans="1:16" x14ac:dyDescent="0.3">
      <c r="A1935" s="11"/>
      <c r="L1935" s="8"/>
      <c r="M1935" s="8"/>
      <c r="N1935" s="8"/>
      <c r="O1935" s="8"/>
    </row>
    <row r="1936" spans="1:16" x14ac:dyDescent="0.3">
      <c r="A1936" t="s">
        <v>131</v>
      </c>
      <c r="C1936" s="23" t="s">
        <v>120</v>
      </c>
      <c r="L1936" s="6">
        <f>L1945*L1889</f>
        <v>0</v>
      </c>
    </row>
    <row r="1937" spans="1:21" x14ac:dyDescent="0.3">
      <c r="C1937" s="23"/>
      <c r="L1937" s="6"/>
    </row>
    <row r="1938" spans="1:21" x14ac:dyDescent="0.3">
      <c r="A1938" t="s">
        <v>200</v>
      </c>
      <c r="C1938" s="23" t="s">
        <v>120</v>
      </c>
      <c r="L1938" s="6">
        <f>L1947*L1889</f>
        <v>3513.177085183238</v>
      </c>
      <c r="M1938" s="27">
        <f>M1917*M1889</f>
        <v>2459.2239596282666</v>
      </c>
      <c r="N1938" s="27">
        <f t="shared" ref="N1938:O1938" si="253">N1917*N1889</f>
        <v>2639.6735099126781</v>
      </c>
      <c r="O1938" s="27">
        <f t="shared" si="253"/>
        <v>0</v>
      </c>
      <c r="P1938" s="27"/>
    </row>
    <row r="1939" spans="1:21" x14ac:dyDescent="0.3">
      <c r="A1939" t="s">
        <v>200</v>
      </c>
      <c r="C1939" s="24" t="s">
        <v>122</v>
      </c>
      <c r="L1939" s="6"/>
      <c r="M1939" s="27">
        <f>M1918*(L1889+M1889)</f>
        <v>1149.7670460599686</v>
      </c>
      <c r="N1939" s="27">
        <f t="shared" ref="N1939" si="254">N1918*(M1889+N1889)</f>
        <v>421.58125022198845</v>
      </c>
      <c r="O1939" s="27">
        <f t="shared" ref="O1939" si="255">O1918*(N1889+O1889)</f>
        <v>78.886794549114512</v>
      </c>
      <c r="P1939" s="27"/>
    </row>
    <row r="1941" spans="1:21" x14ac:dyDescent="0.3">
      <c r="A1941" s="11" t="s">
        <v>283</v>
      </c>
      <c r="L1941" s="8">
        <f>SUM(L1938:O1939)</f>
        <v>10262.309645555255</v>
      </c>
    </row>
    <row r="1943" spans="1:21" x14ac:dyDescent="0.3">
      <c r="A1943" t="s">
        <v>202</v>
      </c>
      <c r="L1943" s="28">
        <f>L1945*(M1889+N1889)</f>
        <v>0</v>
      </c>
    </row>
    <row r="1945" spans="1:21" x14ac:dyDescent="0.3">
      <c r="A1945" s="72" t="s">
        <v>132</v>
      </c>
      <c r="L1945" s="73">
        <f>L1909*L1891</f>
        <v>0</v>
      </c>
    </row>
    <row r="1947" spans="1:21" x14ac:dyDescent="0.3">
      <c r="A1947" t="s">
        <v>201</v>
      </c>
      <c r="L1947" s="7">
        <f>L1909*L1892</f>
        <v>43.844450023086814</v>
      </c>
    </row>
    <row r="1950" spans="1:21" x14ac:dyDescent="0.3">
      <c r="A1950" s="152" t="s">
        <v>269</v>
      </c>
      <c r="B1950" s="153"/>
      <c r="C1950" s="153"/>
      <c r="D1950" s="153"/>
      <c r="E1950" s="153"/>
      <c r="F1950" s="153"/>
      <c r="G1950" s="153"/>
      <c r="H1950" s="153"/>
      <c r="I1950" s="153"/>
      <c r="J1950" s="153"/>
      <c r="K1950" s="153"/>
      <c r="L1950" s="153"/>
      <c r="M1950" s="153"/>
      <c r="N1950" s="153"/>
      <c r="O1950" s="153"/>
      <c r="P1950" s="153"/>
      <c r="Q1950" s="153"/>
      <c r="R1950" s="153"/>
      <c r="S1950" s="153"/>
      <c r="T1950" s="153"/>
      <c r="U1950" s="154"/>
    </row>
    <row r="1952" spans="1:21" x14ac:dyDescent="0.3">
      <c r="A1952" t="s">
        <v>197</v>
      </c>
      <c r="L1952" s="83">
        <f>K1067</f>
        <v>79.717181860157837</v>
      </c>
    </row>
    <row r="1953" spans="1:16" x14ac:dyDescent="0.3">
      <c r="A1953" t="s">
        <v>206</v>
      </c>
      <c r="L1953" s="7">
        <f>L1955*L1952</f>
        <v>79.717181860157837</v>
      </c>
      <c r="O1953" s="77"/>
    </row>
    <row r="1954" spans="1:16" x14ac:dyDescent="0.3">
      <c r="L1954" s="7"/>
      <c r="O1954" s="77"/>
    </row>
    <row r="1955" spans="1:16" x14ac:dyDescent="0.3">
      <c r="A1955" s="11" t="s">
        <v>134</v>
      </c>
      <c r="B1955" s="11"/>
      <c r="C1955" s="11"/>
      <c r="L1955" s="104">
        <f>$E$120</f>
        <v>1</v>
      </c>
      <c r="M1955" s="7">
        <f>M1956*M1957*M1958*M1959</f>
        <v>0</v>
      </c>
      <c r="N1955" s="11"/>
      <c r="P1955" s="11"/>
    </row>
    <row r="1956" spans="1:16" x14ac:dyDescent="0.3">
      <c r="A1956" t="s">
        <v>35</v>
      </c>
      <c r="L1956" s="89">
        <f>L940</f>
        <v>0.15135999999999999</v>
      </c>
    </row>
    <row r="1957" spans="1:16" x14ac:dyDescent="0.3">
      <c r="A1957" t="s">
        <v>36</v>
      </c>
      <c r="L1957" s="89">
        <f>0.95</f>
        <v>0.95</v>
      </c>
    </row>
    <row r="1958" spans="1:16" x14ac:dyDescent="0.3">
      <c r="A1958" t="s">
        <v>142</v>
      </c>
      <c r="L1958" s="89">
        <v>0.99</v>
      </c>
    </row>
    <row r="1959" spans="1:16" x14ac:dyDescent="0.3">
      <c r="A1959" t="s">
        <v>37</v>
      </c>
      <c r="L1959" s="89">
        <v>0.98</v>
      </c>
    </row>
    <row r="1962" spans="1:16" x14ac:dyDescent="0.3">
      <c r="A1962" t="s">
        <v>125</v>
      </c>
      <c r="L1962" s="83">
        <f>L1963+K997</f>
        <v>160.25641025641025</v>
      </c>
    </row>
    <row r="1963" spans="1:16" x14ac:dyDescent="0.3">
      <c r="A1963" t="s">
        <v>135</v>
      </c>
      <c r="L1963" s="82">
        <f>$D$46</f>
        <v>32.051282051282051</v>
      </c>
    </row>
    <row r="1965" spans="1:16" x14ac:dyDescent="0.3">
      <c r="A1965" t="s">
        <v>126</v>
      </c>
      <c r="L1965" s="88">
        <f>$D$43</f>
        <v>0.5</v>
      </c>
    </row>
    <row r="1966" spans="1:16" x14ac:dyDescent="0.3">
      <c r="A1966" t="s">
        <v>117</v>
      </c>
      <c r="L1966" s="7">
        <f>L1965*L1962</f>
        <v>80.128205128205124</v>
      </c>
    </row>
    <row r="1968" spans="1:16" x14ac:dyDescent="0.3">
      <c r="A1968" t="s">
        <v>118</v>
      </c>
      <c r="L1968" s="7">
        <f>L1963</f>
        <v>32.051282051282051</v>
      </c>
    </row>
    <row r="1969" spans="1:15" x14ac:dyDescent="0.3">
      <c r="A1969" t="s">
        <v>106</v>
      </c>
      <c r="L1969" s="7">
        <f>L1962*(1+L1965)</f>
        <v>240.38461538461536</v>
      </c>
    </row>
    <row r="1970" spans="1:15" x14ac:dyDescent="0.3">
      <c r="L1970" s="7"/>
    </row>
    <row r="1971" spans="1:15" x14ac:dyDescent="0.3">
      <c r="A1971" t="s">
        <v>136</v>
      </c>
      <c r="L1971" s="7">
        <f>L1968*L1953</f>
        <v>2555.037880133264</v>
      </c>
    </row>
    <row r="1972" spans="1:15" x14ac:dyDescent="0.3">
      <c r="A1972" t="s">
        <v>119</v>
      </c>
      <c r="L1972" s="7">
        <f>L1969*L1953</f>
        <v>19162.784100999477</v>
      </c>
    </row>
    <row r="1973" spans="1:15" x14ac:dyDescent="0.3">
      <c r="L1973" s="7"/>
    </row>
    <row r="1974" spans="1:15" x14ac:dyDescent="0.3">
      <c r="A1974" t="s">
        <v>302</v>
      </c>
      <c r="L1974" s="6">
        <f>L1966*L1953</f>
        <v>6387.5947003331594</v>
      </c>
    </row>
    <row r="1975" spans="1:15" x14ac:dyDescent="0.3">
      <c r="L1975" s="7"/>
    </row>
    <row r="1976" spans="1:15" x14ac:dyDescent="0.3">
      <c r="A1976" t="s">
        <v>127</v>
      </c>
      <c r="L1976" s="7">
        <f>L1969/3</f>
        <v>80.128205128205124</v>
      </c>
      <c r="M1976" s="7">
        <f>L1969/3</f>
        <v>80.128205128205124</v>
      </c>
      <c r="N1976" s="7">
        <f>L1969/3</f>
        <v>80.128205128205124</v>
      </c>
    </row>
    <row r="1978" spans="1:15" s="103" customFormat="1" x14ac:dyDescent="0.3">
      <c r="A1978" s="103" t="s">
        <v>128</v>
      </c>
      <c r="L1978" s="79">
        <f>Summary!$B$31</f>
        <v>0</v>
      </c>
    </row>
    <row r="1979" spans="1:15" s="103" customFormat="1" x14ac:dyDescent="0.3">
      <c r="A1979" s="103" t="s">
        <v>129</v>
      </c>
      <c r="L1979" s="79">
        <f>1-L1978</f>
        <v>1</v>
      </c>
    </row>
    <row r="1981" spans="1:15" x14ac:dyDescent="0.3">
      <c r="A1981" s="71" t="s">
        <v>16</v>
      </c>
    </row>
    <row r="1982" spans="1:15" x14ac:dyDescent="0.3">
      <c r="A1982" t="s">
        <v>17</v>
      </c>
      <c r="K1982" s="74">
        <f>Summary!$B$66</f>
        <v>0.45</v>
      </c>
      <c r="L1982" s="74">
        <f>Summary!$B$67</f>
        <v>0.3</v>
      </c>
      <c r="M1982" s="74">
        <f>Summary!$B$68</f>
        <v>0.13</v>
      </c>
      <c r="N1982" s="75"/>
      <c r="O1982" s="75"/>
    </row>
    <row r="1983" spans="1:15" x14ac:dyDescent="0.3">
      <c r="A1983" t="s">
        <v>18</v>
      </c>
      <c r="C1983" s="75"/>
      <c r="L1983" s="74">
        <f>Summary!$B$69</f>
        <v>0.8</v>
      </c>
      <c r="M1983" s="76">
        <f>L1983</f>
        <v>0.8</v>
      </c>
      <c r="N1983" s="76">
        <f>M1983</f>
        <v>0.8</v>
      </c>
      <c r="O1983" s="75"/>
    </row>
    <row r="1984" spans="1:15" x14ac:dyDescent="0.3">
      <c r="A1984" t="s">
        <v>19</v>
      </c>
      <c r="C1984" s="75"/>
      <c r="L1984" s="75"/>
      <c r="M1984" s="74">
        <f>Summary!$B$70</f>
        <v>1</v>
      </c>
      <c r="N1984" s="74">
        <f>M1984</f>
        <v>1</v>
      </c>
      <c r="O1984" s="74">
        <f>N1984</f>
        <v>1</v>
      </c>
    </row>
    <row r="1985" spans="1:16" x14ac:dyDescent="0.3">
      <c r="A1985" t="s">
        <v>20</v>
      </c>
      <c r="O1985" s="21"/>
    </row>
    <row r="1986" spans="1:16" x14ac:dyDescent="0.3">
      <c r="O1986" s="21"/>
    </row>
    <row r="1987" spans="1:16" x14ac:dyDescent="0.3">
      <c r="A1987" s="11" t="s">
        <v>196</v>
      </c>
      <c r="L1987" s="90">
        <f>SUM(L1988:L1991)</f>
        <v>1</v>
      </c>
      <c r="M1987" s="90">
        <f t="shared" ref="M1987:O1987" si="256">SUM(M1988:M1991)</f>
        <v>1</v>
      </c>
      <c r="N1987" s="90">
        <f t="shared" si="256"/>
        <v>0.55375000000000008</v>
      </c>
      <c r="O1987" s="90">
        <f t="shared" si="256"/>
        <v>0.5414000000000001</v>
      </c>
    </row>
    <row r="1988" spans="1:16" x14ac:dyDescent="0.3">
      <c r="A1988" t="s">
        <v>17</v>
      </c>
      <c r="L1988" s="22">
        <f>(1-K1982)*L1979</f>
        <v>0.55000000000000004</v>
      </c>
      <c r="M1988" s="22">
        <f>L1988*(1-L1982)+L1989*(1-L1983)</f>
        <v>0.47499999999999998</v>
      </c>
    </row>
    <row r="1989" spans="1:16" x14ac:dyDescent="0.3">
      <c r="A1989" t="s">
        <v>18</v>
      </c>
      <c r="L1989" s="22">
        <f>K1982</f>
        <v>0.45</v>
      </c>
      <c r="M1989" s="22">
        <f>L1988*L1982</f>
        <v>0.16500000000000001</v>
      </c>
      <c r="N1989" s="22">
        <f>M1988*M1982</f>
        <v>6.1749999999999999E-2</v>
      </c>
      <c r="P1989" s="22"/>
    </row>
    <row r="1990" spans="1:16" x14ac:dyDescent="0.3">
      <c r="A1990" t="s">
        <v>19</v>
      </c>
      <c r="M1990" s="22">
        <f>L1989*L1983</f>
        <v>0.36000000000000004</v>
      </c>
      <c r="N1990" s="22">
        <f>M1989*M1983+M1990</f>
        <v>0.49200000000000005</v>
      </c>
      <c r="O1990" s="22">
        <f>N1989*N1983+N1990</f>
        <v>0.5414000000000001</v>
      </c>
    </row>
    <row r="1991" spans="1:16" x14ac:dyDescent="0.3">
      <c r="M1991" s="22"/>
      <c r="N1991" s="22"/>
    </row>
    <row r="1992" spans="1:16" x14ac:dyDescent="0.3">
      <c r="A1992" t="s">
        <v>195</v>
      </c>
      <c r="L1992" s="22">
        <f>(1-K1982)*L1978</f>
        <v>0</v>
      </c>
      <c r="N1992" s="29">
        <f>M1988*(1-M1982)+M1989*(1-M1983)+M1990*(1-M1984)</f>
        <v>0.44624999999999998</v>
      </c>
      <c r="O1992" s="29">
        <f>N1989*(1-N1983)+N1992</f>
        <v>0.45859999999999995</v>
      </c>
      <c r="P1992" s="22"/>
    </row>
    <row r="1993" spans="1:16" x14ac:dyDescent="0.3">
      <c r="L1993" s="22"/>
      <c r="N1993" s="29"/>
      <c r="O1993" s="29"/>
      <c r="P1993" s="22"/>
    </row>
    <row r="1994" spans="1:16" x14ac:dyDescent="0.3">
      <c r="L1994" s="25" t="s">
        <v>32</v>
      </c>
    </row>
    <row r="1995" spans="1:16" x14ac:dyDescent="0.3">
      <c r="A1995" s="11" t="s">
        <v>124</v>
      </c>
      <c r="L1995" s="8">
        <f>SUM(L1996:L1999)</f>
        <v>79.717181860157837</v>
      </c>
      <c r="M1995" s="8">
        <f t="shared" ref="M1995:N1995" si="257">SUM(M1996:M1999)</f>
        <v>79.717181860157837</v>
      </c>
      <c r="N1995" s="8">
        <f t="shared" si="257"/>
        <v>44.143389455062405</v>
      </c>
    </row>
    <row r="1996" spans="1:16" x14ac:dyDescent="0.3">
      <c r="A1996" s="23" t="s">
        <v>120</v>
      </c>
      <c r="L1996" s="7">
        <f>L1953*(1-K1982)</f>
        <v>43.844450023086814</v>
      </c>
      <c r="M1996" s="82">
        <f>L2034*(1-L1982)+L1997*(1-L1983)</f>
        <v>37.865661383574974</v>
      </c>
    </row>
    <row r="1997" spans="1:16" x14ac:dyDescent="0.3">
      <c r="A1997" s="24" t="s">
        <v>122</v>
      </c>
      <c r="L1997" s="7">
        <f>L1953*K1982</f>
        <v>35.872731837071029</v>
      </c>
      <c r="M1997" s="7">
        <f>L2034*L1982</f>
        <v>13.153335006926044</v>
      </c>
      <c r="N1997" s="7">
        <f>M1996*M1982</f>
        <v>4.9225359798647466</v>
      </c>
      <c r="O1997" s="7">
        <f>N1996*N1982</f>
        <v>0</v>
      </c>
    </row>
    <row r="1998" spans="1:16" x14ac:dyDescent="0.3">
      <c r="A1998" s="23" t="s">
        <v>121</v>
      </c>
      <c r="M1998" s="7">
        <f>L1997*L1983</f>
        <v>28.698185469656824</v>
      </c>
      <c r="N1998" s="7">
        <f>M1997*M1983</f>
        <v>10.522668005540837</v>
      </c>
      <c r="O1998" s="7">
        <f>N1997*N1983</f>
        <v>3.9380287838917973</v>
      </c>
    </row>
    <row r="1999" spans="1:16" x14ac:dyDescent="0.3">
      <c r="A1999" s="23" t="s">
        <v>138</v>
      </c>
      <c r="M1999" s="7"/>
      <c r="N1999" s="7">
        <f>M1998*M1984</f>
        <v>28.698185469656824</v>
      </c>
      <c r="O1999" s="7">
        <f>N1998*N1984+N1999</f>
        <v>39.220853475197657</v>
      </c>
      <c r="P1999" s="7">
        <f>O1998*O1984+O1999</f>
        <v>43.158882259089452</v>
      </c>
    </row>
    <row r="2000" spans="1:16" x14ac:dyDescent="0.3">
      <c r="A2000" s="23"/>
      <c r="M2000" s="7"/>
    </row>
    <row r="2001" spans="1:16" x14ac:dyDescent="0.3">
      <c r="A2001" s="23" t="s">
        <v>137</v>
      </c>
      <c r="M2001" s="7"/>
      <c r="N2001" s="7">
        <f>M1996*(1-M1982)+M1997*(1-M1983)+M1998*(1-M1984)</f>
        <v>35.573792405095432</v>
      </c>
      <c r="O2001" s="7">
        <f>N1997*(1-N1983)+N2001</f>
        <v>36.558299601068384</v>
      </c>
      <c r="P2001" s="7">
        <f>O1998*(1-O1984)+O2001</f>
        <v>36.558299601068384</v>
      </c>
    </row>
    <row r="2002" spans="1:16" x14ac:dyDescent="0.3">
      <c r="A2002" s="23"/>
      <c r="M2002" s="7"/>
    </row>
    <row r="2003" spans="1:16" x14ac:dyDescent="0.3">
      <c r="A2003" s="11" t="s">
        <v>139</v>
      </c>
      <c r="L2003" s="8">
        <f>SUM(L2004:L2005)</f>
        <v>43.844450023086814</v>
      </c>
      <c r="M2003" s="8">
        <f>SUM(M2004:M2005)</f>
        <v>37.865661383574974</v>
      </c>
      <c r="N2003" s="8">
        <f>SUM(N2004:N2005)</f>
        <v>35.573792405095432</v>
      </c>
      <c r="O2003" s="8">
        <f>SUM(O2004:O2005)</f>
        <v>0.98450719597294911</v>
      </c>
    </row>
    <row r="2004" spans="1:16" x14ac:dyDescent="0.3">
      <c r="A2004" s="23" t="s">
        <v>120</v>
      </c>
      <c r="L2004" s="7">
        <f>L1996</f>
        <v>43.844450023086814</v>
      </c>
      <c r="M2004" s="7">
        <f>L2034*(1-L1982)</f>
        <v>30.691115016160769</v>
      </c>
      <c r="N2004" s="7">
        <f>M1996*(1-M1982)</f>
        <v>32.943125403710226</v>
      </c>
    </row>
    <row r="2005" spans="1:16" x14ac:dyDescent="0.3">
      <c r="A2005" s="24" t="s">
        <v>122</v>
      </c>
      <c r="M2005" s="7">
        <f>L1997*(1-L1983)</f>
        <v>7.1745463674142043</v>
      </c>
      <c r="N2005" s="7">
        <f>M1997*(1-M1983)</f>
        <v>2.6306670013852083</v>
      </c>
      <c r="O2005" s="7">
        <f>N1997*(1-N1983)</f>
        <v>0.98450719597294911</v>
      </c>
    </row>
    <row r="2006" spans="1:16" x14ac:dyDescent="0.3">
      <c r="A2006" s="23"/>
      <c r="M2006" s="7"/>
      <c r="N2006" s="7">
        <f>M1998*(1-M1984)</f>
        <v>0</v>
      </c>
      <c r="O2006" s="7">
        <f>N1998*(1-N1984)</f>
        <v>0</v>
      </c>
    </row>
    <row r="2007" spans="1:16" x14ac:dyDescent="0.3">
      <c r="A2007" s="81" t="s">
        <v>123</v>
      </c>
    </row>
    <row r="2008" spans="1:16" x14ac:dyDescent="0.3">
      <c r="A2008" s="23" t="s">
        <v>120</v>
      </c>
      <c r="L2008" s="7">
        <f>L1969-L1976</f>
        <v>160.25641025641022</v>
      </c>
      <c r="M2008" s="7">
        <f>L2008-M1976</f>
        <v>80.128205128205096</v>
      </c>
      <c r="N2008" s="7">
        <f>M2008-N1976</f>
        <v>0</v>
      </c>
    </row>
    <row r="2009" spans="1:16" x14ac:dyDescent="0.3">
      <c r="A2009" s="24" t="s">
        <v>122</v>
      </c>
      <c r="L2009" s="7">
        <f>L1969</f>
        <v>240.38461538461536</v>
      </c>
      <c r="M2009" s="7">
        <f>L2008</f>
        <v>160.25641025641022</v>
      </c>
      <c r="N2009" s="7">
        <f>M2008</f>
        <v>80.128205128205096</v>
      </c>
    </row>
    <row r="2010" spans="1:16" x14ac:dyDescent="0.3">
      <c r="A2010" s="23" t="s">
        <v>121</v>
      </c>
      <c r="M2010" s="7">
        <f>L2009</f>
        <v>240.38461538461536</v>
      </c>
      <c r="N2010" s="7">
        <f>M2009</f>
        <v>160.25641025641022</v>
      </c>
      <c r="O2010" s="7">
        <f>N2009</f>
        <v>80.128205128205096</v>
      </c>
    </row>
    <row r="2011" spans="1:16" x14ac:dyDescent="0.3">
      <c r="A2011" s="23"/>
      <c r="N2011" s="7"/>
      <c r="O2011" s="7"/>
    </row>
    <row r="2012" spans="1:16" x14ac:dyDescent="0.3">
      <c r="A2012" s="23"/>
      <c r="N2012" s="7"/>
      <c r="O2012" s="7"/>
    </row>
    <row r="2013" spans="1:16" x14ac:dyDescent="0.3">
      <c r="A2013" s="11" t="s">
        <v>130</v>
      </c>
      <c r="L2013" s="8">
        <f>SUM(L2014:L2017)</f>
        <v>15649.60701581624</v>
      </c>
      <c r="M2013" s="8">
        <f t="shared" ref="M2013:O2013" si="258">SUM(M2014:M2017)</f>
        <v>12040.616010128004</v>
      </c>
      <c r="N2013" s="8">
        <f t="shared" si="258"/>
        <v>8979.3612499933406</v>
      </c>
      <c r="O2013" s="8">
        <f t="shared" si="258"/>
        <v>8900.4744554442259</v>
      </c>
    </row>
    <row r="2014" spans="1:16" x14ac:dyDescent="0.3">
      <c r="A2014" s="23" t="s">
        <v>120</v>
      </c>
      <c r="L2014" s="7">
        <f>L2008*L1996</f>
        <v>7026.354170366475</v>
      </c>
      <c r="M2014" s="7">
        <f t="shared" ref="M2014:N2014" si="259">M2008*M1996</f>
        <v>3034.1074826582499</v>
      </c>
      <c r="N2014" s="7">
        <f t="shared" si="259"/>
        <v>0</v>
      </c>
    </row>
    <row r="2015" spans="1:16" x14ac:dyDescent="0.3">
      <c r="A2015" s="24" t="s">
        <v>122</v>
      </c>
      <c r="L2015" s="7">
        <f>L2009*L1997</f>
        <v>8623.252845449766</v>
      </c>
      <c r="M2015" s="7">
        <f t="shared" ref="M2015:N2015" si="260">M2009*M1997</f>
        <v>2107.9062511099423</v>
      </c>
      <c r="N2015" s="7">
        <f t="shared" si="260"/>
        <v>394.43397274557248</v>
      </c>
      <c r="O2015" s="7">
        <f>O2009*O1997</f>
        <v>0</v>
      </c>
    </row>
    <row r="2016" spans="1:16" x14ac:dyDescent="0.3">
      <c r="A2016" s="23" t="s">
        <v>121</v>
      </c>
      <c r="M2016" s="7">
        <f>M2010*M1998</f>
        <v>6898.602276359813</v>
      </c>
      <c r="N2016" s="7">
        <f>N2010*N1998</f>
        <v>1686.3250008879543</v>
      </c>
      <c r="O2016" s="7">
        <f>O2010*O1998</f>
        <v>315.54717819645799</v>
      </c>
    </row>
    <row r="2017" spans="1:17" x14ac:dyDescent="0.3">
      <c r="A2017" s="23" t="s">
        <v>299</v>
      </c>
      <c r="N2017" s="8">
        <f>M2016</f>
        <v>6898.602276359813</v>
      </c>
      <c r="O2017" s="8">
        <f>N2017+N2016</f>
        <v>8584.9272772477671</v>
      </c>
      <c r="P2017" s="8">
        <f t="shared" ref="P2017" si="261">O2017+O2016</f>
        <v>8900.4744554442259</v>
      </c>
      <c r="Q2017" s="7"/>
    </row>
    <row r="2018" spans="1:17" x14ac:dyDescent="0.3">
      <c r="A2018" s="23"/>
    </row>
    <row r="2019" spans="1:17" x14ac:dyDescent="0.3">
      <c r="A2019" s="105" t="s">
        <v>300</v>
      </c>
      <c r="L2019" s="8">
        <f>P2017</f>
        <v>8900.4744554442259</v>
      </c>
    </row>
    <row r="2020" spans="1:17" x14ac:dyDescent="0.3">
      <c r="A2020" s="23"/>
    </row>
    <row r="2021" spans="1:17" x14ac:dyDescent="0.3">
      <c r="A2021" s="11" t="s">
        <v>140</v>
      </c>
      <c r="L2021" s="8">
        <f>SUM(L2023:L2026)</f>
        <v>3513.177085183238</v>
      </c>
      <c r="M2021" s="8">
        <f>SUM(M2023:M2026)</f>
        <v>3608.9910056882354</v>
      </c>
      <c r="N2021" s="8">
        <f t="shared" ref="N2021:O2021" si="262">SUM(N2023:N2026)</f>
        <v>3061.2547601346664</v>
      </c>
      <c r="O2021" s="8">
        <f t="shared" si="262"/>
        <v>78.886794549114512</v>
      </c>
    </row>
    <row r="2022" spans="1:17" x14ac:dyDescent="0.3">
      <c r="A2022" s="11"/>
      <c r="L2022" s="8"/>
      <c r="M2022" s="8"/>
      <c r="N2022" s="8"/>
      <c r="O2022" s="8"/>
    </row>
    <row r="2023" spans="1:17" x14ac:dyDescent="0.3">
      <c r="A2023" t="s">
        <v>131</v>
      </c>
      <c r="C2023" s="23" t="s">
        <v>120</v>
      </c>
      <c r="L2023" s="6">
        <f>L2032*L1976</f>
        <v>0</v>
      </c>
    </row>
    <row r="2024" spans="1:17" x14ac:dyDescent="0.3">
      <c r="C2024" s="23"/>
      <c r="L2024" s="6"/>
    </row>
    <row r="2025" spans="1:17" x14ac:dyDescent="0.3">
      <c r="A2025" t="s">
        <v>200</v>
      </c>
      <c r="C2025" s="23" t="s">
        <v>120</v>
      </c>
      <c r="L2025" s="6">
        <f>L2034*L1976</f>
        <v>3513.177085183238</v>
      </c>
      <c r="M2025" s="27">
        <f>M2004*M1976</f>
        <v>2459.2239596282666</v>
      </c>
      <c r="N2025" s="27">
        <f t="shared" ref="N2025:O2025" si="263">N2004*N1976</f>
        <v>2639.6735099126781</v>
      </c>
      <c r="O2025" s="27">
        <f t="shared" si="263"/>
        <v>0</v>
      </c>
      <c r="P2025" s="27"/>
    </row>
    <row r="2026" spans="1:17" x14ac:dyDescent="0.3">
      <c r="A2026" t="s">
        <v>200</v>
      </c>
      <c r="C2026" s="24" t="s">
        <v>122</v>
      </c>
      <c r="L2026" s="6"/>
      <c r="M2026" s="27">
        <f>M2005*(L1976+M1976)</f>
        <v>1149.7670460599686</v>
      </c>
      <c r="N2026" s="27">
        <f t="shared" ref="N2026" si="264">N2005*(M1976+N1976)</f>
        <v>421.58125022198845</v>
      </c>
      <c r="O2026" s="27">
        <f t="shared" ref="O2026" si="265">O2005*(N1976+O1976)</f>
        <v>78.886794549114512</v>
      </c>
      <c r="P2026" s="27"/>
    </row>
    <row r="2028" spans="1:17" x14ac:dyDescent="0.3">
      <c r="A2028" s="11" t="s">
        <v>283</v>
      </c>
      <c r="L2028" s="8">
        <f>SUM(L2025:O2026)</f>
        <v>10262.309645555255</v>
      </c>
    </row>
    <row r="2030" spans="1:17" x14ac:dyDescent="0.3">
      <c r="A2030" t="s">
        <v>202</v>
      </c>
      <c r="L2030" s="28">
        <f>L2032*(M1976+N1976)</f>
        <v>0</v>
      </c>
    </row>
    <row r="2032" spans="1:17" x14ac:dyDescent="0.3">
      <c r="A2032" s="72" t="s">
        <v>132</v>
      </c>
      <c r="L2032" s="73">
        <f>L1996*L1978</f>
        <v>0</v>
      </c>
    </row>
    <row r="2034" spans="1:30" x14ac:dyDescent="0.3">
      <c r="A2034" t="s">
        <v>201</v>
      </c>
      <c r="L2034" s="7">
        <f>L1996*L1979</f>
        <v>43.844450023086814</v>
      </c>
    </row>
    <row r="2039" spans="1:30" x14ac:dyDescent="0.3">
      <c r="A2039" s="160" t="s">
        <v>284</v>
      </c>
      <c r="B2039" s="161"/>
      <c r="C2039" s="161"/>
      <c r="D2039" s="161"/>
      <c r="E2039" s="161"/>
      <c r="F2039" s="161"/>
      <c r="G2039" s="161"/>
      <c r="H2039" s="161"/>
      <c r="I2039" s="161"/>
      <c r="J2039" s="161"/>
      <c r="K2039" s="161"/>
      <c r="L2039" s="161"/>
      <c r="M2039" s="161"/>
      <c r="N2039" s="161"/>
      <c r="O2039" s="161"/>
      <c r="P2039" s="161"/>
      <c r="Q2039" s="161"/>
      <c r="R2039" s="161"/>
      <c r="S2039" s="161"/>
      <c r="T2039" s="161"/>
      <c r="U2039" s="161"/>
      <c r="V2039" s="161"/>
      <c r="W2039" s="161"/>
      <c r="X2039" s="161"/>
      <c r="Y2039" s="161"/>
      <c r="Z2039" s="161"/>
      <c r="AA2039" s="161"/>
      <c r="AB2039" s="161"/>
      <c r="AC2039" s="161"/>
      <c r="AD2039" s="162"/>
    </row>
    <row r="2041" spans="1:30" x14ac:dyDescent="0.3">
      <c r="A2041" t="s">
        <v>197</v>
      </c>
      <c r="L2041" s="83">
        <f>I901</f>
        <v>571.42066544639999</v>
      </c>
    </row>
    <row r="2042" spans="1:30" x14ac:dyDescent="0.3">
      <c r="A2042" t="s">
        <v>206</v>
      </c>
      <c r="L2042" s="7">
        <f>L2044*L2041</f>
        <v>79.717181860157837</v>
      </c>
      <c r="O2042" s="77"/>
    </row>
    <row r="2043" spans="1:30" x14ac:dyDescent="0.3">
      <c r="L2043" s="7"/>
      <c r="O2043" s="77"/>
    </row>
    <row r="2044" spans="1:30" x14ac:dyDescent="0.3">
      <c r="A2044" s="11" t="s">
        <v>134</v>
      </c>
      <c r="B2044" s="11"/>
      <c r="C2044" s="11"/>
      <c r="L2044" s="98">
        <f>L2045*L2046*L2047*L2048</f>
        <v>0.13950699839999997</v>
      </c>
      <c r="M2044" s="7">
        <f>M2045*M2046*M2047*M2048</f>
        <v>0</v>
      </c>
      <c r="N2044" s="11"/>
      <c r="P2044" s="11"/>
    </row>
    <row r="2045" spans="1:30" x14ac:dyDescent="0.3">
      <c r="A2045" t="s">
        <v>35</v>
      </c>
      <c r="L2045" s="97">
        <f>L940</f>
        <v>0.15135999999999999</v>
      </c>
    </row>
    <row r="2046" spans="1:30" x14ac:dyDescent="0.3">
      <c r="A2046" t="s">
        <v>36</v>
      </c>
      <c r="L2046" s="86">
        <f>0.95</f>
        <v>0.95</v>
      </c>
    </row>
    <row r="2047" spans="1:30" x14ac:dyDescent="0.3">
      <c r="A2047" t="s">
        <v>142</v>
      </c>
      <c r="L2047" s="86">
        <v>0.99</v>
      </c>
    </row>
    <row r="2048" spans="1:30" x14ac:dyDescent="0.3">
      <c r="A2048" t="s">
        <v>37</v>
      </c>
      <c r="L2048" s="86">
        <v>0.98</v>
      </c>
    </row>
    <row r="2051" spans="1:12" x14ac:dyDescent="0.3">
      <c r="A2051" t="s">
        <v>125</v>
      </c>
      <c r="L2051" s="83">
        <f>$B$34</f>
        <v>160.25641025641025</v>
      </c>
    </row>
    <row r="2052" spans="1:12" x14ac:dyDescent="0.3">
      <c r="A2052" s="100" t="s">
        <v>135</v>
      </c>
      <c r="L2052" s="101">
        <f>L2051</f>
        <v>160.25641025641025</v>
      </c>
    </row>
    <row r="2054" spans="1:12" x14ac:dyDescent="0.3">
      <c r="A2054" t="s">
        <v>126</v>
      </c>
      <c r="L2054" s="88">
        <f>$D$43</f>
        <v>0.5</v>
      </c>
    </row>
    <row r="2055" spans="1:12" x14ac:dyDescent="0.3">
      <c r="A2055" t="s">
        <v>117</v>
      </c>
      <c r="L2055" s="7">
        <f>L2054*L2051</f>
        <v>80.128205128205124</v>
      </c>
    </row>
    <row r="2057" spans="1:12" x14ac:dyDescent="0.3">
      <c r="A2057" t="s">
        <v>118</v>
      </c>
      <c r="L2057" s="7">
        <f>L2052</f>
        <v>160.25641025641025</v>
      </c>
    </row>
    <row r="2058" spans="1:12" x14ac:dyDescent="0.3">
      <c r="A2058" t="s">
        <v>106</v>
      </c>
      <c r="L2058" s="7">
        <f>L2051*(1+L2054)</f>
        <v>240.38461538461536</v>
      </c>
    </row>
    <row r="2059" spans="1:12" x14ac:dyDescent="0.3">
      <c r="L2059" s="7"/>
    </row>
    <row r="2060" spans="1:12" x14ac:dyDescent="0.3">
      <c r="A2060" t="s">
        <v>136</v>
      </c>
      <c r="L2060" s="7">
        <f>L2057*L2042</f>
        <v>12775.189400666319</v>
      </c>
    </row>
    <row r="2061" spans="1:12" x14ac:dyDescent="0.3">
      <c r="A2061" t="s">
        <v>119</v>
      </c>
      <c r="L2061" s="7">
        <f>L2058*L2042</f>
        <v>19162.784100999477</v>
      </c>
    </row>
    <row r="2062" spans="1:12" x14ac:dyDescent="0.3">
      <c r="L2062" s="7"/>
    </row>
    <row r="2063" spans="1:12" x14ac:dyDescent="0.3">
      <c r="A2063" t="s">
        <v>302</v>
      </c>
      <c r="L2063" s="6">
        <f>L2055*L2042</f>
        <v>6387.5947003331594</v>
      </c>
    </row>
    <row r="2064" spans="1:12" x14ac:dyDescent="0.3">
      <c r="L2064" s="7"/>
    </row>
    <row r="2065" spans="1:16" x14ac:dyDescent="0.3">
      <c r="A2065" t="s">
        <v>127</v>
      </c>
      <c r="L2065" s="7">
        <f>L2058/3</f>
        <v>80.128205128205124</v>
      </c>
      <c r="M2065" s="7">
        <f>L2058/3</f>
        <v>80.128205128205124</v>
      </c>
      <c r="N2065" s="7">
        <f>L2058/3</f>
        <v>80.128205128205124</v>
      </c>
    </row>
    <row r="2067" spans="1:16" s="103" customFormat="1" x14ac:dyDescent="0.3">
      <c r="A2067" s="103" t="s">
        <v>128</v>
      </c>
      <c r="L2067" s="79">
        <f>Summary!$D$31</f>
        <v>0</v>
      </c>
    </row>
    <row r="2068" spans="1:16" s="103" customFormat="1" x14ac:dyDescent="0.3">
      <c r="A2068" s="103" t="s">
        <v>129</v>
      </c>
      <c r="L2068" s="79">
        <f>1-L2067</f>
        <v>1</v>
      </c>
    </row>
    <row r="2070" spans="1:16" x14ac:dyDescent="0.3">
      <c r="A2070" s="71" t="s">
        <v>16</v>
      </c>
    </row>
    <row r="2071" spans="1:16" x14ac:dyDescent="0.3">
      <c r="A2071" t="s">
        <v>17</v>
      </c>
      <c r="K2071" s="74">
        <f>Summary!$C$66</f>
        <v>0.45</v>
      </c>
      <c r="L2071" s="74">
        <f>Summary!$C$67</f>
        <v>0.3</v>
      </c>
      <c r="M2071" s="74">
        <f>Summary!$C$68</f>
        <v>0.13</v>
      </c>
      <c r="N2071" s="75"/>
      <c r="O2071" s="75"/>
    </row>
    <row r="2072" spans="1:16" x14ac:dyDescent="0.3">
      <c r="A2072" t="s">
        <v>18</v>
      </c>
      <c r="C2072" s="75"/>
      <c r="L2072" s="74">
        <f>Summary!$C$69</f>
        <v>0.8</v>
      </c>
      <c r="M2072" s="76">
        <f>L2072</f>
        <v>0.8</v>
      </c>
      <c r="N2072" s="76">
        <f>M2072</f>
        <v>0.8</v>
      </c>
      <c r="O2072" s="75"/>
    </row>
    <row r="2073" spans="1:16" x14ac:dyDescent="0.3">
      <c r="A2073" t="s">
        <v>19</v>
      </c>
      <c r="C2073" s="75"/>
      <c r="L2073" s="75"/>
      <c r="M2073" s="74">
        <f>Summary!$C$70</f>
        <v>1</v>
      </c>
      <c r="N2073" s="74">
        <f>M2073</f>
        <v>1</v>
      </c>
      <c r="O2073" s="74">
        <f>N2073</f>
        <v>1</v>
      </c>
    </row>
    <row r="2074" spans="1:16" x14ac:dyDescent="0.3">
      <c r="A2074" t="s">
        <v>20</v>
      </c>
      <c r="O2074" s="21"/>
    </row>
    <row r="2075" spans="1:16" x14ac:dyDescent="0.3">
      <c r="O2075" s="21"/>
    </row>
    <row r="2076" spans="1:16" x14ac:dyDescent="0.3">
      <c r="A2076" s="11" t="s">
        <v>196</v>
      </c>
      <c r="L2076" s="90">
        <f>SUM(L2077:L2080)</f>
        <v>1</v>
      </c>
      <c r="M2076" s="90">
        <f t="shared" ref="M2076:O2076" si="266">SUM(M2077:M2080)</f>
        <v>1</v>
      </c>
      <c r="N2076" s="90">
        <f t="shared" si="266"/>
        <v>0.55375000000000008</v>
      </c>
      <c r="O2076" s="90">
        <f t="shared" si="266"/>
        <v>0.5414000000000001</v>
      </c>
    </row>
    <row r="2077" spans="1:16" x14ac:dyDescent="0.3">
      <c r="A2077" t="s">
        <v>17</v>
      </c>
      <c r="L2077" s="22">
        <f>(1-K2071)*L2068</f>
        <v>0.55000000000000004</v>
      </c>
      <c r="M2077" s="22">
        <f>L2077*(1-L2071)+L2078*(1-L2072)</f>
        <v>0.47499999999999998</v>
      </c>
    </row>
    <row r="2078" spans="1:16" x14ac:dyDescent="0.3">
      <c r="A2078" t="s">
        <v>18</v>
      </c>
      <c r="L2078" s="22">
        <f>K2071</f>
        <v>0.45</v>
      </c>
      <c r="M2078" s="22">
        <f>L2077*L2071</f>
        <v>0.16500000000000001</v>
      </c>
      <c r="N2078" s="22">
        <f>M2077*M2071</f>
        <v>6.1749999999999999E-2</v>
      </c>
      <c r="P2078" s="22"/>
    </row>
    <row r="2079" spans="1:16" x14ac:dyDescent="0.3">
      <c r="A2079" t="s">
        <v>19</v>
      </c>
      <c r="M2079" s="22">
        <f>L2078*L2072</f>
        <v>0.36000000000000004</v>
      </c>
      <c r="N2079" s="22">
        <f>M2078*M2072+M2079</f>
        <v>0.49200000000000005</v>
      </c>
      <c r="O2079" s="22">
        <f>N2078*N2072+N2079</f>
        <v>0.5414000000000001</v>
      </c>
    </row>
    <row r="2080" spans="1:16" x14ac:dyDescent="0.3">
      <c r="M2080" s="22"/>
      <c r="N2080" s="22"/>
    </row>
    <row r="2081" spans="1:16" x14ac:dyDescent="0.3">
      <c r="A2081" t="s">
        <v>195</v>
      </c>
      <c r="L2081" s="22">
        <f>(1-K2071)*L2067</f>
        <v>0</v>
      </c>
      <c r="N2081" s="29">
        <f>M2077*(1-M2071)+M2078*(1-M2072)+M2079*(1-M2073)</f>
        <v>0.44624999999999998</v>
      </c>
      <c r="O2081" s="29">
        <f>N2078*(1-N2072)+N2081</f>
        <v>0.45859999999999995</v>
      </c>
      <c r="P2081" s="22"/>
    </row>
    <row r="2082" spans="1:16" x14ac:dyDescent="0.3">
      <c r="L2082" s="22"/>
      <c r="N2082" s="29"/>
      <c r="O2082" s="29"/>
      <c r="P2082" s="22"/>
    </row>
    <row r="2083" spans="1:16" x14ac:dyDescent="0.3">
      <c r="L2083" s="25" t="s">
        <v>32</v>
      </c>
    </row>
    <row r="2084" spans="1:16" x14ac:dyDescent="0.3">
      <c r="A2084" s="11" t="s">
        <v>124</v>
      </c>
      <c r="L2084" s="8">
        <f>SUM(L2085:L2088)</f>
        <v>79.717181860157837</v>
      </c>
      <c r="M2084" s="8">
        <f t="shared" ref="M2084:N2084" si="267">SUM(M2085:M2088)</f>
        <v>79.717181860157837</v>
      </c>
      <c r="N2084" s="8">
        <f t="shared" si="267"/>
        <v>44.143389455062405</v>
      </c>
    </row>
    <row r="2085" spans="1:16" x14ac:dyDescent="0.3">
      <c r="A2085" s="23" t="s">
        <v>120</v>
      </c>
      <c r="L2085" s="7">
        <f>L2042*(1-K2071)</f>
        <v>43.844450023086814</v>
      </c>
      <c r="M2085" s="82">
        <f>L2123*(1-L2071)+L2086*(1-L2072)</f>
        <v>37.865661383574974</v>
      </c>
    </row>
    <row r="2086" spans="1:16" x14ac:dyDescent="0.3">
      <c r="A2086" s="24" t="s">
        <v>122</v>
      </c>
      <c r="L2086" s="7">
        <f>L2042*K2071</f>
        <v>35.872731837071029</v>
      </c>
      <c r="M2086" s="7">
        <f>L2123*L2071</f>
        <v>13.153335006926044</v>
      </c>
      <c r="N2086" s="7">
        <f>M2085*M2071</f>
        <v>4.9225359798647466</v>
      </c>
      <c r="O2086" s="7">
        <f>N2085*N2071</f>
        <v>0</v>
      </c>
    </row>
    <row r="2087" spans="1:16" x14ac:dyDescent="0.3">
      <c r="A2087" s="23" t="s">
        <v>121</v>
      </c>
      <c r="M2087" s="7">
        <f>L2086*L2072</f>
        <v>28.698185469656824</v>
      </c>
      <c r="N2087" s="7">
        <f>M2086*M2072</f>
        <v>10.522668005540837</v>
      </c>
      <c r="O2087" s="7">
        <f>N2086*N2072</f>
        <v>3.9380287838917973</v>
      </c>
    </row>
    <row r="2088" spans="1:16" x14ac:dyDescent="0.3">
      <c r="A2088" s="23" t="s">
        <v>138</v>
      </c>
      <c r="M2088" s="7"/>
      <c r="N2088" s="7">
        <f>M2087*M2073</f>
        <v>28.698185469656824</v>
      </c>
      <c r="O2088" s="7">
        <f>N2087*N2073+N2088</f>
        <v>39.220853475197657</v>
      </c>
      <c r="P2088" s="7">
        <f>O2087*O2073+O2088</f>
        <v>43.158882259089452</v>
      </c>
    </row>
    <row r="2089" spans="1:16" x14ac:dyDescent="0.3">
      <c r="A2089" s="23"/>
      <c r="M2089" s="7"/>
    </row>
    <row r="2090" spans="1:16" x14ac:dyDescent="0.3">
      <c r="A2090" s="23" t="s">
        <v>137</v>
      </c>
      <c r="M2090" s="7"/>
      <c r="N2090" s="7">
        <f>M2085*(1-M2071)+M2086*(1-M2072)+M2087*(1-M2073)</f>
        <v>35.573792405095432</v>
      </c>
      <c r="O2090" s="7">
        <f>N2086*(1-N2072)+N2090</f>
        <v>36.558299601068384</v>
      </c>
      <c r="P2090" s="7">
        <f>O2087*(1-O2073)+O2090</f>
        <v>36.558299601068384</v>
      </c>
    </row>
    <row r="2091" spans="1:16" x14ac:dyDescent="0.3">
      <c r="A2091" s="23"/>
      <c r="M2091" s="7"/>
    </row>
    <row r="2092" spans="1:16" x14ac:dyDescent="0.3">
      <c r="A2092" s="11" t="s">
        <v>139</v>
      </c>
      <c r="L2092" s="8">
        <f>SUM(L2093:L2094)</f>
        <v>43.844450023086814</v>
      </c>
      <c r="M2092" s="8">
        <f>SUM(M2093:M2094)</f>
        <v>37.865661383574974</v>
      </c>
      <c r="N2092" s="8">
        <f>SUM(N2093:N2094)</f>
        <v>35.573792405095432</v>
      </c>
      <c r="O2092" s="8">
        <f>SUM(O2093:O2094)</f>
        <v>0.98450719597294911</v>
      </c>
    </row>
    <row r="2093" spans="1:16" x14ac:dyDescent="0.3">
      <c r="A2093" s="23" t="s">
        <v>120</v>
      </c>
      <c r="L2093" s="7">
        <f>L2085</f>
        <v>43.844450023086814</v>
      </c>
      <c r="M2093" s="7">
        <f>L2123*(1-L2071)</f>
        <v>30.691115016160769</v>
      </c>
      <c r="N2093" s="7">
        <f>M2085*(1-M2071)</f>
        <v>32.943125403710226</v>
      </c>
    </row>
    <row r="2094" spans="1:16" x14ac:dyDescent="0.3">
      <c r="A2094" s="24" t="s">
        <v>122</v>
      </c>
      <c r="M2094" s="7">
        <f>L2086*(1-L2072)</f>
        <v>7.1745463674142043</v>
      </c>
      <c r="N2094" s="7">
        <f>M2086*(1-M2072)</f>
        <v>2.6306670013852083</v>
      </c>
      <c r="O2094" s="7">
        <f>N2086*(1-N2072)</f>
        <v>0.98450719597294911</v>
      </c>
    </row>
    <row r="2095" spans="1:16" x14ac:dyDescent="0.3">
      <c r="A2095" s="23"/>
      <c r="M2095" s="7"/>
      <c r="N2095" s="7">
        <f>M2087*(1-M2073)</f>
        <v>0</v>
      </c>
      <c r="O2095" s="7">
        <f>N2087*(1-N2073)</f>
        <v>0</v>
      </c>
    </row>
    <row r="2096" spans="1:16" x14ac:dyDescent="0.3">
      <c r="A2096" s="81" t="s">
        <v>123</v>
      </c>
    </row>
    <row r="2097" spans="1:16" x14ac:dyDescent="0.3">
      <c r="A2097" s="23" t="s">
        <v>120</v>
      </c>
      <c r="L2097" s="7">
        <f>L2058-L2065</f>
        <v>160.25641025641022</v>
      </c>
      <c r="M2097" s="7">
        <f>L2097-M2065</f>
        <v>80.128205128205096</v>
      </c>
      <c r="N2097" s="7">
        <f>M2097-N2065</f>
        <v>0</v>
      </c>
    </row>
    <row r="2098" spans="1:16" x14ac:dyDescent="0.3">
      <c r="A2098" s="24" t="s">
        <v>122</v>
      </c>
      <c r="L2098" s="7">
        <f>L2058</f>
        <v>240.38461538461536</v>
      </c>
      <c r="M2098" s="7">
        <f>L2097</f>
        <v>160.25641025641022</v>
      </c>
      <c r="N2098" s="7">
        <f>M2097</f>
        <v>80.128205128205096</v>
      </c>
    </row>
    <row r="2099" spans="1:16" x14ac:dyDescent="0.3">
      <c r="A2099" s="23" t="s">
        <v>121</v>
      </c>
      <c r="M2099" s="7">
        <f>L2098</f>
        <v>240.38461538461536</v>
      </c>
      <c r="N2099" s="7">
        <f>M2098</f>
        <v>160.25641025641022</v>
      </c>
      <c r="O2099" s="7">
        <f>N2098</f>
        <v>80.128205128205096</v>
      </c>
    </row>
    <row r="2100" spans="1:16" x14ac:dyDescent="0.3">
      <c r="A2100" s="23"/>
      <c r="N2100" s="7"/>
      <c r="O2100" s="7"/>
    </row>
    <row r="2101" spans="1:16" x14ac:dyDescent="0.3">
      <c r="A2101" s="23"/>
      <c r="N2101" s="7"/>
      <c r="O2101" s="7"/>
    </row>
    <row r="2102" spans="1:16" x14ac:dyDescent="0.3">
      <c r="A2102" s="11" t="s">
        <v>130</v>
      </c>
      <c r="L2102" s="8">
        <f>SUM(L2103:L2106)</f>
        <v>15649.60701581624</v>
      </c>
      <c r="M2102" s="8">
        <f t="shared" ref="M2102:O2102" si="268">SUM(M2103:M2106)</f>
        <v>12040.616010128004</v>
      </c>
      <c r="N2102" s="8">
        <f t="shared" si="268"/>
        <v>8979.3612499933406</v>
      </c>
      <c r="O2102" s="8">
        <f t="shared" si="268"/>
        <v>8900.4744554442259</v>
      </c>
    </row>
    <row r="2103" spans="1:16" x14ac:dyDescent="0.3">
      <c r="A2103" s="23" t="s">
        <v>120</v>
      </c>
      <c r="L2103" s="7">
        <f>L2097*L2085</f>
        <v>7026.354170366475</v>
      </c>
      <c r="M2103" s="7">
        <f t="shared" ref="M2103:N2103" si="269">M2097*M2085</f>
        <v>3034.1074826582499</v>
      </c>
      <c r="N2103" s="7">
        <f t="shared" si="269"/>
        <v>0</v>
      </c>
    </row>
    <row r="2104" spans="1:16" x14ac:dyDescent="0.3">
      <c r="A2104" s="24" t="s">
        <v>122</v>
      </c>
      <c r="L2104" s="7">
        <f>L2098*L2086</f>
        <v>8623.252845449766</v>
      </c>
      <c r="M2104" s="7">
        <f t="shared" ref="M2104:N2104" si="270">M2098*M2086</f>
        <v>2107.9062511099423</v>
      </c>
      <c r="N2104" s="7">
        <f t="shared" si="270"/>
        <v>394.43397274557248</v>
      </c>
      <c r="O2104" s="7">
        <f>O2098*O2086</f>
        <v>0</v>
      </c>
    </row>
    <row r="2105" spans="1:16" x14ac:dyDescent="0.3">
      <c r="A2105" s="23" t="s">
        <v>121</v>
      </c>
      <c r="M2105" s="7">
        <f>M2099*M2087</f>
        <v>6898.602276359813</v>
      </c>
      <c r="N2105" s="7">
        <f>N2099*N2087</f>
        <v>1686.3250008879543</v>
      </c>
      <c r="O2105" s="7">
        <f>O2099*O2087</f>
        <v>315.54717819645799</v>
      </c>
    </row>
    <row r="2106" spans="1:16" x14ac:dyDescent="0.3">
      <c r="A2106" s="23" t="s">
        <v>299</v>
      </c>
      <c r="N2106" s="8">
        <f>M2105</f>
        <v>6898.602276359813</v>
      </c>
      <c r="O2106" s="8">
        <f>N2106+N2105</f>
        <v>8584.9272772477671</v>
      </c>
      <c r="P2106" s="8">
        <f>O2106+O2105</f>
        <v>8900.4744554442259</v>
      </c>
    </row>
    <row r="2107" spans="1:16" x14ac:dyDescent="0.3">
      <c r="A2107" s="23"/>
    </row>
    <row r="2108" spans="1:16" x14ac:dyDescent="0.3">
      <c r="A2108" s="105" t="s">
        <v>300</v>
      </c>
      <c r="L2108" s="8">
        <f>P2106</f>
        <v>8900.4744554442259</v>
      </c>
    </row>
    <row r="2109" spans="1:16" x14ac:dyDescent="0.3">
      <c r="A2109" s="23"/>
    </row>
    <row r="2110" spans="1:16" x14ac:dyDescent="0.3">
      <c r="A2110" s="11" t="s">
        <v>140</v>
      </c>
      <c r="L2110" s="8">
        <f>SUM(L2112:L2115)</f>
        <v>3513.177085183238</v>
      </c>
      <c r="M2110" s="8">
        <f>SUM(M2112:M2115)</f>
        <v>3608.9910056882354</v>
      </c>
      <c r="N2110" s="8">
        <f t="shared" ref="N2110:O2110" si="271">SUM(N2112:N2115)</f>
        <v>3061.2547601346664</v>
      </c>
      <c r="O2110" s="8">
        <f t="shared" si="271"/>
        <v>78.886794549114512</v>
      </c>
    </row>
    <row r="2111" spans="1:16" x14ac:dyDescent="0.3">
      <c r="A2111" s="11"/>
      <c r="L2111" s="8"/>
      <c r="M2111" s="8"/>
      <c r="N2111" s="8"/>
      <c r="O2111" s="8"/>
    </row>
    <row r="2112" spans="1:16" x14ac:dyDescent="0.3">
      <c r="A2112" t="s">
        <v>131</v>
      </c>
      <c r="C2112" s="23" t="s">
        <v>120</v>
      </c>
      <c r="L2112" s="6">
        <f>L2121*L2065</f>
        <v>0</v>
      </c>
    </row>
    <row r="2113" spans="1:21" x14ac:dyDescent="0.3">
      <c r="C2113" s="23"/>
      <c r="L2113" s="6"/>
    </row>
    <row r="2114" spans="1:21" x14ac:dyDescent="0.3">
      <c r="A2114" t="s">
        <v>200</v>
      </c>
      <c r="C2114" s="23" t="s">
        <v>120</v>
      </c>
      <c r="L2114" s="6">
        <f>L2123*L2065</f>
        <v>3513.177085183238</v>
      </c>
      <c r="M2114" s="27">
        <f>M2093*M2065</f>
        <v>2459.2239596282666</v>
      </c>
      <c r="N2114" s="27">
        <f t="shared" ref="N2114:O2114" si="272">N2093*N2065</f>
        <v>2639.6735099126781</v>
      </c>
      <c r="O2114" s="27">
        <f t="shared" si="272"/>
        <v>0</v>
      </c>
      <c r="P2114" s="27"/>
    </row>
    <row r="2115" spans="1:21" x14ac:dyDescent="0.3">
      <c r="A2115" t="s">
        <v>200</v>
      </c>
      <c r="C2115" s="24" t="s">
        <v>122</v>
      </c>
      <c r="L2115" s="6"/>
      <c r="M2115" s="27">
        <f>M2094*(L2065+M2065)</f>
        <v>1149.7670460599686</v>
      </c>
      <c r="N2115" s="27">
        <f t="shared" ref="N2115" si="273">N2094*(M2065+N2065)</f>
        <v>421.58125022198845</v>
      </c>
      <c r="O2115" s="27">
        <f t="shared" ref="O2115" si="274">O2094*(N2065+O2065)</f>
        <v>78.886794549114512</v>
      </c>
      <c r="P2115" s="27"/>
    </row>
    <row r="2117" spans="1:21" x14ac:dyDescent="0.3">
      <c r="A2117" s="11" t="s">
        <v>283</v>
      </c>
      <c r="L2117" s="8">
        <f>SUM(L2114:O2115)</f>
        <v>10262.309645555255</v>
      </c>
    </row>
    <row r="2119" spans="1:21" x14ac:dyDescent="0.3">
      <c r="A2119" t="s">
        <v>202</v>
      </c>
      <c r="L2119" s="28">
        <f>L2121*(M2065+N2065)</f>
        <v>0</v>
      </c>
    </row>
    <row r="2121" spans="1:21" x14ac:dyDescent="0.3">
      <c r="A2121" s="72" t="s">
        <v>132</v>
      </c>
      <c r="L2121" s="73">
        <f>L2085*L2067</f>
        <v>0</v>
      </c>
    </row>
    <row r="2123" spans="1:21" x14ac:dyDescent="0.3">
      <c r="A2123" t="s">
        <v>201</v>
      </c>
      <c r="L2123" s="7">
        <f>L2085*L2068</f>
        <v>43.844450023086814</v>
      </c>
    </row>
    <row r="2128" spans="1:21" x14ac:dyDescent="0.3">
      <c r="A2128" s="152" t="s">
        <v>285</v>
      </c>
      <c r="B2128" s="153"/>
      <c r="C2128" s="153"/>
      <c r="D2128" s="153"/>
      <c r="E2128" s="153"/>
      <c r="F2128" s="153"/>
      <c r="G2128" s="153"/>
      <c r="H2128" s="153"/>
      <c r="I2128" s="153"/>
      <c r="J2128" s="153"/>
      <c r="K2128" s="153"/>
      <c r="L2128" s="153"/>
      <c r="M2128" s="153"/>
      <c r="N2128" s="153"/>
      <c r="O2128" s="153"/>
      <c r="P2128" s="153"/>
      <c r="Q2128" s="153"/>
      <c r="R2128" s="153"/>
      <c r="S2128" s="153"/>
      <c r="T2128" s="153"/>
      <c r="U2128" s="154"/>
    </row>
    <row r="2130" spans="1:16" x14ac:dyDescent="0.3">
      <c r="A2130" t="s">
        <v>197</v>
      </c>
      <c r="L2130" s="83">
        <f>K1075</f>
        <v>124.55809665649662</v>
      </c>
    </row>
    <row r="2131" spans="1:16" x14ac:dyDescent="0.3">
      <c r="A2131" t="s">
        <v>206</v>
      </c>
      <c r="L2131" s="7">
        <f>L2133*L2130</f>
        <v>124.55809665649662</v>
      </c>
      <c r="O2131" s="77"/>
    </row>
    <row r="2132" spans="1:16" x14ac:dyDescent="0.3">
      <c r="L2132" s="7"/>
      <c r="O2132" s="77"/>
    </row>
    <row r="2133" spans="1:16" x14ac:dyDescent="0.3">
      <c r="A2133" s="11" t="s">
        <v>134</v>
      </c>
      <c r="B2133" s="11"/>
      <c r="C2133" s="11"/>
      <c r="L2133" s="104">
        <f>$E$120</f>
        <v>1</v>
      </c>
      <c r="M2133" s="7">
        <f>M2134*M2135*M2136*M2137</f>
        <v>0</v>
      </c>
      <c r="N2133" s="11"/>
      <c r="P2133" s="11"/>
    </row>
    <row r="2134" spans="1:16" x14ac:dyDescent="0.3">
      <c r="A2134" t="s">
        <v>35</v>
      </c>
      <c r="L2134" s="89">
        <v>0</v>
      </c>
    </row>
    <row r="2135" spans="1:16" x14ac:dyDescent="0.3">
      <c r="A2135" t="s">
        <v>36</v>
      </c>
      <c r="L2135" s="89">
        <f>0.95</f>
        <v>0.95</v>
      </c>
    </row>
    <row r="2136" spans="1:16" x14ac:dyDescent="0.3">
      <c r="A2136" t="s">
        <v>142</v>
      </c>
      <c r="L2136" s="89">
        <v>0.99</v>
      </c>
    </row>
    <row r="2137" spans="1:16" x14ac:dyDescent="0.3">
      <c r="A2137" t="s">
        <v>37</v>
      </c>
      <c r="L2137" s="89">
        <v>0.98</v>
      </c>
    </row>
    <row r="2140" spans="1:16" x14ac:dyDescent="0.3">
      <c r="A2140" t="s">
        <v>125</v>
      </c>
      <c r="L2140" s="83">
        <f>L2141+K1084</f>
        <v>160.25641025641025</v>
      </c>
    </row>
    <row r="2141" spans="1:16" x14ac:dyDescent="0.3">
      <c r="A2141" t="s">
        <v>135</v>
      </c>
      <c r="L2141" s="82">
        <f>$D$46</f>
        <v>32.051282051282051</v>
      </c>
    </row>
    <row r="2143" spans="1:16" x14ac:dyDescent="0.3">
      <c r="A2143" t="s">
        <v>126</v>
      </c>
      <c r="L2143" s="88">
        <f>$D$43</f>
        <v>0.5</v>
      </c>
    </row>
    <row r="2144" spans="1:16" x14ac:dyDescent="0.3">
      <c r="A2144" t="s">
        <v>117</v>
      </c>
      <c r="L2144" s="7">
        <f>L2143*L2140</f>
        <v>80.128205128205124</v>
      </c>
    </row>
    <row r="2146" spans="1:15" x14ac:dyDescent="0.3">
      <c r="A2146" t="s">
        <v>118</v>
      </c>
      <c r="L2146" s="7">
        <f>L2141</f>
        <v>32.051282051282051</v>
      </c>
    </row>
    <row r="2147" spans="1:15" x14ac:dyDescent="0.3">
      <c r="A2147" t="s">
        <v>106</v>
      </c>
      <c r="L2147" s="7">
        <f>L2140*(1+L2143)</f>
        <v>240.38461538461536</v>
      </c>
    </row>
    <row r="2148" spans="1:15" x14ac:dyDescent="0.3">
      <c r="L2148" s="7"/>
    </row>
    <row r="2149" spans="1:15" x14ac:dyDescent="0.3">
      <c r="A2149" t="s">
        <v>136</v>
      </c>
      <c r="L2149" s="7">
        <f>L2146*L2131</f>
        <v>3992.2466877082247</v>
      </c>
    </row>
    <row r="2150" spans="1:15" x14ac:dyDescent="0.3">
      <c r="A2150" t="s">
        <v>119</v>
      </c>
      <c r="L2150" s="7">
        <f>L2147*L2131</f>
        <v>29941.850157811685</v>
      </c>
    </row>
    <row r="2151" spans="1:15" x14ac:dyDescent="0.3">
      <c r="L2151" s="7"/>
    </row>
    <row r="2152" spans="1:15" x14ac:dyDescent="0.3">
      <c r="A2152" t="s">
        <v>302</v>
      </c>
      <c r="L2152" s="6">
        <f>L2144*L2131</f>
        <v>9980.6167192705616</v>
      </c>
    </row>
    <row r="2153" spans="1:15" x14ac:dyDescent="0.3">
      <c r="L2153" s="7"/>
    </row>
    <row r="2154" spans="1:15" x14ac:dyDescent="0.3">
      <c r="A2154" t="s">
        <v>127</v>
      </c>
      <c r="L2154" s="7">
        <f>L2147/3</f>
        <v>80.128205128205124</v>
      </c>
      <c r="M2154" s="7">
        <f>L2147/3</f>
        <v>80.128205128205124</v>
      </c>
      <c r="N2154" s="7">
        <f>L2147/3</f>
        <v>80.128205128205124</v>
      </c>
    </row>
    <row r="2156" spans="1:15" s="103" customFormat="1" x14ac:dyDescent="0.3">
      <c r="A2156" s="103" t="s">
        <v>128</v>
      </c>
      <c r="L2156" s="79">
        <f>Summary!$B$31</f>
        <v>0</v>
      </c>
    </row>
    <row r="2157" spans="1:15" s="103" customFormat="1" x14ac:dyDescent="0.3">
      <c r="A2157" s="103" t="s">
        <v>129</v>
      </c>
      <c r="L2157" s="79">
        <f>1-L2156</f>
        <v>1</v>
      </c>
    </row>
    <row r="2159" spans="1:15" x14ac:dyDescent="0.3">
      <c r="A2159" s="71" t="s">
        <v>16</v>
      </c>
    </row>
    <row r="2160" spans="1:15" x14ac:dyDescent="0.3">
      <c r="A2160" t="s">
        <v>17</v>
      </c>
      <c r="K2160" s="74">
        <f>Summary!$B$66</f>
        <v>0.45</v>
      </c>
      <c r="L2160" s="74">
        <f>Summary!$B$67</f>
        <v>0.3</v>
      </c>
      <c r="M2160" s="74">
        <f>Summary!$B$68</f>
        <v>0.13</v>
      </c>
      <c r="N2160" s="75"/>
      <c r="O2160" s="75"/>
    </row>
    <row r="2161" spans="1:16" x14ac:dyDescent="0.3">
      <c r="A2161" t="s">
        <v>18</v>
      </c>
      <c r="C2161" s="75"/>
      <c r="L2161" s="74">
        <f>Summary!$B$69</f>
        <v>0.8</v>
      </c>
      <c r="M2161" s="76">
        <f>L2161</f>
        <v>0.8</v>
      </c>
      <c r="N2161" s="76">
        <f>M2161</f>
        <v>0.8</v>
      </c>
      <c r="O2161" s="75"/>
    </row>
    <row r="2162" spans="1:16" x14ac:dyDescent="0.3">
      <c r="A2162" t="s">
        <v>19</v>
      </c>
      <c r="C2162" s="75"/>
      <c r="L2162" s="75"/>
      <c r="M2162" s="74">
        <f>Summary!$B$70</f>
        <v>1</v>
      </c>
      <c r="N2162" s="74">
        <f>M2162</f>
        <v>1</v>
      </c>
      <c r="O2162" s="74">
        <f>N2162</f>
        <v>1</v>
      </c>
    </row>
    <row r="2163" spans="1:16" x14ac:dyDescent="0.3">
      <c r="A2163" t="s">
        <v>20</v>
      </c>
      <c r="O2163" s="21"/>
    </row>
    <row r="2164" spans="1:16" x14ac:dyDescent="0.3">
      <c r="O2164" s="21"/>
    </row>
    <row r="2165" spans="1:16" x14ac:dyDescent="0.3">
      <c r="A2165" s="11" t="s">
        <v>196</v>
      </c>
      <c r="L2165" s="90">
        <f>SUM(L2166:L2169)</f>
        <v>1</v>
      </c>
      <c r="M2165" s="90">
        <f t="shared" ref="M2165:O2165" si="275">SUM(M2166:M2169)</f>
        <v>1</v>
      </c>
      <c r="N2165" s="90">
        <f t="shared" si="275"/>
        <v>0.55375000000000008</v>
      </c>
      <c r="O2165" s="90">
        <f t="shared" si="275"/>
        <v>0.5414000000000001</v>
      </c>
    </row>
    <row r="2166" spans="1:16" x14ac:dyDescent="0.3">
      <c r="A2166" t="s">
        <v>17</v>
      </c>
      <c r="L2166" s="22">
        <f>(1-K2160)*L2157</f>
        <v>0.55000000000000004</v>
      </c>
      <c r="M2166" s="22">
        <f>L2166*(1-L2160)+L2167*(1-L2161)</f>
        <v>0.47499999999999998</v>
      </c>
    </row>
    <row r="2167" spans="1:16" x14ac:dyDescent="0.3">
      <c r="A2167" t="s">
        <v>18</v>
      </c>
      <c r="L2167" s="22">
        <f>K2160</f>
        <v>0.45</v>
      </c>
      <c r="M2167" s="22">
        <f>L2166*L2160</f>
        <v>0.16500000000000001</v>
      </c>
      <c r="N2167" s="22">
        <f>M2166*M2160</f>
        <v>6.1749999999999999E-2</v>
      </c>
      <c r="P2167" s="22"/>
    </row>
    <row r="2168" spans="1:16" x14ac:dyDescent="0.3">
      <c r="A2168" t="s">
        <v>19</v>
      </c>
      <c r="M2168" s="22">
        <f>L2167*L2161</f>
        <v>0.36000000000000004</v>
      </c>
      <c r="N2168" s="22">
        <f>M2167*M2161+M2168</f>
        <v>0.49200000000000005</v>
      </c>
      <c r="O2168" s="22">
        <f>N2167*N2161+N2168</f>
        <v>0.5414000000000001</v>
      </c>
    </row>
    <row r="2169" spans="1:16" x14ac:dyDescent="0.3">
      <c r="M2169" s="22"/>
      <c r="N2169" s="22"/>
    </row>
    <row r="2170" spans="1:16" x14ac:dyDescent="0.3">
      <c r="A2170" t="s">
        <v>195</v>
      </c>
      <c r="L2170" s="22">
        <f>(1-K2160)*L2156</f>
        <v>0</v>
      </c>
      <c r="N2170" s="29">
        <f>M2166*(1-M2160)+M2167*(1-M2161)+M2168*(1-M2162)</f>
        <v>0.44624999999999998</v>
      </c>
      <c r="O2170" s="29">
        <f>N2167*(1-N2161)+N2170</f>
        <v>0.45859999999999995</v>
      </c>
      <c r="P2170" s="22"/>
    </row>
    <row r="2171" spans="1:16" x14ac:dyDescent="0.3">
      <c r="L2171" s="22"/>
      <c r="N2171" s="29"/>
      <c r="O2171" s="29"/>
      <c r="P2171" s="22"/>
    </row>
    <row r="2172" spans="1:16" x14ac:dyDescent="0.3">
      <c r="L2172" s="25" t="s">
        <v>32</v>
      </c>
    </row>
    <row r="2173" spans="1:16" x14ac:dyDescent="0.3">
      <c r="A2173" s="11" t="s">
        <v>124</v>
      </c>
      <c r="L2173" s="8">
        <f>SUM(L2174:L2177)</f>
        <v>124.55809665649662</v>
      </c>
      <c r="M2173" s="8">
        <f t="shared" ref="M2173:N2173" si="276">SUM(M2174:M2177)</f>
        <v>124.55809665649662</v>
      </c>
      <c r="N2173" s="8">
        <f t="shared" si="276"/>
        <v>68.97404602353501</v>
      </c>
    </row>
    <row r="2174" spans="1:16" x14ac:dyDescent="0.3">
      <c r="A2174" s="23" t="s">
        <v>120</v>
      </c>
      <c r="L2174" s="7">
        <f>L2131*(1-K2160)</f>
        <v>68.506953161073142</v>
      </c>
      <c r="M2174" s="82">
        <f>L2212*(1-L2160)+L2175*(1-L2161)</f>
        <v>59.165095911835891</v>
      </c>
    </row>
    <row r="2175" spans="1:16" x14ac:dyDescent="0.3">
      <c r="A2175" s="24" t="s">
        <v>122</v>
      </c>
      <c r="L2175" s="7">
        <f>L2131*K2160</f>
        <v>56.051143495423482</v>
      </c>
      <c r="M2175" s="7">
        <f>L2212*L2160</f>
        <v>20.552085948321942</v>
      </c>
      <c r="N2175" s="7">
        <f>M2174*M2160</f>
        <v>7.6914624685386661</v>
      </c>
      <c r="O2175" s="7">
        <f>N2174*N2160</f>
        <v>0</v>
      </c>
    </row>
    <row r="2176" spans="1:16" x14ac:dyDescent="0.3">
      <c r="A2176" s="23" t="s">
        <v>121</v>
      </c>
      <c r="M2176" s="7">
        <f>L2175*L2161</f>
        <v>44.840914796338787</v>
      </c>
      <c r="N2176" s="7">
        <f>M2175*M2161</f>
        <v>16.441668758657553</v>
      </c>
      <c r="O2176" s="7">
        <f>N2175*N2161</f>
        <v>6.1531699748309334</v>
      </c>
    </row>
    <row r="2177" spans="1:16" x14ac:dyDescent="0.3">
      <c r="A2177" s="23" t="s">
        <v>138</v>
      </c>
      <c r="M2177" s="7"/>
      <c r="N2177" s="7">
        <f>M2176*M2162</f>
        <v>44.840914796338787</v>
      </c>
      <c r="O2177" s="7">
        <f>N2176*N2162+N2177</f>
        <v>61.282583554996336</v>
      </c>
      <c r="P2177" s="7">
        <f>O2176*O2162+O2177</f>
        <v>67.435753529827267</v>
      </c>
    </row>
    <row r="2178" spans="1:16" x14ac:dyDescent="0.3">
      <c r="A2178" s="23"/>
      <c r="M2178" s="7"/>
    </row>
    <row r="2179" spans="1:16" x14ac:dyDescent="0.3">
      <c r="A2179" s="23" t="s">
        <v>137</v>
      </c>
      <c r="M2179" s="7"/>
      <c r="N2179" s="7">
        <f>M2174*(1-M2160)+M2175*(1-M2161)+M2176*(1-M2162)</f>
        <v>55.584050632961613</v>
      </c>
      <c r="O2179" s="7">
        <f>N2175*(1-N2161)+N2179</f>
        <v>57.12234312666935</v>
      </c>
      <c r="P2179" s="7">
        <f>O2176*(1-O2162)+O2179</f>
        <v>57.12234312666935</v>
      </c>
    </row>
    <row r="2180" spans="1:16" x14ac:dyDescent="0.3">
      <c r="A2180" s="23"/>
      <c r="M2180" s="7"/>
    </row>
    <row r="2181" spans="1:16" x14ac:dyDescent="0.3">
      <c r="A2181" s="11" t="s">
        <v>139</v>
      </c>
      <c r="L2181" s="8">
        <f>SUM(L2182:L2183)</f>
        <v>68.506953161073142</v>
      </c>
      <c r="M2181" s="8">
        <f>SUM(M2182:M2183)</f>
        <v>59.165095911835891</v>
      </c>
      <c r="N2181" s="8">
        <f>SUM(N2182:N2183)</f>
        <v>55.584050632961613</v>
      </c>
      <c r="O2181" s="8">
        <f>SUM(O2182:O2183)</f>
        <v>1.5382924937077329</v>
      </c>
    </row>
    <row r="2182" spans="1:16" x14ac:dyDescent="0.3">
      <c r="A2182" s="23" t="s">
        <v>120</v>
      </c>
      <c r="L2182" s="7">
        <f>L2174</f>
        <v>68.506953161073142</v>
      </c>
      <c r="M2182" s="7">
        <f>L2212*(1-L2160)</f>
        <v>47.954867212751196</v>
      </c>
      <c r="N2182" s="7">
        <f>M2174*(1-M2160)</f>
        <v>51.473633443297224</v>
      </c>
    </row>
    <row r="2183" spans="1:16" x14ac:dyDescent="0.3">
      <c r="A2183" s="24" t="s">
        <v>122</v>
      </c>
      <c r="M2183" s="7">
        <f>L2175*(1-L2161)</f>
        <v>11.210228699084693</v>
      </c>
      <c r="N2183" s="7">
        <f>M2175*(1-M2161)</f>
        <v>4.1104171896643873</v>
      </c>
      <c r="O2183" s="7">
        <f>N2175*(1-N2161)</f>
        <v>1.5382924937077329</v>
      </c>
    </row>
    <row r="2184" spans="1:16" x14ac:dyDescent="0.3">
      <c r="A2184" s="23"/>
      <c r="M2184" s="7"/>
      <c r="N2184" s="7">
        <f>M2176*(1-M2162)</f>
        <v>0</v>
      </c>
      <c r="O2184" s="7">
        <f>N2176*(1-N2162)</f>
        <v>0</v>
      </c>
    </row>
    <row r="2185" spans="1:16" x14ac:dyDescent="0.3">
      <c r="A2185" s="81" t="s">
        <v>123</v>
      </c>
    </row>
    <row r="2186" spans="1:16" x14ac:dyDescent="0.3">
      <c r="A2186" s="23" t="s">
        <v>120</v>
      </c>
      <c r="L2186" s="7">
        <f>L2147-L2154</f>
        <v>160.25641025641022</v>
      </c>
      <c r="M2186" s="7">
        <f>L2186-M2154</f>
        <v>80.128205128205096</v>
      </c>
      <c r="N2186" s="7">
        <f>M2186-N2154</f>
        <v>0</v>
      </c>
    </row>
    <row r="2187" spans="1:16" x14ac:dyDescent="0.3">
      <c r="A2187" s="24" t="s">
        <v>122</v>
      </c>
      <c r="L2187" s="7">
        <f>L2147</f>
        <v>240.38461538461536</v>
      </c>
      <c r="M2187" s="7">
        <f>L2186</f>
        <v>160.25641025641022</v>
      </c>
      <c r="N2187" s="7">
        <f>M2186</f>
        <v>80.128205128205096</v>
      </c>
    </row>
    <row r="2188" spans="1:16" x14ac:dyDescent="0.3">
      <c r="A2188" s="23" t="s">
        <v>121</v>
      </c>
      <c r="M2188" s="7">
        <f>L2187</f>
        <v>240.38461538461536</v>
      </c>
      <c r="N2188" s="7">
        <f>M2187</f>
        <v>160.25641025641022</v>
      </c>
      <c r="O2188" s="7">
        <f>N2187</f>
        <v>80.128205128205096</v>
      </c>
    </row>
    <row r="2189" spans="1:16" x14ac:dyDescent="0.3">
      <c r="A2189" s="23"/>
      <c r="N2189" s="7"/>
      <c r="O2189" s="7"/>
    </row>
    <row r="2190" spans="1:16" x14ac:dyDescent="0.3">
      <c r="A2190" s="23"/>
      <c r="N2190" s="7"/>
      <c r="O2190" s="7"/>
    </row>
    <row r="2191" spans="1:16" x14ac:dyDescent="0.3">
      <c r="A2191" s="11" t="s">
        <v>130</v>
      </c>
      <c r="L2191" s="8">
        <f>SUM(L2192:L2195)</f>
        <v>24452.510962212873</v>
      </c>
      <c r="M2191" s="8">
        <f t="shared" ref="M2191:O2191" si="277">SUM(M2192:M2195)</f>
        <v>18813.462515825006</v>
      </c>
      <c r="N2191" s="8">
        <f t="shared" si="277"/>
        <v>14030.251953114592</v>
      </c>
      <c r="O2191" s="8">
        <f t="shared" si="277"/>
        <v>13906.9913366316</v>
      </c>
    </row>
    <row r="2192" spans="1:16" x14ac:dyDescent="0.3">
      <c r="A2192" s="23" t="s">
        <v>120</v>
      </c>
      <c r="L2192" s="7">
        <f>L2186*L2174</f>
        <v>10978.678391197616</v>
      </c>
      <c r="M2192" s="7">
        <f t="shared" ref="M2192:N2192" si="278">M2186*M2174</f>
        <v>4740.7929416535153</v>
      </c>
      <c r="N2192" s="7">
        <f t="shared" si="278"/>
        <v>0</v>
      </c>
    </row>
    <row r="2193" spans="1:16" x14ac:dyDescent="0.3">
      <c r="A2193" s="24" t="s">
        <v>122</v>
      </c>
      <c r="L2193" s="7">
        <f>L2187*L2175</f>
        <v>13473.832571015259</v>
      </c>
      <c r="M2193" s="7">
        <f t="shared" ref="M2193:N2193" si="279">M2187*M2175</f>
        <v>3293.603517359285</v>
      </c>
      <c r="N2193" s="7">
        <f t="shared" si="279"/>
        <v>616.30308241495698</v>
      </c>
      <c r="O2193" s="7">
        <f>O2187*O2175</f>
        <v>0</v>
      </c>
    </row>
    <row r="2194" spans="1:16" x14ac:dyDescent="0.3">
      <c r="A2194" s="23" t="s">
        <v>121</v>
      </c>
      <c r="M2194" s="7">
        <f>M2188*M2176</f>
        <v>10779.066056812208</v>
      </c>
      <c r="N2194" s="7">
        <f>N2188*N2176</f>
        <v>2634.8828138874278</v>
      </c>
      <c r="O2194" s="7">
        <f>O2188*O2176</f>
        <v>493.04246593196564</v>
      </c>
    </row>
    <row r="2195" spans="1:16" x14ac:dyDescent="0.3">
      <c r="A2195" s="23" t="s">
        <v>299</v>
      </c>
      <c r="N2195" s="8">
        <f>M2194</f>
        <v>10779.066056812208</v>
      </c>
      <c r="O2195" s="8">
        <f>N2195+N2194</f>
        <v>13413.948870699634</v>
      </c>
      <c r="P2195" s="8">
        <f>O2195+O2194</f>
        <v>13906.9913366316</v>
      </c>
    </row>
    <row r="2196" spans="1:16" x14ac:dyDescent="0.3">
      <c r="A2196" s="23"/>
    </row>
    <row r="2197" spans="1:16" x14ac:dyDescent="0.3">
      <c r="A2197" s="105" t="s">
        <v>300</v>
      </c>
      <c r="L2197" s="8">
        <f>P2195</f>
        <v>13906.9913366316</v>
      </c>
    </row>
    <row r="2198" spans="1:16" x14ac:dyDescent="0.3">
      <c r="A2198" s="23"/>
    </row>
    <row r="2199" spans="1:16" x14ac:dyDescent="0.3">
      <c r="A2199" s="11" t="s">
        <v>140</v>
      </c>
      <c r="L2199" s="8">
        <f>SUM(L2201:L2204)</f>
        <v>5489.3391955988091</v>
      </c>
      <c r="M2199" s="8">
        <f>SUM(M2201:M2204)</f>
        <v>5639.0484463878674</v>
      </c>
      <c r="N2199" s="8">
        <f t="shared" ref="N2199:O2199" si="280">SUM(N2201:N2204)</f>
        <v>4783.2105627104165</v>
      </c>
      <c r="O2199" s="8">
        <f t="shared" si="280"/>
        <v>123.26061648299141</v>
      </c>
    </row>
    <row r="2200" spans="1:16" x14ac:dyDescent="0.3">
      <c r="A2200" s="11"/>
      <c r="L2200" s="8"/>
      <c r="M2200" s="8"/>
      <c r="N2200" s="8"/>
      <c r="O2200" s="8"/>
    </row>
    <row r="2201" spans="1:16" x14ac:dyDescent="0.3">
      <c r="A2201" t="s">
        <v>131</v>
      </c>
      <c r="C2201" s="23" t="s">
        <v>120</v>
      </c>
      <c r="L2201" s="6">
        <f>L2210*L2154</f>
        <v>0</v>
      </c>
    </row>
    <row r="2202" spans="1:16" x14ac:dyDescent="0.3">
      <c r="C2202" s="23"/>
      <c r="L2202" s="6"/>
    </row>
    <row r="2203" spans="1:16" x14ac:dyDescent="0.3">
      <c r="A2203" t="s">
        <v>200</v>
      </c>
      <c r="C2203" s="23" t="s">
        <v>120</v>
      </c>
      <c r="L2203" s="6">
        <f>L2212*L2154</f>
        <v>5489.3391955988091</v>
      </c>
      <c r="M2203" s="27">
        <f>M2182*M2154</f>
        <v>3842.5374369191663</v>
      </c>
      <c r="N2203" s="27">
        <f t="shared" ref="N2203:O2203" si="281">N2182*N2154</f>
        <v>4124.4898592385598</v>
      </c>
      <c r="O2203" s="27">
        <f t="shared" si="281"/>
        <v>0</v>
      </c>
      <c r="P2203" s="27"/>
    </row>
    <row r="2204" spans="1:16" x14ac:dyDescent="0.3">
      <c r="A2204" t="s">
        <v>200</v>
      </c>
      <c r="C2204" s="24" t="s">
        <v>122</v>
      </c>
      <c r="L2204" s="6"/>
      <c r="M2204" s="27">
        <f>M2183*(L2154+M2154)</f>
        <v>1796.5110094687006</v>
      </c>
      <c r="N2204" s="27">
        <f t="shared" ref="N2204" si="282">N2183*(M2154+N2154)</f>
        <v>658.72070347185695</v>
      </c>
      <c r="O2204" s="27">
        <f t="shared" ref="O2204" si="283">O2183*(N2154+O2154)</f>
        <v>123.26061648299141</v>
      </c>
      <c r="P2204" s="27"/>
    </row>
    <row r="2206" spans="1:16" x14ac:dyDescent="0.3">
      <c r="A2206" s="11" t="s">
        <v>283</v>
      </c>
      <c r="L2206" s="8">
        <f>SUM(L2203:O2204)</f>
        <v>16034.858821180085</v>
      </c>
    </row>
    <row r="2208" spans="1:16" x14ac:dyDescent="0.3">
      <c r="A2208" t="s">
        <v>202</v>
      </c>
      <c r="L2208" s="28">
        <f>L2210*(M2154+N2154)</f>
        <v>0</v>
      </c>
    </row>
    <row r="2210" spans="1:21" x14ac:dyDescent="0.3">
      <c r="A2210" s="72" t="s">
        <v>132</v>
      </c>
      <c r="L2210" s="73">
        <f>L2174*L2156</f>
        <v>0</v>
      </c>
    </row>
    <row r="2212" spans="1:21" x14ac:dyDescent="0.3">
      <c r="A2212" t="s">
        <v>201</v>
      </c>
      <c r="L2212" s="7">
        <f>L2174*L2157</f>
        <v>68.506953161073142</v>
      </c>
    </row>
    <row r="2217" spans="1:21" x14ac:dyDescent="0.3">
      <c r="A2217" s="152" t="s">
        <v>286</v>
      </c>
      <c r="B2217" s="153"/>
      <c r="C2217" s="153"/>
      <c r="D2217" s="153"/>
      <c r="E2217" s="153"/>
      <c r="F2217" s="153"/>
      <c r="G2217" s="153"/>
      <c r="H2217" s="153"/>
      <c r="I2217" s="153"/>
      <c r="J2217" s="153"/>
      <c r="K2217" s="153"/>
      <c r="L2217" s="153"/>
      <c r="M2217" s="153"/>
      <c r="N2217" s="153"/>
      <c r="O2217" s="153"/>
      <c r="P2217" s="153"/>
      <c r="Q2217" s="153"/>
      <c r="R2217" s="153"/>
      <c r="S2217" s="153"/>
      <c r="T2217" s="153"/>
      <c r="U2217" s="154"/>
    </row>
    <row r="2219" spans="1:21" x14ac:dyDescent="0.3">
      <c r="A2219" t="s">
        <v>197</v>
      </c>
      <c r="L2219" s="83">
        <f>K1241</f>
        <v>79.717181860157837</v>
      </c>
    </row>
    <row r="2220" spans="1:21" x14ac:dyDescent="0.3">
      <c r="A2220" t="s">
        <v>206</v>
      </c>
      <c r="L2220" s="7">
        <f>L2222*L2219</f>
        <v>79.717181860157837</v>
      </c>
      <c r="O2220" s="77"/>
    </row>
    <row r="2221" spans="1:21" x14ac:dyDescent="0.3">
      <c r="L2221" s="7"/>
      <c r="O2221" s="77"/>
    </row>
    <row r="2222" spans="1:21" x14ac:dyDescent="0.3">
      <c r="A2222" s="11" t="s">
        <v>134</v>
      </c>
      <c r="B2222" s="11"/>
      <c r="C2222" s="11"/>
      <c r="L2222" s="104">
        <f>$E$120</f>
        <v>1</v>
      </c>
      <c r="M2222" s="7">
        <f>M2223*M2224*M2225*M2226</f>
        <v>0</v>
      </c>
      <c r="N2222" s="11"/>
      <c r="P2222" s="11"/>
    </row>
    <row r="2223" spans="1:21" x14ac:dyDescent="0.3">
      <c r="A2223" t="s">
        <v>35</v>
      </c>
      <c r="L2223" s="89">
        <v>0</v>
      </c>
    </row>
    <row r="2224" spans="1:21" x14ac:dyDescent="0.3">
      <c r="A2224" t="s">
        <v>36</v>
      </c>
      <c r="L2224" s="89">
        <f>0.95</f>
        <v>0.95</v>
      </c>
    </row>
    <row r="2225" spans="1:12" x14ac:dyDescent="0.3">
      <c r="A2225" t="s">
        <v>142</v>
      </c>
      <c r="L2225" s="89">
        <v>0.99</v>
      </c>
    </row>
    <row r="2226" spans="1:12" x14ac:dyDescent="0.3">
      <c r="A2226" t="s">
        <v>37</v>
      </c>
      <c r="L2226" s="89">
        <v>0.98</v>
      </c>
    </row>
    <row r="2229" spans="1:12" x14ac:dyDescent="0.3">
      <c r="A2229" t="s">
        <v>125</v>
      </c>
      <c r="L2229" s="83">
        <f>L2230+K1171</f>
        <v>160.25641025641025</v>
      </c>
    </row>
    <row r="2230" spans="1:12" x14ac:dyDescent="0.3">
      <c r="A2230" t="s">
        <v>135</v>
      </c>
      <c r="L2230" s="82">
        <f>$D$46</f>
        <v>32.051282051282051</v>
      </c>
    </row>
    <row r="2232" spans="1:12" x14ac:dyDescent="0.3">
      <c r="A2232" t="s">
        <v>126</v>
      </c>
      <c r="L2232" s="88">
        <f>$D$43</f>
        <v>0.5</v>
      </c>
    </row>
    <row r="2233" spans="1:12" x14ac:dyDescent="0.3">
      <c r="A2233" t="s">
        <v>117</v>
      </c>
      <c r="L2233" s="7">
        <f>L2232*L2229</f>
        <v>80.128205128205124</v>
      </c>
    </row>
    <row r="2235" spans="1:12" x14ac:dyDescent="0.3">
      <c r="A2235" t="s">
        <v>118</v>
      </c>
      <c r="L2235" s="7">
        <f>L2230</f>
        <v>32.051282051282051</v>
      </c>
    </row>
    <row r="2236" spans="1:12" x14ac:dyDescent="0.3">
      <c r="A2236" t="s">
        <v>106</v>
      </c>
      <c r="L2236" s="7">
        <f>L2229*(1+L2232)</f>
        <v>240.38461538461536</v>
      </c>
    </row>
    <row r="2237" spans="1:12" x14ac:dyDescent="0.3">
      <c r="L2237" s="7"/>
    </row>
    <row r="2238" spans="1:12" x14ac:dyDescent="0.3">
      <c r="A2238" t="s">
        <v>136</v>
      </c>
      <c r="L2238" s="7">
        <f>L2235*L2220</f>
        <v>2555.037880133264</v>
      </c>
    </row>
    <row r="2239" spans="1:12" x14ac:dyDescent="0.3">
      <c r="A2239" t="s">
        <v>119</v>
      </c>
      <c r="L2239" s="7">
        <f>L2236*L2220</f>
        <v>19162.784100999477</v>
      </c>
    </row>
    <row r="2240" spans="1:12" x14ac:dyDescent="0.3">
      <c r="L2240" s="7"/>
    </row>
    <row r="2241" spans="1:16" x14ac:dyDescent="0.3">
      <c r="A2241" t="s">
        <v>302</v>
      </c>
      <c r="L2241" s="6">
        <f>L2233*L2220</f>
        <v>6387.5947003331594</v>
      </c>
    </row>
    <row r="2242" spans="1:16" x14ac:dyDescent="0.3">
      <c r="L2242" s="7"/>
    </row>
    <row r="2243" spans="1:16" x14ac:dyDescent="0.3">
      <c r="A2243" t="s">
        <v>127</v>
      </c>
      <c r="L2243" s="7">
        <f>L2236/3</f>
        <v>80.128205128205124</v>
      </c>
      <c r="M2243" s="7">
        <f>L2236/3</f>
        <v>80.128205128205124</v>
      </c>
      <c r="N2243" s="7">
        <f>L2236/3</f>
        <v>80.128205128205124</v>
      </c>
    </row>
    <row r="2245" spans="1:16" s="103" customFormat="1" x14ac:dyDescent="0.3">
      <c r="A2245" s="103" t="s">
        <v>128</v>
      </c>
      <c r="L2245" s="79">
        <f>Summary!$B$31</f>
        <v>0</v>
      </c>
    </row>
    <row r="2246" spans="1:16" s="103" customFormat="1" x14ac:dyDescent="0.3">
      <c r="A2246" s="103" t="s">
        <v>129</v>
      </c>
      <c r="L2246" s="79">
        <f>1-L2245</f>
        <v>1</v>
      </c>
    </row>
    <row r="2248" spans="1:16" x14ac:dyDescent="0.3">
      <c r="A2248" s="71" t="s">
        <v>16</v>
      </c>
    </row>
    <row r="2249" spans="1:16" x14ac:dyDescent="0.3">
      <c r="A2249" t="s">
        <v>17</v>
      </c>
      <c r="K2249" s="74">
        <f>Summary!$B$66</f>
        <v>0.45</v>
      </c>
      <c r="L2249" s="74">
        <f>Summary!$B$67</f>
        <v>0.3</v>
      </c>
      <c r="M2249" s="74">
        <f>Summary!$B$68</f>
        <v>0.13</v>
      </c>
      <c r="N2249" s="75"/>
      <c r="O2249" s="75"/>
    </row>
    <row r="2250" spans="1:16" x14ac:dyDescent="0.3">
      <c r="A2250" t="s">
        <v>18</v>
      </c>
      <c r="C2250" s="75"/>
      <c r="L2250" s="74">
        <f>Summary!$B$69</f>
        <v>0.8</v>
      </c>
      <c r="M2250" s="76">
        <f>L2250</f>
        <v>0.8</v>
      </c>
      <c r="N2250" s="76">
        <f>M2250</f>
        <v>0.8</v>
      </c>
      <c r="O2250" s="75"/>
    </row>
    <row r="2251" spans="1:16" x14ac:dyDescent="0.3">
      <c r="A2251" t="s">
        <v>19</v>
      </c>
      <c r="C2251" s="75"/>
      <c r="L2251" s="75"/>
      <c r="M2251" s="74">
        <f>Summary!$B$70</f>
        <v>1</v>
      </c>
      <c r="N2251" s="74">
        <f>M2251</f>
        <v>1</v>
      </c>
      <c r="O2251" s="74">
        <f>N2251</f>
        <v>1</v>
      </c>
    </row>
    <row r="2252" spans="1:16" x14ac:dyDescent="0.3">
      <c r="A2252" t="s">
        <v>20</v>
      </c>
      <c r="O2252" s="21"/>
    </row>
    <row r="2253" spans="1:16" x14ac:dyDescent="0.3">
      <c r="O2253" s="21"/>
    </row>
    <row r="2254" spans="1:16" x14ac:dyDescent="0.3">
      <c r="A2254" s="11" t="s">
        <v>196</v>
      </c>
      <c r="L2254" s="90">
        <f>SUM(L2255:L2258)</f>
        <v>1</v>
      </c>
      <c r="M2254" s="90">
        <f t="shared" ref="M2254:O2254" si="284">SUM(M2255:M2258)</f>
        <v>1</v>
      </c>
      <c r="N2254" s="90">
        <f t="shared" si="284"/>
        <v>0.55375000000000008</v>
      </c>
      <c r="O2254" s="90">
        <f t="shared" si="284"/>
        <v>0.5414000000000001</v>
      </c>
    </row>
    <row r="2255" spans="1:16" x14ac:dyDescent="0.3">
      <c r="A2255" t="s">
        <v>17</v>
      </c>
      <c r="L2255" s="22">
        <f>(1-K2249)*L2246</f>
        <v>0.55000000000000004</v>
      </c>
      <c r="M2255" s="22">
        <f>L2255*(1-L2249)+L2256*(1-L2250)</f>
        <v>0.47499999999999998</v>
      </c>
    </row>
    <row r="2256" spans="1:16" x14ac:dyDescent="0.3">
      <c r="A2256" t="s">
        <v>18</v>
      </c>
      <c r="L2256" s="22">
        <f>K2249</f>
        <v>0.45</v>
      </c>
      <c r="M2256" s="22">
        <f>L2255*L2249</f>
        <v>0.16500000000000001</v>
      </c>
      <c r="N2256" s="22">
        <f>M2255*M2249</f>
        <v>6.1749999999999999E-2</v>
      </c>
      <c r="P2256" s="22"/>
    </row>
    <row r="2257" spans="1:16" x14ac:dyDescent="0.3">
      <c r="A2257" t="s">
        <v>19</v>
      </c>
      <c r="M2257" s="22">
        <f>L2256*L2250</f>
        <v>0.36000000000000004</v>
      </c>
      <c r="N2257" s="22">
        <f>M2256*M2250+M2257</f>
        <v>0.49200000000000005</v>
      </c>
      <c r="O2257" s="22">
        <f>N2256*N2250+N2257</f>
        <v>0.5414000000000001</v>
      </c>
    </row>
    <row r="2258" spans="1:16" x14ac:dyDescent="0.3">
      <c r="M2258" s="22"/>
      <c r="N2258" s="22"/>
    </row>
    <row r="2259" spans="1:16" x14ac:dyDescent="0.3">
      <c r="A2259" t="s">
        <v>195</v>
      </c>
      <c r="L2259" s="22">
        <f>(1-K2249)*L2245</f>
        <v>0</v>
      </c>
      <c r="N2259" s="29">
        <f>M2255*(1-M2249)+M2256*(1-M2250)+M2257*(1-M2251)</f>
        <v>0.44624999999999998</v>
      </c>
      <c r="O2259" s="29">
        <f>N2256*(1-N2250)+N2259</f>
        <v>0.45859999999999995</v>
      </c>
      <c r="P2259" s="22"/>
    </row>
    <row r="2260" spans="1:16" x14ac:dyDescent="0.3">
      <c r="L2260" s="22"/>
      <c r="N2260" s="29"/>
      <c r="O2260" s="29"/>
      <c r="P2260" s="22"/>
    </row>
    <row r="2261" spans="1:16" x14ac:dyDescent="0.3">
      <c r="L2261" s="25" t="s">
        <v>32</v>
      </c>
    </row>
    <row r="2262" spans="1:16" x14ac:dyDescent="0.3">
      <c r="A2262" s="11" t="s">
        <v>124</v>
      </c>
      <c r="L2262" s="8">
        <f>SUM(L2263:L2266)</f>
        <v>79.717181860157837</v>
      </c>
      <c r="M2262" s="8">
        <f t="shared" ref="M2262:N2262" si="285">SUM(M2263:M2266)</f>
        <v>79.717181860157837</v>
      </c>
      <c r="N2262" s="8">
        <f t="shared" si="285"/>
        <v>44.143389455062405</v>
      </c>
    </row>
    <row r="2263" spans="1:16" x14ac:dyDescent="0.3">
      <c r="A2263" s="23" t="s">
        <v>120</v>
      </c>
      <c r="L2263" s="7">
        <f>L2220*(1-K2249)</f>
        <v>43.844450023086814</v>
      </c>
      <c r="M2263" s="82">
        <f>L2301*(1-L2249)+L2264*(1-L2250)</f>
        <v>37.865661383574974</v>
      </c>
    </row>
    <row r="2264" spans="1:16" x14ac:dyDescent="0.3">
      <c r="A2264" s="24" t="s">
        <v>122</v>
      </c>
      <c r="L2264" s="7">
        <f>L2220*K2249</f>
        <v>35.872731837071029</v>
      </c>
      <c r="M2264" s="7">
        <f>L2301*L2249</f>
        <v>13.153335006926044</v>
      </c>
      <c r="N2264" s="7">
        <f>M2263*M2249</f>
        <v>4.9225359798647466</v>
      </c>
      <c r="O2264" s="7">
        <f>N2263*N2249</f>
        <v>0</v>
      </c>
    </row>
    <row r="2265" spans="1:16" x14ac:dyDescent="0.3">
      <c r="A2265" s="23" t="s">
        <v>121</v>
      </c>
      <c r="M2265" s="7">
        <f>L2264*L2250</f>
        <v>28.698185469656824</v>
      </c>
      <c r="N2265" s="7">
        <f>M2264*M2250</f>
        <v>10.522668005540837</v>
      </c>
      <c r="O2265" s="7">
        <f>N2264*N2250</f>
        <v>3.9380287838917973</v>
      </c>
    </row>
    <row r="2266" spans="1:16" x14ac:dyDescent="0.3">
      <c r="A2266" s="23" t="s">
        <v>138</v>
      </c>
      <c r="M2266" s="7"/>
      <c r="N2266" s="7">
        <f>M2265*M2251</f>
        <v>28.698185469656824</v>
      </c>
      <c r="O2266" s="7">
        <f>N2265*N2251+N2266</f>
        <v>39.220853475197657</v>
      </c>
      <c r="P2266" s="7">
        <f>O2265*O2251+O2266</f>
        <v>43.158882259089452</v>
      </c>
    </row>
    <row r="2267" spans="1:16" x14ac:dyDescent="0.3">
      <c r="A2267" s="23"/>
      <c r="M2267" s="7"/>
    </row>
    <row r="2268" spans="1:16" x14ac:dyDescent="0.3">
      <c r="A2268" s="23" t="s">
        <v>137</v>
      </c>
      <c r="M2268" s="7"/>
      <c r="N2268" s="7">
        <f>M2263*(1-M2249)+M2264*(1-M2250)+M2265*(1-M2251)</f>
        <v>35.573792405095432</v>
      </c>
      <c r="O2268" s="7">
        <f>N2264*(1-N2250)+N2268</f>
        <v>36.558299601068384</v>
      </c>
      <c r="P2268" s="7">
        <f>O2265*(1-O2251)+O2268</f>
        <v>36.558299601068384</v>
      </c>
    </row>
    <row r="2269" spans="1:16" x14ac:dyDescent="0.3">
      <c r="A2269" s="23"/>
      <c r="M2269" s="7"/>
    </row>
    <row r="2270" spans="1:16" x14ac:dyDescent="0.3">
      <c r="A2270" s="11" t="s">
        <v>139</v>
      </c>
      <c r="L2270" s="8">
        <f>SUM(L2271:L2272)</f>
        <v>43.844450023086814</v>
      </c>
      <c r="M2270" s="8">
        <f>SUM(M2271:M2272)</f>
        <v>37.865661383574974</v>
      </c>
      <c r="N2270" s="8">
        <f>SUM(N2271:N2272)</f>
        <v>35.573792405095432</v>
      </c>
      <c r="O2270" s="8">
        <f>SUM(O2271:O2272)</f>
        <v>0.98450719597294911</v>
      </c>
    </row>
    <row r="2271" spans="1:16" x14ac:dyDescent="0.3">
      <c r="A2271" s="23" t="s">
        <v>120</v>
      </c>
      <c r="L2271" s="7">
        <f>L2263</f>
        <v>43.844450023086814</v>
      </c>
      <c r="M2271" s="7">
        <f>L2301*(1-L2249)</f>
        <v>30.691115016160769</v>
      </c>
      <c r="N2271" s="7">
        <f>M2263*(1-M2249)</f>
        <v>32.943125403710226</v>
      </c>
    </row>
    <row r="2272" spans="1:16" x14ac:dyDescent="0.3">
      <c r="A2272" s="24" t="s">
        <v>122</v>
      </c>
      <c r="M2272" s="7">
        <f>L2264*(1-L2250)</f>
        <v>7.1745463674142043</v>
      </c>
      <c r="N2272" s="7">
        <f>M2264*(1-M2250)</f>
        <v>2.6306670013852083</v>
      </c>
      <c r="O2272" s="7">
        <f>N2264*(1-N2250)</f>
        <v>0.98450719597294911</v>
      </c>
    </row>
    <row r="2273" spans="1:16" x14ac:dyDescent="0.3">
      <c r="A2273" s="23"/>
      <c r="M2273" s="7"/>
      <c r="N2273" s="7">
        <f>M2265*(1-M2251)</f>
        <v>0</v>
      </c>
      <c r="O2273" s="7">
        <f>N2265*(1-N2251)</f>
        <v>0</v>
      </c>
    </row>
    <row r="2274" spans="1:16" x14ac:dyDescent="0.3">
      <c r="A2274" s="81" t="s">
        <v>123</v>
      </c>
    </row>
    <row r="2275" spans="1:16" x14ac:dyDescent="0.3">
      <c r="A2275" s="23" t="s">
        <v>120</v>
      </c>
      <c r="L2275" s="7">
        <f>L2236-L2243</f>
        <v>160.25641025641022</v>
      </c>
      <c r="M2275" s="7">
        <f>L2275-M2243</f>
        <v>80.128205128205096</v>
      </c>
      <c r="N2275" s="7">
        <f>M2275-N2243</f>
        <v>0</v>
      </c>
    </row>
    <row r="2276" spans="1:16" x14ac:dyDescent="0.3">
      <c r="A2276" s="24" t="s">
        <v>122</v>
      </c>
      <c r="L2276" s="7">
        <f>L2236</f>
        <v>240.38461538461536</v>
      </c>
      <c r="M2276" s="7">
        <f>L2275</f>
        <v>160.25641025641022</v>
      </c>
      <c r="N2276" s="7">
        <f>M2275</f>
        <v>80.128205128205096</v>
      </c>
    </row>
    <row r="2277" spans="1:16" x14ac:dyDescent="0.3">
      <c r="A2277" s="23" t="s">
        <v>121</v>
      </c>
      <c r="M2277" s="7">
        <f>L2276</f>
        <v>240.38461538461536</v>
      </c>
      <c r="N2277" s="7">
        <f>M2276</f>
        <v>160.25641025641022</v>
      </c>
      <c r="O2277" s="7">
        <f>N2276</f>
        <v>80.128205128205096</v>
      </c>
    </row>
    <row r="2278" spans="1:16" x14ac:dyDescent="0.3">
      <c r="A2278" s="23"/>
      <c r="N2278" s="7"/>
      <c r="O2278" s="7"/>
    </row>
    <row r="2279" spans="1:16" x14ac:dyDescent="0.3">
      <c r="A2279" s="23"/>
      <c r="N2279" s="7"/>
      <c r="O2279" s="7"/>
    </row>
    <row r="2280" spans="1:16" x14ac:dyDescent="0.3">
      <c r="A2280" s="11" t="s">
        <v>130</v>
      </c>
      <c r="L2280" s="8">
        <f>SUM(L2281:L2284)</f>
        <v>15649.60701581624</v>
      </c>
      <c r="M2280" s="8">
        <f t="shared" ref="M2280:O2280" si="286">SUM(M2281:M2284)</f>
        <v>12040.616010128004</v>
      </c>
      <c r="N2280" s="8">
        <f t="shared" si="286"/>
        <v>8979.3612499933406</v>
      </c>
      <c r="O2280" s="8">
        <f t="shared" si="286"/>
        <v>8900.4744554442259</v>
      </c>
    </row>
    <row r="2281" spans="1:16" x14ac:dyDescent="0.3">
      <c r="A2281" s="23" t="s">
        <v>120</v>
      </c>
      <c r="L2281" s="7">
        <f>L2275*L2263</f>
        <v>7026.354170366475</v>
      </c>
      <c r="M2281" s="7">
        <f t="shared" ref="M2281:N2281" si="287">M2275*M2263</f>
        <v>3034.1074826582499</v>
      </c>
      <c r="N2281" s="7">
        <f t="shared" si="287"/>
        <v>0</v>
      </c>
    </row>
    <row r="2282" spans="1:16" x14ac:dyDescent="0.3">
      <c r="A2282" s="24" t="s">
        <v>122</v>
      </c>
      <c r="L2282" s="7">
        <f>L2276*L2264</f>
        <v>8623.252845449766</v>
      </c>
      <c r="M2282" s="7">
        <f t="shared" ref="M2282:N2282" si="288">M2276*M2264</f>
        <v>2107.9062511099423</v>
      </c>
      <c r="N2282" s="7">
        <f t="shared" si="288"/>
        <v>394.43397274557248</v>
      </c>
      <c r="O2282" s="7">
        <f>O2276*O2264</f>
        <v>0</v>
      </c>
    </row>
    <row r="2283" spans="1:16" x14ac:dyDescent="0.3">
      <c r="A2283" s="23" t="s">
        <v>121</v>
      </c>
      <c r="M2283" s="7">
        <f>M2277*M2265</f>
        <v>6898.602276359813</v>
      </c>
      <c r="N2283" s="7">
        <f>N2277*N2265</f>
        <v>1686.3250008879543</v>
      </c>
      <c r="O2283" s="7">
        <f>O2277*O2265</f>
        <v>315.54717819645799</v>
      </c>
    </row>
    <row r="2284" spans="1:16" x14ac:dyDescent="0.3">
      <c r="A2284" s="23" t="s">
        <v>299</v>
      </c>
      <c r="N2284" s="8">
        <f>M2283</f>
        <v>6898.602276359813</v>
      </c>
      <c r="O2284" s="8">
        <f>N2284+N2283</f>
        <v>8584.9272772477671</v>
      </c>
      <c r="P2284" s="8">
        <f>O2284+O2283</f>
        <v>8900.4744554442259</v>
      </c>
    </row>
    <row r="2285" spans="1:16" x14ac:dyDescent="0.3">
      <c r="A2285" s="23"/>
    </row>
    <row r="2286" spans="1:16" x14ac:dyDescent="0.3">
      <c r="A2286" s="105" t="s">
        <v>300</v>
      </c>
      <c r="L2286" s="8">
        <f>P2284</f>
        <v>8900.4744554442259</v>
      </c>
    </row>
    <row r="2287" spans="1:16" x14ac:dyDescent="0.3">
      <c r="A2287" s="23"/>
    </row>
    <row r="2288" spans="1:16" x14ac:dyDescent="0.3">
      <c r="A2288" s="11" t="s">
        <v>140</v>
      </c>
      <c r="L2288" s="8">
        <f>SUM(L2290:L2293)</f>
        <v>3513.177085183238</v>
      </c>
      <c r="M2288" s="8">
        <f>SUM(M2290:M2293)</f>
        <v>3608.9910056882354</v>
      </c>
      <c r="N2288" s="8">
        <f t="shared" ref="N2288:O2288" si="289">SUM(N2290:N2293)</f>
        <v>3061.2547601346664</v>
      </c>
      <c r="O2288" s="8">
        <f t="shared" si="289"/>
        <v>78.886794549114512</v>
      </c>
    </row>
    <row r="2289" spans="1:30" x14ac:dyDescent="0.3">
      <c r="A2289" s="11"/>
      <c r="L2289" s="8"/>
      <c r="M2289" s="8"/>
      <c r="N2289" s="8"/>
      <c r="O2289" s="8"/>
    </row>
    <row r="2290" spans="1:30" x14ac:dyDescent="0.3">
      <c r="A2290" t="s">
        <v>131</v>
      </c>
      <c r="C2290" s="23" t="s">
        <v>120</v>
      </c>
      <c r="L2290" s="6">
        <f>L2299*L2243</f>
        <v>0</v>
      </c>
    </row>
    <row r="2291" spans="1:30" x14ac:dyDescent="0.3">
      <c r="C2291" s="23"/>
      <c r="L2291" s="6"/>
    </row>
    <row r="2292" spans="1:30" x14ac:dyDescent="0.3">
      <c r="A2292" t="s">
        <v>200</v>
      </c>
      <c r="C2292" s="23" t="s">
        <v>120</v>
      </c>
      <c r="L2292" s="6">
        <f>L2301*L2243</f>
        <v>3513.177085183238</v>
      </c>
      <c r="M2292" s="27">
        <f>M2271*M2243</f>
        <v>2459.2239596282666</v>
      </c>
      <c r="N2292" s="27">
        <f t="shared" ref="N2292:O2292" si="290">N2271*N2243</f>
        <v>2639.6735099126781</v>
      </c>
      <c r="O2292" s="27">
        <f t="shared" si="290"/>
        <v>0</v>
      </c>
      <c r="P2292" s="27"/>
    </row>
    <row r="2293" spans="1:30" x14ac:dyDescent="0.3">
      <c r="A2293" t="s">
        <v>200</v>
      </c>
      <c r="C2293" s="24" t="s">
        <v>122</v>
      </c>
      <c r="L2293" s="6"/>
      <c r="M2293" s="27">
        <f>M2272*(L2243+M2243)</f>
        <v>1149.7670460599686</v>
      </c>
      <c r="N2293" s="27">
        <f t="shared" ref="N2293" si="291">N2272*(M2243+N2243)</f>
        <v>421.58125022198845</v>
      </c>
      <c r="O2293" s="27">
        <f t="shared" ref="O2293" si="292">O2272*(N2243+O2243)</f>
        <v>78.886794549114512</v>
      </c>
      <c r="P2293" s="27"/>
    </row>
    <row r="2295" spans="1:30" x14ac:dyDescent="0.3">
      <c r="A2295" s="11" t="s">
        <v>283</v>
      </c>
      <c r="L2295" s="8">
        <f>SUM(L2292:O2293)</f>
        <v>10262.309645555255</v>
      </c>
    </row>
    <row r="2297" spans="1:30" x14ac:dyDescent="0.3">
      <c r="A2297" t="s">
        <v>202</v>
      </c>
      <c r="L2297" s="28">
        <f>L2299*(M2243+N2243)</f>
        <v>0</v>
      </c>
    </row>
    <row r="2299" spans="1:30" x14ac:dyDescent="0.3">
      <c r="A2299" s="72" t="s">
        <v>132</v>
      </c>
      <c r="L2299" s="73">
        <f>L2263*L2245</f>
        <v>0</v>
      </c>
    </row>
    <row r="2301" spans="1:30" x14ac:dyDescent="0.3">
      <c r="A2301" t="s">
        <v>201</v>
      </c>
      <c r="L2301" s="7">
        <f>L2263*L2246</f>
        <v>43.844450023086814</v>
      </c>
    </row>
    <row r="2304" spans="1:30" x14ac:dyDescent="0.3">
      <c r="A2304" s="160" t="s">
        <v>288</v>
      </c>
      <c r="B2304" s="161"/>
      <c r="C2304" s="161"/>
      <c r="D2304" s="161"/>
      <c r="E2304" s="161"/>
      <c r="F2304" s="161"/>
      <c r="G2304" s="161"/>
      <c r="H2304" s="161"/>
      <c r="I2304" s="161"/>
      <c r="J2304" s="161"/>
      <c r="K2304" s="161"/>
      <c r="L2304" s="161"/>
      <c r="M2304" s="161"/>
      <c r="N2304" s="161"/>
      <c r="O2304" s="161"/>
      <c r="P2304" s="161"/>
      <c r="Q2304" s="161"/>
      <c r="R2304" s="161"/>
      <c r="S2304" s="161"/>
      <c r="T2304" s="161"/>
      <c r="U2304" s="161"/>
      <c r="V2304" s="161"/>
      <c r="W2304" s="161"/>
      <c r="X2304" s="161"/>
      <c r="Y2304" s="161"/>
      <c r="Z2304" s="161"/>
      <c r="AA2304" s="161"/>
      <c r="AB2304" s="161"/>
      <c r="AC2304" s="161"/>
      <c r="AD2304" s="162"/>
    </row>
    <row r="2306" spans="1:18" x14ac:dyDescent="0.3">
      <c r="A2306" t="s">
        <v>197</v>
      </c>
      <c r="N2306" s="83">
        <f>K988</f>
        <v>124.5580966564966</v>
      </c>
    </row>
    <row r="2307" spans="1:18" x14ac:dyDescent="0.3">
      <c r="A2307" t="s">
        <v>206</v>
      </c>
      <c r="N2307" s="7">
        <f>N2309*N2306</f>
        <v>17.376726190964913</v>
      </c>
      <c r="Q2307" s="77"/>
    </row>
    <row r="2308" spans="1:18" x14ac:dyDescent="0.3">
      <c r="N2308" s="7"/>
      <c r="Q2308" s="77"/>
    </row>
    <row r="2309" spans="1:18" x14ac:dyDescent="0.3">
      <c r="A2309" s="11" t="s">
        <v>134</v>
      </c>
      <c r="B2309" s="11"/>
      <c r="C2309" s="11"/>
      <c r="N2309" s="98">
        <f>N2310*N2311*N2312*N2313</f>
        <v>0.13950699839999997</v>
      </c>
      <c r="O2309" s="7">
        <f>O2310*O2311*O2312*O2313</f>
        <v>0</v>
      </c>
      <c r="P2309" s="11"/>
      <c r="R2309" s="11"/>
    </row>
    <row r="2310" spans="1:18" x14ac:dyDescent="0.3">
      <c r="A2310" t="s">
        <v>35</v>
      </c>
      <c r="N2310" s="97">
        <f>N1027</f>
        <v>0.15135999999999999</v>
      </c>
    </row>
    <row r="2311" spans="1:18" x14ac:dyDescent="0.3">
      <c r="A2311" t="s">
        <v>36</v>
      </c>
      <c r="N2311" s="86">
        <f>0.95</f>
        <v>0.95</v>
      </c>
    </row>
    <row r="2312" spans="1:18" x14ac:dyDescent="0.3">
      <c r="A2312" t="s">
        <v>142</v>
      </c>
      <c r="N2312" s="86">
        <v>0.99</v>
      </c>
    </row>
    <row r="2313" spans="1:18" x14ac:dyDescent="0.3">
      <c r="A2313" t="s">
        <v>37</v>
      </c>
      <c r="N2313" s="86">
        <v>0.98</v>
      </c>
    </row>
    <row r="2316" spans="1:18" x14ac:dyDescent="0.3">
      <c r="A2316" t="s">
        <v>125</v>
      </c>
      <c r="N2316" s="83">
        <f>$B$34</f>
        <v>160.25641025641025</v>
      </c>
    </row>
    <row r="2317" spans="1:18" x14ac:dyDescent="0.3">
      <c r="A2317" s="100" t="s">
        <v>135</v>
      </c>
      <c r="N2317" s="101">
        <f>N2316</f>
        <v>160.25641025641025</v>
      </c>
    </row>
    <row r="2319" spans="1:18" x14ac:dyDescent="0.3">
      <c r="A2319" t="s">
        <v>126</v>
      </c>
      <c r="N2319" s="88">
        <f>$D$43</f>
        <v>0.5</v>
      </c>
    </row>
    <row r="2320" spans="1:18" x14ac:dyDescent="0.3">
      <c r="A2320" t="s">
        <v>117</v>
      </c>
      <c r="N2320" s="7">
        <f>N2319*N2316</f>
        <v>80.128205128205124</v>
      </c>
    </row>
    <row r="2322" spans="1:17" x14ac:dyDescent="0.3">
      <c r="A2322" t="s">
        <v>118</v>
      </c>
      <c r="N2322" s="7">
        <f>N2317</f>
        <v>160.25641025641025</v>
      </c>
    </row>
    <row r="2323" spans="1:17" x14ac:dyDescent="0.3">
      <c r="A2323" t="s">
        <v>106</v>
      </c>
      <c r="N2323" s="7">
        <f>N2316*(1+N2319)</f>
        <v>240.38461538461536</v>
      </c>
    </row>
    <row r="2324" spans="1:17" x14ac:dyDescent="0.3">
      <c r="N2324" s="7"/>
    </row>
    <row r="2325" spans="1:17" x14ac:dyDescent="0.3">
      <c r="A2325" t="s">
        <v>136</v>
      </c>
      <c r="N2325" s="7">
        <f>N2322*N2307</f>
        <v>2784.7317613725822</v>
      </c>
    </row>
    <row r="2326" spans="1:17" x14ac:dyDescent="0.3">
      <c r="A2326" t="s">
        <v>119</v>
      </c>
      <c r="N2326" s="7">
        <f>N2323*N2307</f>
        <v>4177.0976420588731</v>
      </c>
    </row>
    <row r="2327" spans="1:17" x14ac:dyDescent="0.3">
      <c r="N2327" s="7"/>
    </row>
    <row r="2328" spans="1:17" x14ac:dyDescent="0.3">
      <c r="A2328" t="s">
        <v>302</v>
      </c>
      <c r="N2328" s="6">
        <f>N2320*N2307</f>
        <v>1392.3658806862911</v>
      </c>
    </row>
    <row r="2329" spans="1:17" x14ac:dyDescent="0.3">
      <c r="N2329" s="7"/>
    </row>
    <row r="2330" spans="1:17" x14ac:dyDescent="0.3">
      <c r="A2330" t="s">
        <v>127</v>
      </c>
      <c r="N2330" s="7">
        <f>N2323/3</f>
        <v>80.128205128205124</v>
      </c>
      <c r="O2330" s="7">
        <f>N2323/3</f>
        <v>80.128205128205124</v>
      </c>
      <c r="P2330" s="7">
        <f>N2323/3</f>
        <v>80.128205128205124</v>
      </c>
    </row>
    <row r="2332" spans="1:17" s="103" customFormat="1" x14ac:dyDescent="0.3">
      <c r="A2332" s="103" t="s">
        <v>128</v>
      </c>
      <c r="N2332" s="79">
        <f>Summary!$D$31</f>
        <v>0</v>
      </c>
    </row>
    <row r="2333" spans="1:17" s="103" customFormat="1" x14ac:dyDescent="0.3">
      <c r="A2333" s="103" t="s">
        <v>129</v>
      </c>
      <c r="N2333" s="79">
        <f>1-N2332</f>
        <v>1</v>
      </c>
    </row>
    <row r="2335" spans="1:17" x14ac:dyDescent="0.3">
      <c r="A2335" s="71" t="s">
        <v>16</v>
      </c>
    </row>
    <row r="2336" spans="1:17" x14ac:dyDescent="0.3">
      <c r="A2336" t="s">
        <v>17</v>
      </c>
      <c r="M2336" s="74">
        <f>Summary!$C$66</f>
        <v>0.45</v>
      </c>
      <c r="N2336" s="74">
        <f>Summary!$C$67</f>
        <v>0.3</v>
      </c>
      <c r="O2336" s="74">
        <f>Summary!$C$68</f>
        <v>0.13</v>
      </c>
      <c r="P2336" s="75"/>
      <c r="Q2336" s="75"/>
    </row>
    <row r="2337" spans="1:18" x14ac:dyDescent="0.3">
      <c r="A2337" t="s">
        <v>18</v>
      </c>
      <c r="C2337" s="75"/>
      <c r="N2337" s="74">
        <f>Summary!$C$69</f>
        <v>0.8</v>
      </c>
      <c r="O2337" s="76">
        <f>N2337</f>
        <v>0.8</v>
      </c>
      <c r="P2337" s="76">
        <f>O2337</f>
        <v>0.8</v>
      </c>
      <c r="Q2337" s="75"/>
    </row>
    <row r="2338" spans="1:18" x14ac:dyDescent="0.3">
      <c r="A2338" t="s">
        <v>19</v>
      </c>
      <c r="C2338" s="75"/>
      <c r="N2338" s="75"/>
      <c r="O2338" s="74">
        <f>Summary!$C$70</f>
        <v>1</v>
      </c>
      <c r="P2338" s="74">
        <f>O2338</f>
        <v>1</v>
      </c>
      <c r="Q2338" s="74">
        <f>P2338</f>
        <v>1</v>
      </c>
    </row>
    <row r="2339" spans="1:18" x14ac:dyDescent="0.3">
      <c r="A2339" t="s">
        <v>20</v>
      </c>
      <c r="Q2339" s="21"/>
    </row>
    <row r="2340" spans="1:18" x14ac:dyDescent="0.3">
      <c r="Q2340" s="21"/>
    </row>
    <row r="2341" spans="1:18" x14ac:dyDescent="0.3">
      <c r="A2341" s="11" t="s">
        <v>196</v>
      </c>
      <c r="N2341" s="90">
        <f>SUM(N2342:N2345)</f>
        <v>1</v>
      </c>
      <c r="O2341" s="90">
        <f t="shared" ref="O2341:Q2341" si="293">SUM(O2342:O2345)</f>
        <v>1</v>
      </c>
      <c r="P2341" s="90">
        <f t="shared" si="293"/>
        <v>0.55375000000000008</v>
      </c>
      <c r="Q2341" s="90">
        <f t="shared" si="293"/>
        <v>0.5414000000000001</v>
      </c>
    </row>
    <row r="2342" spans="1:18" x14ac:dyDescent="0.3">
      <c r="A2342" t="s">
        <v>17</v>
      </c>
      <c r="N2342" s="22">
        <f>(1-M2336)*N2333</f>
        <v>0.55000000000000004</v>
      </c>
      <c r="O2342" s="22">
        <f>N2342*(1-N2336)+N2343*(1-N2337)</f>
        <v>0.47499999999999998</v>
      </c>
    </row>
    <row r="2343" spans="1:18" x14ac:dyDescent="0.3">
      <c r="A2343" t="s">
        <v>18</v>
      </c>
      <c r="N2343" s="22">
        <f>M2336</f>
        <v>0.45</v>
      </c>
      <c r="O2343" s="22">
        <f>N2342*N2336</f>
        <v>0.16500000000000001</v>
      </c>
      <c r="P2343" s="22">
        <f>O2342*O2336</f>
        <v>6.1749999999999999E-2</v>
      </c>
      <c r="R2343" s="22"/>
    </row>
    <row r="2344" spans="1:18" x14ac:dyDescent="0.3">
      <c r="A2344" t="s">
        <v>19</v>
      </c>
      <c r="O2344" s="22">
        <f>N2343*N2337</f>
        <v>0.36000000000000004</v>
      </c>
      <c r="P2344" s="22">
        <f>O2343*O2337+O2344</f>
        <v>0.49200000000000005</v>
      </c>
      <c r="Q2344" s="22">
        <f>P2343*P2337+P2344</f>
        <v>0.5414000000000001</v>
      </c>
    </row>
    <row r="2345" spans="1:18" x14ac:dyDescent="0.3">
      <c r="O2345" s="22"/>
      <c r="P2345" s="22"/>
    </row>
    <row r="2346" spans="1:18" x14ac:dyDescent="0.3">
      <c r="A2346" t="s">
        <v>195</v>
      </c>
      <c r="N2346" s="22">
        <f>(1-M2336)*N2332</f>
        <v>0</v>
      </c>
      <c r="P2346" s="29">
        <f>O2342*(1-O2336)+O2343*(1-O2337)+O2344*(1-O2338)</f>
        <v>0.44624999999999998</v>
      </c>
      <c r="Q2346" s="29">
        <f>P2343*(1-P2337)+P2346</f>
        <v>0.45859999999999995</v>
      </c>
      <c r="R2346" s="22"/>
    </row>
    <row r="2347" spans="1:18" x14ac:dyDescent="0.3">
      <c r="N2347" s="22"/>
      <c r="P2347" s="29"/>
      <c r="Q2347" s="29"/>
      <c r="R2347" s="22"/>
    </row>
    <row r="2348" spans="1:18" x14ac:dyDescent="0.3">
      <c r="N2348" s="25" t="s">
        <v>32</v>
      </c>
    </row>
    <row r="2349" spans="1:18" x14ac:dyDescent="0.3">
      <c r="A2349" s="11" t="s">
        <v>124</v>
      </c>
      <c r="N2349" s="8">
        <f>SUM(N2350:N2353)</f>
        <v>17.376726190964913</v>
      </c>
      <c r="O2349" s="8">
        <f t="shared" ref="O2349:P2349" si="294">SUM(O2350:O2353)</f>
        <v>17.376726190964913</v>
      </c>
      <c r="P2349" s="8">
        <f t="shared" si="294"/>
        <v>9.6223621282468201</v>
      </c>
    </row>
    <row r="2350" spans="1:18" x14ac:dyDescent="0.3">
      <c r="A2350" s="23" t="s">
        <v>120</v>
      </c>
      <c r="N2350" s="7">
        <f>N2307*(1-M2336)</f>
        <v>9.557199405030703</v>
      </c>
      <c r="O2350" s="82">
        <f>N2388*(1-N2336)+N2351*(1-N2337)</f>
        <v>8.2539449407083332</v>
      </c>
    </row>
    <row r="2351" spans="1:18" x14ac:dyDescent="0.3">
      <c r="A2351" s="24" t="s">
        <v>122</v>
      </c>
      <c r="N2351" s="7">
        <f>N2307*M2336</f>
        <v>7.8195267859342108</v>
      </c>
      <c r="O2351" s="7">
        <f>N2388*N2336</f>
        <v>2.8671598215092109</v>
      </c>
      <c r="P2351" s="7">
        <f>O2350*O2336</f>
        <v>1.0730128422920833</v>
      </c>
      <c r="Q2351" s="7">
        <f>P2350*P2336</f>
        <v>0</v>
      </c>
    </row>
    <row r="2352" spans="1:18" x14ac:dyDescent="0.3">
      <c r="A2352" s="23" t="s">
        <v>121</v>
      </c>
      <c r="O2352" s="7">
        <f>N2351*N2337</f>
        <v>6.2556214287473688</v>
      </c>
      <c r="P2352" s="7">
        <f>O2351*O2337</f>
        <v>2.2937278572073687</v>
      </c>
      <c r="Q2352" s="7">
        <f>P2351*P2337</f>
        <v>0.85841027383366664</v>
      </c>
    </row>
    <row r="2353" spans="1:18" x14ac:dyDescent="0.3">
      <c r="A2353" s="23" t="s">
        <v>138</v>
      </c>
      <c r="O2353" s="7"/>
      <c r="P2353" s="7">
        <f>O2352*O2338</f>
        <v>6.2556214287473688</v>
      </c>
      <c r="Q2353" s="7">
        <f>P2352*P2338+P2353</f>
        <v>8.5493492859547366</v>
      </c>
      <c r="R2353" s="7">
        <f>Q2352*Q2338+Q2353</f>
        <v>9.4077595597884027</v>
      </c>
    </row>
    <row r="2354" spans="1:18" x14ac:dyDescent="0.3">
      <c r="A2354" s="23"/>
      <c r="O2354" s="7"/>
    </row>
    <row r="2355" spans="1:18" x14ac:dyDescent="0.3">
      <c r="A2355" s="23" t="s">
        <v>137</v>
      </c>
      <c r="O2355" s="7"/>
      <c r="P2355" s="7">
        <f>O2350*(1-O2336)+O2351*(1-O2337)+O2352*(1-O2338)</f>
        <v>7.7543640627180919</v>
      </c>
      <c r="Q2355" s="7">
        <f>P2351*(1-P2337)+P2355</f>
        <v>7.9689666311765084</v>
      </c>
      <c r="R2355" s="7">
        <f>Q2352*(1-Q2338)+Q2355</f>
        <v>7.9689666311765084</v>
      </c>
    </row>
    <row r="2356" spans="1:18" x14ac:dyDescent="0.3">
      <c r="A2356" s="23"/>
      <c r="O2356" s="7"/>
    </row>
    <row r="2357" spans="1:18" x14ac:dyDescent="0.3">
      <c r="A2357" s="11" t="s">
        <v>139</v>
      </c>
      <c r="N2357" s="8">
        <f>SUM(N2358:N2359)</f>
        <v>9.557199405030703</v>
      </c>
      <c r="O2357" s="8">
        <f>SUM(O2358:O2359)</f>
        <v>8.2539449407083332</v>
      </c>
      <c r="P2357" s="8">
        <f>SUM(P2358:P2359)</f>
        <v>7.7543640627180919</v>
      </c>
      <c r="Q2357" s="8">
        <f>SUM(Q2358:Q2359)</f>
        <v>0.2146025684584166</v>
      </c>
    </row>
    <row r="2358" spans="1:18" x14ac:dyDescent="0.3">
      <c r="A2358" s="23" t="s">
        <v>120</v>
      </c>
      <c r="N2358" s="7">
        <f>N2350</f>
        <v>9.557199405030703</v>
      </c>
      <c r="O2358" s="7">
        <f>N2388*(1-N2336)</f>
        <v>6.6900395835214921</v>
      </c>
      <c r="P2358" s="7">
        <f>O2350*(1-O2336)</f>
        <v>7.1809320984162497</v>
      </c>
    </row>
    <row r="2359" spans="1:18" x14ac:dyDescent="0.3">
      <c r="A2359" s="24" t="s">
        <v>122</v>
      </c>
      <c r="O2359" s="7">
        <f>N2351*(1-N2337)</f>
        <v>1.5639053571868418</v>
      </c>
      <c r="P2359" s="7">
        <f>O2351*(1-O2337)</f>
        <v>0.57343196430184207</v>
      </c>
      <c r="Q2359" s="7">
        <f>P2351*(1-P2337)</f>
        <v>0.2146025684584166</v>
      </c>
    </row>
    <row r="2360" spans="1:18" x14ac:dyDescent="0.3">
      <c r="A2360" s="23"/>
      <c r="O2360" s="7"/>
      <c r="P2360" s="7">
        <f>O2352*(1-O2338)</f>
        <v>0</v>
      </c>
      <c r="Q2360" s="7">
        <f>P2352*(1-P2338)</f>
        <v>0</v>
      </c>
    </row>
    <row r="2361" spans="1:18" x14ac:dyDescent="0.3">
      <c r="A2361" s="81" t="s">
        <v>123</v>
      </c>
    </row>
    <row r="2362" spans="1:18" x14ac:dyDescent="0.3">
      <c r="A2362" s="23" t="s">
        <v>120</v>
      </c>
      <c r="N2362" s="7">
        <f>N2323-N2330</f>
        <v>160.25641025641022</v>
      </c>
      <c r="O2362" s="7">
        <f>N2362-O2330</f>
        <v>80.128205128205096</v>
      </c>
      <c r="P2362" s="7">
        <f>O2362-P2330</f>
        <v>0</v>
      </c>
    </row>
    <row r="2363" spans="1:18" x14ac:dyDescent="0.3">
      <c r="A2363" s="24" t="s">
        <v>122</v>
      </c>
      <c r="N2363" s="7">
        <f>N2323</f>
        <v>240.38461538461536</v>
      </c>
      <c r="O2363" s="7">
        <f>N2362</f>
        <v>160.25641025641022</v>
      </c>
      <c r="P2363" s="7">
        <f>O2362</f>
        <v>80.128205128205096</v>
      </c>
    </row>
    <row r="2364" spans="1:18" x14ac:dyDescent="0.3">
      <c r="A2364" s="23" t="s">
        <v>121</v>
      </c>
      <c r="O2364" s="7">
        <f>N2363</f>
        <v>240.38461538461536</v>
      </c>
      <c r="P2364" s="7">
        <f>O2363</f>
        <v>160.25641025641022</v>
      </c>
      <c r="Q2364" s="7">
        <f>P2363</f>
        <v>80.128205128205096</v>
      </c>
    </row>
    <row r="2365" spans="1:18" x14ac:dyDescent="0.3">
      <c r="A2365" s="23"/>
      <c r="P2365" s="7"/>
      <c r="Q2365" s="7"/>
    </row>
    <row r="2366" spans="1:18" x14ac:dyDescent="0.3">
      <c r="A2366" s="23"/>
      <c r="P2366" s="7"/>
      <c r="Q2366" s="7"/>
    </row>
    <row r="2367" spans="1:18" x14ac:dyDescent="0.3">
      <c r="A2367" s="11" t="s">
        <v>130</v>
      </c>
      <c r="N2367" s="8">
        <f>SUM(N2368:N2371)</f>
        <v>3411.2964076814128</v>
      </c>
      <c r="O2367" s="8">
        <f t="shared" ref="O2367:Q2367" si="295">SUM(O2368:O2371)</f>
        <v>2624.6096850936583</v>
      </c>
      <c r="P2367" s="8">
        <f t="shared" si="295"/>
        <v>1957.3183367747536</v>
      </c>
      <c r="Q2367" s="8">
        <f t="shared" si="295"/>
        <v>1940.122618148278</v>
      </c>
    </row>
    <row r="2368" spans="1:18" x14ac:dyDescent="0.3">
      <c r="A2368" s="23" t="s">
        <v>120</v>
      </c>
      <c r="N2368" s="7">
        <f>N2362*N2350</f>
        <v>1531.60246875492</v>
      </c>
      <c r="O2368" s="7">
        <f t="shared" ref="O2368:P2368" si="296">O2362*O2350</f>
        <v>661.373793325988</v>
      </c>
      <c r="P2368" s="7">
        <f t="shared" si="296"/>
        <v>0</v>
      </c>
    </row>
    <row r="2369" spans="1:18" x14ac:dyDescent="0.3">
      <c r="A2369" s="24" t="s">
        <v>122</v>
      </c>
      <c r="N2369" s="7">
        <f>N2363*N2351</f>
        <v>1879.6939389264928</v>
      </c>
      <c r="O2369" s="7">
        <f t="shared" ref="O2369:P2369" si="297">O2363*O2351</f>
        <v>459.48074062647601</v>
      </c>
      <c r="P2369" s="7">
        <f t="shared" si="297"/>
        <v>85.978593132378435</v>
      </c>
      <c r="Q2369" s="7">
        <f>Q2363*Q2351</f>
        <v>0</v>
      </c>
    </row>
    <row r="2370" spans="1:18" x14ac:dyDescent="0.3">
      <c r="A2370" s="23" t="s">
        <v>121</v>
      </c>
      <c r="O2370" s="7">
        <f>O2364*O2352</f>
        <v>1503.7551511411943</v>
      </c>
      <c r="P2370" s="7">
        <f>P2364*P2352</f>
        <v>367.58459250118079</v>
      </c>
      <c r="Q2370" s="7">
        <f>Q2364*Q2352</f>
        <v>68.782874505902754</v>
      </c>
    </row>
    <row r="2371" spans="1:18" x14ac:dyDescent="0.3">
      <c r="A2371" s="23" t="s">
        <v>138</v>
      </c>
      <c r="P2371" s="8">
        <f>O2370</f>
        <v>1503.7551511411943</v>
      </c>
      <c r="Q2371" s="8">
        <f>P2371+P2370</f>
        <v>1871.3397436423752</v>
      </c>
      <c r="R2371" s="8">
        <f>Q2371+Q2370</f>
        <v>1940.122618148278</v>
      </c>
    </row>
    <row r="2372" spans="1:18" x14ac:dyDescent="0.3">
      <c r="A2372" s="23"/>
    </row>
    <row r="2373" spans="1:18" x14ac:dyDescent="0.3">
      <c r="A2373" s="105" t="s">
        <v>300</v>
      </c>
      <c r="N2373" s="8">
        <f>R2371</f>
        <v>1940.122618148278</v>
      </c>
    </row>
    <row r="2374" spans="1:18" x14ac:dyDescent="0.3">
      <c r="A2374" s="23"/>
    </row>
    <row r="2375" spans="1:18" x14ac:dyDescent="0.3">
      <c r="A2375" s="11" t="s">
        <v>140</v>
      </c>
      <c r="N2375" s="8">
        <f>SUM(N2377:N2380)</f>
        <v>765.8012343774601</v>
      </c>
      <c r="O2375" s="8">
        <f>SUM(O2377:O2380)</f>
        <v>786.68672258775439</v>
      </c>
      <c r="P2375" s="8">
        <f t="shared" ref="P2375:Q2375" si="298">SUM(P2377:P2380)</f>
        <v>667.29134831890497</v>
      </c>
      <c r="Q2375" s="8">
        <f t="shared" si="298"/>
        <v>17.195718626475688</v>
      </c>
    </row>
    <row r="2376" spans="1:18" x14ac:dyDescent="0.3">
      <c r="A2376" s="11"/>
      <c r="N2376" s="8"/>
      <c r="O2376" s="8"/>
      <c r="P2376" s="8"/>
      <c r="Q2376" s="8"/>
    </row>
    <row r="2377" spans="1:18" x14ac:dyDescent="0.3">
      <c r="A2377" t="s">
        <v>131</v>
      </c>
      <c r="C2377" s="23" t="s">
        <v>120</v>
      </c>
      <c r="N2377" s="6">
        <f>N2386*N2330</f>
        <v>0</v>
      </c>
    </row>
    <row r="2378" spans="1:18" x14ac:dyDescent="0.3">
      <c r="C2378" s="23"/>
      <c r="N2378" s="6"/>
    </row>
    <row r="2379" spans="1:18" x14ac:dyDescent="0.3">
      <c r="A2379" t="s">
        <v>200</v>
      </c>
      <c r="C2379" s="23" t="s">
        <v>120</v>
      </c>
      <c r="N2379" s="6">
        <f>N2388*N2330</f>
        <v>765.8012343774601</v>
      </c>
      <c r="O2379" s="27">
        <f>O2358*O2330</f>
        <v>536.06086406422207</v>
      </c>
      <c r="P2379" s="27">
        <f t="shared" ref="P2379:Q2379" si="299">P2358*P2330</f>
        <v>575.39520019360975</v>
      </c>
      <c r="Q2379" s="27">
        <f t="shared" si="299"/>
        <v>0</v>
      </c>
      <c r="R2379" s="27"/>
    </row>
    <row r="2380" spans="1:18" x14ac:dyDescent="0.3">
      <c r="A2380" t="s">
        <v>200</v>
      </c>
      <c r="C2380" s="24" t="s">
        <v>122</v>
      </c>
      <c r="N2380" s="6"/>
      <c r="O2380" s="27">
        <f>O2359*(N2330+O2330)</f>
        <v>250.62585852353232</v>
      </c>
      <c r="P2380" s="27">
        <f t="shared" ref="P2380" si="300">P2359*(O2330+P2330)</f>
        <v>91.896148125295198</v>
      </c>
      <c r="Q2380" s="27">
        <f t="shared" ref="Q2380" si="301">Q2359*(P2330+Q2330)</f>
        <v>17.195718626475688</v>
      </c>
      <c r="R2380" s="27"/>
    </row>
    <row r="2382" spans="1:18" x14ac:dyDescent="0.3">
      <c r="A2382" s="11" t="s">
        <v>283</v>
      </c>
      <c r="N2382" s="8">
        <f>SUM(N2379:Q2380)</f>
        <v>2236.9750239105952</v>
      </c>
    </row>
    <row r="2384" spans="1:18" x14ac:dyDescent="0.3">
      <c r="A2384" t="s">
        <v>202</v>
      </c>
      <c r="N2384" s="28">
        <f>N2386*(O2330+P2330)</f>
        <v>0</v>
      </c>
    </row>
    <row r="2386" spans="1:30" x14ac:dyDescent="0.3">
      <c r="A2386" s="72" t="s">
        <v>132</v>
      </c>
      <c r="N2386" s="73">
        <f>N2350*N2332</f>
        <v>0</v>
      </c>
    </row>
    <row r="2388" spans="1:30" x14ac:dyDescent="0.3">
      <c r="A2388" t="s">
        <v>201</v>
      </c>
      <c r="N2388" s="7">
        <f>N2350*N2333</f>
        <v>9.557199405030703</v>
      </c>
    </row>
    <row r="2391" spans="1:30" x14ac:dyDescent="0.3">
      <c r="A2391" s="160" t="s">
        <v>290</v>
      </c>
      <c r="B2391" s="161"/>
      <c r="C2391" s="161"/>
      <c r="D2391" s="161"/>
      <c r="E2391" s="161"/>
      <c r="F2391" s="161"/>
      <c r="G2391" s="161"/>
      <c r="H2391" s="161"/>
      <c r="I2391" s="161"/>
      <c r="J2391" s="161"/>
      <c r="K2391" s="161"/>
      <c r="L2391" s="161"/>
      <c r="M2391" s="161"/>
      <c r="N2391" s="161"/>
      <c r="O2391" s="161"/>
      <c r="P2391" s="161"/>
      <c r="Q2391" s="161"/>
      <c r="R2391" s="161"/>
      <c r="S2391" s="161"/>
      <c r="T2391" s="161"/>
      <c r="U2391" s="161"/>
      <c r="V2391" s="161"/>
      <c r="W2391" s="161"/>
      <c r="X2391" s="161"/>
      <c r="Y2391" s="161"/>
      <c r="Z2391" s="161"/>
      <c r="AA2391" s="161"/>
      <c r="AB2391" s="161"/>
      <c r="AC2391" s="161"/>
      <c r="AD2391" s="162"/>
    </row>
    <row r="2393" spans="1:30" x14ac:dyDescent="0.3">
      <c r="A2393" t="s">
        <v>197</v>
      </c>
      <c r="N2393" s="83">
        <f>K1075</f>
        <v>124.55809665649662</v>
      </c>
    </row>
    <row r="2394" spans="1:30" x14ac:dyDescent="0.3">
      <c r="A2394" t="s">
        <v>206</v>
      </c>
      <c r="N2394" s="7">
        <f>N2396*N2393</f>
        <v>17.376726190964916</v>
      </c>
      <c r="Q2394" s="77"/>
    </row>
    <row r="2395" spans="1:30" x14ac:dyDescent="0.3">
      <c r="N2395" s="7"/>
      <c r="Q2395" s="77"/>
    </row>
    <row r="2396" spans="1:30" x14ac:dyDescent="0.3">
      <c r="A2396" s="11" t="s">
        <v>134</v>
      </c>
      <c r="B2396" s="11"/>
      <c r="C2396" s="11"/>
      <c r="N2396" s="98">
        <f>N2397*N2398*N2399*N2400</f>
        <v>0.13950699839999997</v>
      </c>
      <c r="O2396" s="7">
        <f>O2397*O2398*O2399*O2400</f>
        <v>0</v>
      </c>
      <c r="P2396" s="11"/>
      <c r="R2396" s="11"/>
    </row>
    <row r="2397" spans="1:30" x14ac:dyDescent="0.3">
      <c r="A2397" t="s">
        <v>35</v>
      </c>
      <c r="N2397" s="97">
        <f>N1114</f>
        <v>0.15135999999999999</v>
      </c>
    </row>
    <row r="2398" spans="1:30" x14ac:dyDescent="0.3">
      <c r="A2398" t="s">
        <v>36</v>
      </c>
      <c r="N2398" s="86">
        <f>0.95</f>
        <v>0.95</v>
      </c>
    </row>
    <row r="2399" spans="1:30" x14ac:dyDescent="0.3">
      <c r="A2399" t="s">
        <v>142</v>
      </c>
      <c r="N2399" s="86">
        <v>0.99</v>
      </c>
    </row>
    <row r="2400" spans="1:30" x14ac:dyDescent="0.3">
      <c r="A2400" t="s">
        <v>37</v>
      </c>
      <c r="N2400" s="86">
        <v>0.98</v>
      </c>
    </row>
    <row r="2403" spans="1:14" x14ac:dyDescent="0.3">
      <c r="A2403" t="s">
        <v>125</v>
      </c>
      <c r="N2403" s="83">
        <f>$B$34</f>
        <v>160.25641025641025</v>
      </c>
    </row>
    <row r="2404" spans="1:14" x14ac:dyDescent="0.3">
      <c r="A2404" s="100" t="s">
        <v>135</v>
      </c>
      <c r="N2404" s="101">
        <f>N2403</f>
        <v>160.25641025641025</v>
      </c>
    </row>
    <row r="2406" spans="1:14" x14ac:dyDescent="0.3">
      <c r="A2406" t="s">
        <v>126</v>
      </c>
      <c r="N2406" s="88">
        <f>$D$43</f>
        <v>0.5</v>
      </c>
    </row>
    <row r="2407" spans="1:14" x14ac:dyDescent="0.3">
      <c r="A2407" t="s">
        <v>117</v>
      </c>
      <c r="N2407" s="7">
        <f>N2406*N2403</f>
        <v>80.128205128205124</v>
      </c>
    </row>
    <row r="2409" spans="1:14" x14ac:dyDescent="0.3">
      <c r="A2409" t="s">
        <v>118</v>
      </c>
      <c r="N2409" s="7">
        <f>N2404</f>
        <v>160.25641025641025</v>
      </c>
    </row>
    <row r="2410" spans="1:14" x14ac:dyDescent="0.3">
      <c r="A2410" t="s">
        <v>106</v>
      </c>
      <c r="N2410" s="7">
        <f>N2403*(1+N2406)</f>
        <v>240.38461538461536</v>
      </c>
    </row>
    <row r="2411" spans="1:14" x14ac:dyDescent="0.3">
      <c r="N2411" s="7"/>
    </row>
    <row r="2412" spans="1:14" x14ac:dyDescent="0.3">
      <c r="A2412" t="s">
        <v>136</v>
      </c>
      <c r="N2412" s="7">
        <f>N2409*N2394</f>
        <v>2784.7317613725827</v>
      </c>
    </row>
    <row r="2413" spans="1:14" x14ac:dyDescent="0.3">
      <c r="A2413" t="s">
        <v>119</v>
      </c>
      <c r="N2413" s="7">
        <f>N2410*N2394</f>
        <v>4177.097642058874</v>
      </c>
    </row>
    <row r="2414" spans="1:14" x14ac:dyDescent="0.3">
      <c r="N2414" s="7"/>
    </row>
    <row r="2415" spans="1:14" x14ac:dyDescent="0.3">
      <c r="A2415" t="s">
        <v>302</v>
      </c>
      <c r="N2415" s="6">
        <f>N2407*N2394</f>
        <v>1392.3658806862913</v>
      </c>
    </row>
    <row r="2416" spans="1:14" x14ac:dyDescent="0.3">
      <c r="N2416" s="7"/>
    </row>
    <row r="2417" spans="1:18" x14ac:dyDescent="0.3">
      <c r="A2417" t="s">
        <v>127</v>
      </c>
      <c r="N2417" s="7">
        <f>N2410/3</f>
        <v>80.128205128205124</v>
      </c>
      <c r="O2417" s="7">
        <f>N2410/3</f>
        <v>80.128205128205124</v>
      </c>
      <c r="P2417" s="7">
        <f>N2410/3</f>
        <v>80.128205128205124</v>
      </c>
    </row>
    <row r="2419" spans="1:18" s="103" customFormat="1" x14ac:dyDescent="0.3">
      <c r="A2419" s="103" t="s">
        <v>128</v>
      </c>
      <c r="N2419" s="79">
        <f>Summary!$D$31</f>
        <v>0</v>
      </c>
    </row>
    <row r="2420" spans="1:18" s="103" customFormat="1" x14ac:dyDescent="0.3">
      <c r="A2420" s="103" t="s">
        <v>129</v>
      </c>
      <c r="N2420" s="79">
        <f>1-N2419</f>
        <v>1</v>
      </c>
    </row>
    <row r="2422" spans="1:18" x14ac:dyDescent="0.3">
      <c r="A2422" s="71" t="s">
        <v>16</v>
      </c>
    </row>
    <row r="2423" spans="1:18" x14ac:dyDescent="0.3">
      <c r="A2423" t="s">
        <v>17</v>
      </c>
      <c r="M2423" s="74">
        <f>Summary!$C$66</f>
        <v>0.45</v>
      </c>
      <c r="N2423" s="74">
        <f>Summary!$C$67</f>
        <v>0.3</v>
      </c>
      <c r="O2423" s="74">
        <f>Summary!$C$68</f>
        <v>0.13</v>
      </c>
      <c r="P2423" s="75"/>
      <c r="Q2423" s="75"/>
    </row>
    <row r="2424" spans="1:18" x14ac:dyDescent="0.3">
      <c r="A2424" t="s">
        <v>18</v>
      </c>
      <c r="C2424" s="75"/>
      <c r="N2424" s="74">
        <f>Summary!$C$69</f>
        <v>0.8</v>
      </c>
      <c r="O2424" s="76">
        <f>N2424</f>
        <v>0.8</v>
      </c>
      <c r="P2424" s="76">
        <f>O2424</f>
        <v>0.8</v>
      </c>
      <c r="Q2424" s="75"/>
    </row>
    <row r="2425" spans="1:18" x14ac:dyDescent="0.3">
      <c r="A2425" t="s">
        <v>19</v>
      </c>
      <c r="C2425" s="75"/>
      <c r="N2425" s="75"/>
      <c r="O2425" s="74">
        <f>Summary!$C$70</f>
        <v>1</v>
      </c>
      <c r="P2425" s="74">
        <f>O2425</f>
        <v>1</v>
      </c>
      <c r="Q2425" s="74">
        <f>P2425</f>
        <v>1</v>
      </c>
    </row>
    <row r="2426" spans="1:18" x14ac:dyDescent="0.3">
      <c r="A2426" t="s">
        <v>20</v>
      </c>
      <c r="Q2426" s="21"/>
    </row>
    <row r="2427" spans="1:18" x14ac:dyDescent="0.3">
      <c r="Q2427" s="21"/>
    </row>
    <row r="2428" spans="1:18" x14ac:dyDescent="0.3">
      <c r="A2428" s="11" t="s">
        <v>196</v>
      </c>
      <c r="N2428" s="90">
        <f>SUM(N2429:N2432)</f>
        <v>1</v>
      </c>
      <c r="O2428" s="90">
        <f t="shared" ref="O2428:Q2428" si="302">SUM(O2429:O2432)</f>
        <v>1</v>
      </c>
      <c r="P2428" s="90">
        <f t="shared" si="302"/>
        <v>0.55375000000000008</v>
      </c>
      <c r="Q2428" s="90">
        <f t="shared" si="302"/>
        <v>0.5414000000000001</v>
      </c>
    </row>
    <row r="2429" spans="1:18" x14ac:dyDescent="0.3">
      <c r="A2429" t="s">
        <v>17</v>
      </c>
      <c r="N2429" s="22">
        <f>(1-M2423)*N2420</f>
        <v>0.55000000000000004</v>
      </c>
      <c r="O2429" s="22">
        <f>N2429*(1-N2423)+N2430*(1-N2424)</f>
        <v>0.47499999999999998</v>
      </c>
    </row>
    <row r="2430" spans="1:18" x14ac:dyDescent="0.3">
      <c r="A2430" t="s">
        <v>18</v>
      </c>
      <c r="N2430" s="22">
        <f>M2423</f>
        <v>0.45</v>
      </c>
      <c r="O2430" s="22">
        <f>N2429*N2423</f>
        <v>0.16500000000000001</v>
      </c>
      <c r="P2430" s="22">
        <f>O2429*O2423</f>
        <v>6.1749999999999999E-2</v>
      </c>
      <c r="R2430" s="22"/>
    </row>
    <row r="2431" spans="1:18" x14ac:dyDescent="0.3">
      <c r="A2431" t="s">
        <v>19</v>
      </c>
      <c r="O2431" s="22">
        <f>N2430*N2424</f>
        <v>0.36000000000000004</v>
      </c>
      <c r="P2431" s="22">
        <f>O2430*O2424+O2431</f>
        <v>0.49200000000000005</v>
      </c>
      <c r="Q2431" s="22">
        <f>P2430*P2424+P2431</f>
        <v>0.5414000000000001</v>
      </c>
    </row>
    <row r="2432" spans="1:18" x14ac:dyDescent="0.3">
      <c r="O2432" s="22"/>
      <c r="P2432" s="22"/>
    </row>
    <row r="2433" spans="1:18" x14ac:dyDescent="0.3">
      <c r="A2433" t="s">
        <v>195</v>
      </c>
      <c r="N2433" s="22">
        <f>(1-M2423)*N2419</f>
        <v>0</v>
      </c>
      <c r="P2433" s="29">
        <f>O2429*(1-O2423)+O2430*(1-O2424)+O2431*(1-O2425)</f>
        <v>0.44624999999999998</v>
      </c>
      <c r="Q2433" s="29">
        <f>P2430*(1-P2424)+P2433</f>
        <v>0.45859999999999995</v>
      </c>
      <c r="R2433" s="22"/>
    </row>
    <row r="2434" spans="1:18" x14ac:dyDescent="0.3">
      <c r="N2434" s="22"/>
      <c r="P2434" s="29"/>
      <c r="Q2434" s="29"/>
      <c r="R2434" s="22"/>
    </row>
    <row r="2435" spans="1:18" x14ac:dyDescent="0.3">
      <c r="N2435" s="25"/>
    </row>
    <row r="2436" spans="1:18" x14ac:dyDescent="0.3">
      <c r="A2436" s="11" t="s">
        <v>124</v>
      </c>
      <c r="N2436" s="8">
        <f>SUM(N2437:N2440)</f>
        <v>17.376726190964916</v>
      </c>
      <c r="O2436" s="8">
        <f t="shared" ref="O2436:P2436" si="303">SUM(O2437:O2440)</f>
        <v>17.376726190964916</v>
      </c>
      <c r="P2436" s="8">
        <f t="shared" si="303"/>
        <v>9.6223621282468237</v>
      </c>
    </row>
    <row r="2437" spans="1:18" x14ac:dyDescent="0.3">
      <c r="A2437" s="23" t="s">
        <v>120</v>
      </c>
      <c r="N2437" s="7">
        <f>N2394*(1-M2423)</f>
        <v>9.5571994050307048</v>
      </c>
      <c r="O2437" s="82">
        <f>N2475*(1-N2423)+N2438*(1-N2424)</f>
        <v>8.253944940708335</v>
      </c>
    </row>
    <row r="2438" spans="1:18" x14ac:dyDescent="0.3">
      <c r="A2438" s="24" t="s">
        <v>122</v>
      </c>
      <c r="N2438" s="7">
        <f>N2394*M2423</f>
        <v>7.8195267859342126</v>
      </c>
      <c r="O2438" s="7">
        <f>N2475*N2423</f>
        <v>2.8671598215092113</v>
      </c>
      <c r="P2438" s="7">
        <f>O2437*O2423</f>
        <v>1.0730128422920835</v>
      </c>
      <c r="Q2438" s="7">
        <f>P2437*P2423</f>
        <v>0</v>
      </c>
    </row>
    <row r="2439" spans="1:18" x14ac:dyDescent="0.3">
      <c r="A2439" s="23" t="s">
        <v>121</v>
      </c>
      <c r="O2439" s="7">
        <f>N2438*N2424</f>
        <v>6.2556214287473706</v>
      </c>
      <c r="P2439" s="7">
        <f>O2438*O2424</f>
        <v>2.2937278572073692</v>
      </c>
      <c r="Q2439" s="7">
        <f>P2438*P2424</f>
        <v>0.85841027383366686</v>
      </c>
    </row>
    <row r="2440" spans="1:18" x14ac:dyDescent="0.3">
      <c r="A2440" s="23" t="s">
        <v>138</v>
      </c>
      <c r="O2440" s="7"/>
      <c r="P2440" s="7">
        <f>O2439*O2425</f>
        <v>6.2556214287473706</v>
      </c>
      <c r="Q2440" s="7">
        <f>P2439*P2425+P2440</f>
        <v>8.5493492859547402</v>
      </c>
      <c r="R2440" s="7">
        <f>Q2439*Q2425+Q2440</f>
        <v>9.4077595597884063</v>
      </c>
    </row>
    <row r="2441" spans="1:18" x14ac:dyDescent="0.3">
      <c r="A2441" s="23"/>
      <c r="O2441" s="7"/>
    </row>
    <row r="2442" spans="1:18" x14ac:dyDescent="0.3">
      <c r="A2442" s="23" t="s">
        <v>137</v>
      </c>
      <c r="O2442" s="7"/>
      <c r="P2442" s="7">
        <f>O2437*(1-O2423)+O2438*(1-O2424)+O2439*(1-O2425)</f>
        <v>7.7543640627180936</v>
      </c>
      <c r="Q2442" s="7">
        <f>P2438*(1-P2424)+P2442</f>
        <v>7.9689666311765102</v>
      </c>
      <c r="R2442" s="7">
        <f>Q2439*(1-Q2425)+Q2442</f>
        <v>7.9689666311765102</v>
      </c>
    </row>
    <row r="2443" spans="1:18" x14ac:dyDescent="0.3">
      <c r="A2443" s="23"/>
      <c r="O2443" s="7"/>
    </row>
    <row r="2444" spans="1:18" x14ac:dyDescent="0.3">
      <c r="A2444" s="11" t="s">
        <v>139</v>
      </c>
      <c r="N2444" s="8">
        <f>SUM(N2445:N2446)</f>
        <v>9.5571994050307048</v>
      </c>
      <c r="O2444" s="8">
        <f>SUM(O2445:O2446)</f>
        <v>8.253944940708335</v>
      </c>
      <c r="P2444" s="8">
        <f>SUM(P2445:P2446)</f>
        <v>7.7543640627180936</v>
      </c>
      <c r="Q2444" s="8">
        <f>SUM(Q2445:Q2446)</f>
        <v>0.21460256845841666</v>
      </c>
    </row>
    <row r="2445" spans="1:18" x14ac:dyDescent="0.3">
      <c r="A2445" s="23" t="s">
        <v>120</v>
      </c>
      <c r="N2445" s="7">
        <f>N2437</f>
        <v>9.5571994050307048</v>
      </c>
      <c r="O2445" s="7">
        <f>N2475*(1-N2423)</f>
        <v>6.690039583521493</v>
      </c>
      <c r="P2445" s="7">
        <f>O2437*(1-O2423)</f>
        <v>7.1809320984162515</v>
      </c>
    </row>
    <row r="2446" spans="1:18" x14ac:dyDescent="0.3">
      <c r="A2446" s="24" t="s">
        <v>122</v>
      </c>
      <c r="O2446" s="7">
        <f>N2438*(1-N2424)</f>
        <v>1.5639053571868422</v>
      </c>
      <c r="P2446" s="7">
        <f>O2438*(1-O2424)</f>
        <v>0.57343196430184218</v>
      </c>
      <c r="Q2446" s="7">
        <f>P2438*(1-P2424)</f>
        <v>0.21460256845841666</v>
      </c>
    </row>
    <row r="2447" spans="1:18" x14ac:dyDescent="0.3">
      <c r="A2447" s="23"/>
      <c r="O2447" s="7"/>
      <c r="P2447" s="7">
        <f>O2439*(1-O2425)</f>
        <v>0</v>
      </c>
      <c r="Q2447" s="7">
        <f>P2439*(1-P2425)</f>
        <v>0</v>
      </c>
    </row>
    <row r="2448" spans="1:18" x14ac:dyDescent="0.3">
      <c r="A2448" s="81" t="s">
        <v>123</v>
      </c>
    </row>
    <row r="2449" spans="1:18" x14ac:dyDescent="0.3">
      <c r="A2449" s="23" t="s">
        <v>120</v>
      </c>
      <c r="N2449" s="7">
        <f>N2410-N2417</f>
        <v>160.25641025641022</v>
      </c>
      <c r="O2449" s="7">
        <f>N2449-O2417</f>
        <v>80.128205128205096</v>
      </c>
      <c r="P2449" s="7">
        <f>O2449-P2417</f>
        <v>0</v>
      </c>
    </row>
    <row r="2450" spans="1:18" x14ac:dyDescent="0.3">
      <c r="A2450" s="24" t="s">
        <v>122</v>
      </c>
      <c r="N2450" s="7">
        <f>N2410</f>
        <v>240.38461538461536</v>
      </c>
      <c r="O2450" s="7">
        <f>N2449</f>
        <v>160.25641025641022</v>
      </c>
      <c r="P2450" s="7">
        <f>O2449</f>
        <v>80.128205128205096</v>
      </c>
    </row>
    <row r="2451" spans="1:18" x14ac:dyDescent="0.3">
      <c r="A2451" s="23" t="s">
        <v>121</v>
      </c>
      <c r="O2451" s="7">
        <f>N2450</f>
        <v>240.38461538461536</v>
      </c>
      <c r="P2451" s="7">
        <f>O2450</f>
        <v>160.25641025641022</v>
      </c>
      <c r="Q2451" s="7">
        <f>P2450</f>
        <v>80.128205128205096</v>
      </c>
    </row>
    <row r="2452" spans="1:18" x14ac:dyDescent="0.3">
      <c r="A2452" s="23"/>
      <c r="P2452" s="7"/>
      <c r="Q2452" s="7"/>
    </row>
    <row r="2453" spans="1:18" x14ac:dyDescent="0.3">
      <c r="A2453" s="23"/>
      <c r="P2453" s="7"/>
      <c r="Q2453" s="7"/>
    </row>
    <row r="2454" spans="1:18" x14ac:dyDescent="0.3">
      <c r="A2454" s="11" t="s">
        <v>130</v>
      </c>
      <c r="N2454" s="8">
        <f>SUM(N2455:N2458)</f>
        <v>3411.2964076814133</v>
      </c>
      <c r="O2454" s="8">
        <f t="shared" ref="O2454:Q2454" si="304">SUM(O2455:O2458)</f>
        <v>2624.6096850936592</v>
      </c>
      <c r="P2454" s="8">
        <f t="shared" si="304"/>
        <v>1957.3183367747542</v>
      </c>
      <c r="Q2454" s="8">
        <f t="shared" si="304"/>
        <v>1940.1226181482784</v>
      </c>
    </row>
    <row r="2455" spans="1:18" x14ac:dyDescent="0.3">
      <c r="A2455" s="23" t="s">
        <v>120</v>
      </c>
      <c r="N2455" s="7">
        <f>N2449*N2437</f>
        <v>1531.6024687549202</v>
      </c>
      <c r="O2455" s="7">
        <f t="shared" ref="O2455:P2455" si="305">O2449*O2437</f>
        <v>661.37379332598812</v>
      </c>
      <c r="P2455" s="7">
        <f t="shared" si="305"/>
        <v>0</v>
      </c>
    </row>
    <row r="2456" spans="1:18" x14ac:dyDescent="0.3">
      <c r="A2456" s="24" t="s">
        <v>122</v>
      </c>
      <c r="N2456" s="7">
        <f>N2450*N2438</f>
        <v>1879.6939389264933</v>
      </c>
      <c r="O2456" s="7">
        <f t="shared" ref="O2456:P2456" si="306">O2450*O2438</f>
        <v>459.48074062647606</v>
      </c>
      <c r="P2456" s="7">
        <f t="shared" si="306"/>
        <v>85.97859313237845</v>
      </c>
      <c r="Q2456" s="7">
        <f>Q2450*Q2438</f>
        <v>0</v>
      </c>
    </row>
    <row r="2457" spans="1:18" x14ac:dyDescent="0.3">
      <c r="A2457" s="23" t="s">
        <v>121</v>
      </c>
      <c r="O2457" s="7">
        <f>O2451*O2439</f>
        <v>1503.7551511411948</v>
      </c>
      <c r="P2457" s="7">
        <f>P2451*P2439</f>
        <v>367.58459250118085</v>
      </c>
      <c r="Q2457" s="7">
        <f>Q2451*Q2439</f>
        <v>68.782874505902768</v>
      </c>
    </row>
    <row r="2458" spans="1:18" x14ac:dyDescent="0.3">
      <c r="A2458" s="23" t="s">
        <v>299</v>
      </c>
      <c r="P2458" s="8">
        <f>O2457</f>
        <v>1503.7551511411948</v>
      </c>
      <c r="Q2458" s="8">
        <f>P2458+P2457</f>
        <v>1871.3397436423757</v>
      </c>
      <c r="R2458" s="8">
        <f>Q2458+Q2457</f>
        <v>1940.1226181482784</v>
      </c>
    </row>
    <row r="2459" spans="1:18" x14ac:dyDescent="0.3">
      <c r="A2459" s="23"/>
    </row>
    <row r="2460" spans="1:18" x14ac:dyDescent="0.3">
      <c r="A2460" s="105" t="s">
        <v>300</v>
      </c>
      <c r="N2460" s="8">
        <f>R2458</f>
        <v>1940.1226181482784</v>
      </c>
    </row>
    <row r="2461" spans="1:18" x14ac:dyDescent="0.3">
      <c r="A2461" s="23"/>
    </row>
    <row r="2462" spans="1:18" x14ac:dyDescent="0.3">
      <c r="A2462" s="11" t="s">
        <v>140</v>
      </c>
      <c r="N2462" s="8">
        <f>SUM(N2464:N2467)</f>
        <v>765.80123437746033</v>
      </c>
      <c r="O2462" s="8">
        <f>SUM(O2464:O2467)</f>
        <v>786.68672258775462</v>
      </c>
      <c r="P2462" s="8">
        <f t="shared" ref="P2462:Q2462" si="307">SUM(P2464:P2467)</f>
        <v>667.29134831890508</v>
      </c>
      <c r="Q2462" s="8">
        <f t="shared" si="307"/>
        <v>17.195718626475692</v>
      </c>
    </row>
    <row r="2463" spans="1:18" x14ac:dyDescent="0.3">
      <c r="A2463" s="11"/>
      <c r="N2463" s="8"/>
      <c r="O2463" s="8"/>
      <c r="P2463" s="8"/>
      <c r="Q2463" s="8"/>
    </row>
    <row r="2464" spans="1:18" x14ac:dyDescent="0.3">
      <c r="A2464" t="s">
        <v>131</v>
      </c>
      <c r="C2464" s="23" t="s">
        <v>120</v>
      </c>
      <c r="N2464" s="6">
        <f>N2473*N2417</f>
        <v>0</v>
      </c>
    </row>
    <row r="2465" spans="1:30" x14ac:dyDescent="0.3">
      <c r="C2465" s="23"/>
      <c r="N2465" s="6"/>
    </row>
    <row r="2466" spans="1:30" x14ac:dyDescent="0.3">
      <c r="A2466" t="s">
        <v>200</v>
      </c>
      <c r="C2466" s="23" t="s">
        <v>120</v>
      </c>
      <c r="N2466" s="6">
        <f>N2475*N2417</f>
        <v>765.80123437746033</v>
      </c>
      <c r="O2466" s="27">
        <f>O2445*O2417</f>
        <v>536.06086406422219</v>
      </c>
      <c r="P2466" s="27">
        <f t="shared" ref="P2466:Q2466" si="308">P2445*P2417</f>
        <v>575.39520019360987</v>
      </c>
      <c r="Q2466" s="27">
        <f t="shared" si="308"/>
        <v>0</v>
      </c>
      <c r="R2466" s="27"/>
    </row>
    <row r="2467" spans="1:30" x14ac:dyDescent="0.3">
      <c r="A2467" t="s">
        <v>200</v>
      </c>
      <c r="C2467" s="24" t="s">
        <v>122</v>
      </c>
      <c r="N2467" s="6"/>
      <c r="O2467" s="27">
        <f>O2446*(N2417+O2417)</f>
        <v>250.6258585235324</v>
      </c>
      <c r="P2467" s="27">
        <f t="shared" ref="P2467" si="309">P2446*(O2417+P2417)</f>
        <v>91.896148125295213</v>
      </c>
      <c r="Q2467" s="27">
        <f t="shared" ref="Q2467" si="310">Q2446*(P2417+Q2417)</f>
        <v>17.195718626475692</v>
      </c>
      <c r="R2467" s="27"/>
    </row>
    <row r="2469" spans="1:30" x14ac:dyDescent="0.3">
      <c r="A2469" s="11" t="s">
        <v>283</v>
      </c>
      <c r="N2469" s="8">
        <f>SUM(N2466:Q2467)</f>
        <v>2236.9750239105956</v>
      </c>
    </row>
    <row r="2471" spans="1:30" x14ac:dyDescent="0.3">
      <c r="A2471" t="s">
        <v>202</v>
      </c>
      <c r="N2471" s="28">
        <f>N2473*(O2417+P2417)</f>
        <v>0</v>
      </c>
    </row>
    <row r="2473" spans="1:30" x14ac:dyDescent="0.3">
      <c r="A2473" s="72" t="s">
        <v>132</v>
      </c>
      <c r="N2473" s="73">
        <f>N2437*N2419</f>
        <v>0</v>
      </c>
    </row>
    <row r="2475" spans="1:30" x14ac:dyDescent="0.3">
      <c r="A2475" t="s">
        <v>201</v>
      </c>
      <c r="N2475" s="7">
        <f>N2437*N2420</f>
        <v>9.5571994050307048</v>
      </c>
    </row>
    <row r="2478" spans="1:30" x14ac:dyDescent="0.3">
      <c r="A2478" s="160" t="s">
        <v>292</v>
      </c>
      <c r="B2478" s="161"/>
      <c r="C2478" s="161"/>
      <c r="D2478" s="161"/>
      <c r="E2478" s="161"/>
      <c r="F2478" s="161"/>
      <c r="G2478" s="161"/>
      <c r="H2478" s="161"/>
      <c r="I2478" s="161"/>
      <c r="J2478" s="161"/>
      <c r="K2478" s="161"/>
      <c r="L2478" s="161"/>
      <c r="M2478" s="161"/>
      <c r="N2478" s="161"/>
      <c r="O2478" s="161"/>
      <c r="P2478" s="161"/>
      <c r="Q2478" s="161"/>
      <c r="R2478" s="161"/>
      <c r="S2478" s="161"/>
      <c r="T2478" s="161"/>
      <c r="U2478" s="161"/>
      <c r="V2478" s="161"/>
      <c r="W2478" s="161"/>
      <c r="X2478" s="161"/>
      <c r="Y2478" s="161"/>
      <c r="Z2478" s="161"/>
      <c r="AA2478" s="161"/>
      <c r="AB2478" s="161"/>
      <c r="AC2478" s="161"/>
      <c r="AD2478" s="162"/>
    </row>
    <row r="2480" spans="1:30" x14ac:dyDescent="0.3">
      <c r="A2480" t="s">
        <v>197</v>
      </c>
      <c r="N2480" s="83">
        <f>K1162</f>
        <v>124.55809665649662</v>
      </c>
    </row>
    <row r="2481" spans="1:18" x14ac:dyDescent="0.3">
      <c r="A2481" t="s">
        <v>206</v>
      </c>
      <c r="N2481" s="7">
        <f>N2483*N2480</f>
        <v>17.376726190964916</v>
      </c>
      <c r="Q2481" s="77"/>
    </row>
    <row r="2482" spans="1:18" x14ac:dyDescent="0.3">
      <c r="N2482" s="7"/>
      <c r="Q2482" s="77"/>
    </row>
    <row r="2483" spans="1:18" x14ac:dyDescent="0.3">
      <c r="A2483" s="11" t="s">
        <v>134</v>
      </c>
      <c r="B2483" s="11"/>
      <c r="C2483" s="11"/>
      <c r="N2483" s="98">
        <f>N2484*N2485*N2486*N2487</f>
        <v>0.13950699839999997</v>
      </c>
      <c r="O2483" s="7">
        <f>O2484*O2485*O2486*O2487</f>
        <v>0</v>
      </c>
      <c r="P2483" s="11"/>
      <c r="R2483" s="11"/>
    </row>
    <row r="2484" spans="1:18" x14ac:dyDescent="0.3">
      <c r="A2484" t="s">
        <v>35</v>
      </c>
      <c r="N2484" s="97">
        <f>N1201</f>
        <v>0.15135999999999999</v>
      </c>
    </row>
    <row r="2485" spans="1:18" x14ac:dyDescent="0.3">
      <c r="A2485" t="s">
        <v>36</v>
      </c>
      <c r="N2485" s="86">
        <f>0.95</f>
        <v>0.95</v>
      </c>
    </row>
    <row r="2486" spans="1:18" x14ac:dyDescent="0.3">
      <c r="A2486" t="s">
        <v>142</v>
      </c>
      <c r="N2486" s="86">
        <v>0.99</v>
      </c>
    </row>
    <row r="2487" spans="1:18" x14ac:dyDescent="0.3">
      <c r="A2487" t="s">
        <v>37</v>
      </c>
      <c r="N2487" s="86">
        <v>0.98</v>
      </c>
    </row>
    <row r="2490" spans="1:18" x14ac:dyDescent="0.3">
      <c r="A2490" t="s">
        <v>125</v>
      </c>
      <c r="N2490" s="83">
        <f>$B$34</f>
        <v>160.25641025641025</v>
      </c>
    </row>
    <row r="2491" spans="1:18" x14ac:dyDescent="0.3">
      <c r="A2491" s="100" t="s">
        <v>135</v>
      </c>
      <c r="N2491" s="101">
        <f>N2490</f>
        <v>160.25641025641025</v>
      </c>
    </row>
    <row r="2493" spans="1:18" x14ac:dyDescent="0.3">
      <c r="A2493" t="s">
        <v>126</v>
      </c>
      <c r="N2493" s="88">
        <f>$D$43</f>
        <v>0.5</v>
      </c>
    </row>
    <row r="2494" spans="1:18" x14ac:dyDescent="0.3">
      <c r="A2494" t="s">
        <v>117</v>
      </c>
      <c r="N2494" s="7">
        <f>N2493*N2490</f>
        <v>80.128205128205124</v>
      </c>
    </row>
    <row r="2496" spans="1:18" x14ac:dyDescent="0.3">
      <c r="A2496" t="s">
        <v>118</v>
      </c>
      <c r="N2496" s="7">
        <f>N2491</f>
        <v>160.25641025641025</v>
      </c>
    </row>
    <row r="2497" spans="1:17" x14ac:dyDescent="0.3">
      <c r="A2497" t="s">
        <v>106</v>
      </c>
      <c r="N2497" s="7">
        <f>N2490*(1+N2493)</f>
        <v>240.38461538461536</v>
      </c>
    </row>
    <row r="2498" spans="1:17" x14ac:dyDescent="0.3">
      <c r="N2498" s="7"/>
    </row>
    <row r="2499" spans="1:17" x14ac:dyDescent="0.3">
      <c r="A2499" t="s">
        <v>136</v>
      </c>
      <c r="N2499" s="7">
        <f>N2496*N2481</f>
        <v>2784.7317613725827</v>
      </c>
    </row>
    <row r="2500" spans="1:17" x14ac:dyDescent="0.3">
      <c r="A2500" t="s">
        <v>119</v>
      </c>
      <c r="N2500" s="7">
        <f>N2497*N2481</f>
        <v>4177.097642058874</v>
      </c>
    </row>
    <row r="2501" spans="1:17" x14ac:dyDescent="0.3">
      <c r="N2501" s="7"/>
    </row>
    <row r="2502" spans="1:17" x14ac:dyDescent="0.3">
      <c r="A2502" t="s">
        <v>302</v>
      </c>
      <c r="N2502" s="6">
        <f>N2494*N2481</f>
        <v>1392.3658806862913</v>
      </c>
    </row>
    <row r="2503" spans="1:17" x14ac:dyDescent="0.3">
      <c r="N2503" s="7"/>
    </row>
    <row r="2504" spans="1:17" x14ac:dyDescent="0.3">
      <c r="A2504" t="s">
        <v>127</v>
      </c>
      <c r="N2504" s="7">
        <f>N2497/3</f>
        <v>80.128205128205124</v>
      </c>
      <c r="O2504" s="7">
        <f>N2497/3</f>
        <v>80.128205128205124</v>
      </c>
      <c r="P2504" s="7">
        <f>N2497/3</f>
        <v>80.128205128205124</v>
      </c>
    </row>
    <row r="2506" spans="1:17" s="103" customFormat="1" x14ac:dyDescent="0.3">
      <c r="A2506" s="103" t="s">
        <v>128</v>
      </c>
      <c r="N2506" s="79">
        <f>Summary!$D$31</f>
        <v>0</v>
      </c>
    </row>
    <row r="2507" spans="1:17" s="103" customFormat="1" x14ac:dyDescent="0.3">
      <c r="A2507" s="103" t="s">
        <v>129</v>
      </c>
      <c r="N2507" s="79">
        <f>1-N2506</f>
        <v>1</v>
      </c>
    </row>
    <row r="2509" spans="1:17" x14ac:dyDescent="0.3">
      <c r="A2509" s="71" t="s">
        <v>16</v>
      </c>
    </row>
    <row r="2510" spans="1:17" x14ac:dyDescent="0.3">
      <c r="A2510" t="s">
        <v>17</v>
      </c>
      <c r="M2510" s="74">
        <f>Summary!$C$66</f>
        <v>0.45</v>
      </c>
      <c r="N2510" s="74">
        <f>Summary!$C$67</f>
        <v>0.3</v>
      </c>
      <c r="O2510" s="74">
        <f>Summary!$C$68</f>
        <v>0.13</v>
      </c>
      <c r="P2510" s="75"/>
      <c r="Q2510" s="75"/>
    </row>
    <row r="2511" spans="1:17" x14ac:dyDescent="0.3">
      <c r="A2511" t="s">
        <v>18</v>
      </c>
      <c r="C2511" s="75"/>
      <c r="N2511" s="74">
        <f>Summary!$C$69</f>
        <v>0.8</v>
      </c>
      <c r="O2511" s="76">
        <f>N2511</f>
        <v>0.8</v>
      </c>
      <c r="P2511" s="76">
        <f>O2511</f>
        <v>0.8</v>
      </c>
      <c r="Q2511" s="75"/>
    </row>
    <row r="2512" spans="1:17" x14ac:dyDescent="0.3">
      <c r="A2512" t="s">
        <v>19</v>
      </c>
      <c r="C2512" s="75"/>
      <c r="N2512" s="75"/>
      <c r="O2512" s="74">
        <f>Summary!$C$70</f>
        <v>1</v>
      </c>
      <c r="P2512" s="74">
        <f>O2512</f>
        <v>1</v>
      </c>
      <c r="Q2512" s="74">
        <f>P2512</f>
        <v>1</v>
      </c>
    </row>
    <row r="2513" spans="1:18" x14ac:dyDescent="0.3">
      <c r="A2513" t="s">
        <v>20</v>
      </c>
      <c r="Q2513" s="21"/>
    </row>
    <row r="2514" spans="1:18" x14ac:dyDescent="0.3">
      <c r="Q2514" s="21"/>
    </row>
    <row r="2515" spans="1:18" x14ac:dyDescent="0.3">
      <c r="A2515" s="11" t="s">
        <v>196</v>
      </c>
      <c r="N2515" s="90">
        <f>SUM(N2516:N2519)</f>
        <v>1</v>
      </c>
      <c r="O2515" s="90">
        <f t="shared" ref="O2515:Q2515" si="311">SUM(O2516:O2519)</f>
        <v>1</v>
      </c>
      <c r="P2515" s="90">
        <f t="shared" si="311"/>
        <v>0.55375000000000008</v>
      </c>
      <c r="Q2515" s="90">
        <f t="shared" si="311"/>
        <v>0.5414000000000001</v>
      </c>
    </row>
    <row r="2516" spans="1:18" x14ac:dyDescent="0.3">
      <c r="A2516" t="s">
        <v>17</v>
      </c>
      <c r="N2516" s="22">
        <f>(1-M2510)*N2507</f>
        <v>0.55000000000000004</v>
      </c>
      <c r="O2516" s="22">
        <f>N2516*(1-N2510)+N2517*(1-N2511)</f>
        <v>0.47499999999999998</v>
      </c>
    </row>
    <row r="2517" spans="1:18" x14ac:dyDescent="0.3">
      <c r="A2517" t="s">
        <v>18</v>
      </c>
      <c r="N2517" s="22">
        <f>M2510</f>
        <v>0.45</v>
      </c>
      <c r="O2517" s="22">
        <f>N2516*N2510</f>
        <v>0.16500000000000001</v>
      </c>
      <c r="P2517" s="22">
        <f>O2516*O2510</f>
        <v>6.1749999999999999E-2</v>
      </c>
      <c r="R2517" s="22"/>
    </row>
    <row r="2518" spans="1:18" x14ac:dyDescent="0.3">
      <c r="A2518" t="s">
        <v>19</v>
      </c>
      <c r="O2518" s="22">
        <f>N2517*N2511</f>
        <v>0.36000000000000004</v>
      </c>
      <c r="P2518" s="22">
        <f>O2517*O2511+O2518</f>
        <v>0.49200000000000005</v>
      </c>
      <c r="Q2518" s="22">
        <f>P2517*P2511+P2518</f>
        <v>0.5414000000000001</v>
      </c>
    </row>
    <row r="2519" spans="1:18" x14ac:dyDescent="0.3">
      <c r="O2519" s="22"/>
      <c r="P2519" s="22"/>
    </row>
    <row r="2520" spans="1:18" x14ac:dyDescent="0.3">
      <c r="A2520" t="s">
        <v>195</v>
      </c>
      <c r="N2520" s="22">
        <f>(1-M2510)*N2506</f>
        <v>0</v>
      </c>
      <c r="P2520" s="29">
        <f>O2516*(1-O2510)+O2517*(1-O2511)+O2518*(1-O2512)</f>
        <v>0.44624999999999998</v>
      </c>
      <c r="Q2520" s="29">
        <f>P2517*(1-P2511)+P2520</f>
        <v>0.45859999999999995</v>
      </c>
      <c r="R2520" s="22"/>
    </row>
    <row r="2521" spans="1:18" x14ac:dyDescent="0.3">
      <c r="N2521" s="22"/>
      <c r="P2521" s="29"/>
      <c r="Q2521" s="29"/>
      <c r="R2521" s="22"/>
    </row>
    <row r="2522" spans="1:18" x14ac:dyDescent="0.3">
      <c r="N2522" s="25"/>
    </row>
    <row r="2523" spans="1:18" x14ac:dyDescent="0.3">
      <c r="A2523" s="11" t="s">
        <v>124</v>
      </c>
      <c r="N2523" s="8">
        <f>SUM(N2524:N2527)</f>
        <v>17.376726190964916</v>
      </c>
      <c r="O2523" s="8">
        <f t="shared" ref="O2523:P2523" si="312">SUM(O2524:O2527)</f>
        <v>17.376726190964916</v>
      </c>
      <c r="P2523" s="8">
        <f t="shared" si="312"/>
        <v>9.6223621282468237</v>
      </c>
    </row>
    <row r="2524" spans="1:18" x14ac:dyDescent="0.3">
      <c r="A2524" s="23" t="s">
        <v>120</v>
      </c>
      <c r="N2524" s="7">
        <f>N2481*(1-M2510)</f>
        <v>9.5571994050307048</v>
      </c>
      <c r="O2524" s="82">
        <f>N2562*(1-N2510)+N2525*(1-N2511)</f>
        <v>8.253944940708335</v>
      </c>
    </row>
    <row r="2525" spans="1:18" x14ac:dyDescent="0.3">
      <c r="A2525" s="24" t="s">
        <v>122</v>
      </c>
      <c r="N2525" s="7">
        <f>N2481*M2510</f>
        <v>7.8195267859342126</v>
      </c>
      <c r="O2525" s="7">
        <f>N2562*N2510</f>
        <v>2.8671598215092113</v>
      </c>
      <c r="P2525" s="7">
        <f>O2524*O2510</f>
        <v>1.0730128422920835</v>
      </c>
      <c r="Q2525" s="7">
        <f>P2524*P2510</f>
        <v>0</v>
      </c>
    </row>
    <row r="2526" spans="1:18" x14ac:dyDescent="0.3">
      <c r="A2526" s="23" t="s">
        <v>121</v>
      </c>
      <c r="O2526" s="7">
        <f>N2525*N2511</f>
        <v>6.2556214287473706</v>
      </c>
      <c r="P2526" s="7">
        <f>O2525*O2511</f>
        <v>2.2937278572073692</v>
      </c>
      <c r="Q2526" s="7">
        <f>P2525*P2511</f>
        <v>0.85841027383366686</v>
      </c>
    </row>
    <row r="2527" spans="1:18" x14ac:dyDescent="0.3">
      <c r="A2527" s="23" t="s">
        <v>138</v>
      </c>
      <c r="O2527" s="7"/>
      <c r="P2527" s="7">
        <f>O2526*O2512</f>
        <v>6.2556214287473706</v>
      </c>
      <c r="Q2527" s="7">
        <f>P2526*P2512+P2527</f>
        <v>8.5493492859547402</v>
      </c>
      <c r="R2527" s="7">
        <f>Q2526*Q2512+Q2527</f>
        <v>9.4077595597884063</v>
      </c>
    </row>
    <row r="2528" spans="1:18" x14ac:dyDescent="0.3">
      <c r="A2528" s="23"/>
      <c r="O2528" s="7"/>
    </row>
    <row r="2529" spans="1:18" x14ac:dyDescent="0.3">
      <c r="A2529" s="23" t="s">
        <v>137</v>
      </c>
      <c r="O2529" s="7"/>
      <c r="P2529" s="7">
        <f>O2524*(1-O2510)+O2525*(1-O2511)+O2526*(1-O2512)</f>
        <v>7.7543640627180936</v>
      </c>
      <c r="Q2529" s="7">
        <f>P2525*(1-P2511)+P2529</f>
        <v>7.9689666311765102</v>
      </c>
      <c r="R2529" s="7">
        <f>Q2526*(1-Q2512)+Q2529</f>
        <v>7.9689666311765102</v>
      </c>
    </row>
    <row r="2530" spans="1:18" x14ac:dyDescent="0.3">
      <c r="A2530" s="23"/>
      <c r="O2530" s="7"/>
    </row>
    <row r="2531" spans="1:18" x14ac:dyDescent="0.3">
      <c r="A2531" s="11" t="s">
        <v>139</v>
      </c>
      <c r="N2531" s="8">
        <f>SUM(N2532:N2533)</f>
        <v>9.5571994050307048</v>
      </c>
      <c r="O2531" s="8">
        <f>SUM(O2532:O2533)</f>
        <v>8.253944940708335</v>
      </c>
      <c r="P2531" s="8">
        <f>SUM(P2532:P2533)</f>
        <v>7.7543640627180936</v>
      </c>
      <c r="Q2531" s="8">
        <f>SUM(Q2532:Q2533)</f>
        <v>0.21460256845841666</v>
      </c>
    </row>
    <row r="2532" spans="1:18" x14ac:dyDescent="0.3">
      <c r="A2532" s="23" t="s">
        <v>120</v>
      </c>
      <c r="N2532" s="7">
        <f>N2524</f>
        <v>9.5571994050307048</v>
      </c>
      <c r="O2532" s="7">
        <f>N2562*(1-N2510)</f>
        <v>6.690039583521493</v>
      </c>
      <c r="P2532" s="7">
        <f>O2524*(1-O2510)</f>
        <v>7.1809320984162515</v>
      </c>
    </row>
    <row r="2533" spans="1:18" x14ac:dyDescent="0.3">
      <c r="A2533" s="24" t="s">
        <v>122</v>
      </c>
      <c r="O2533" s="7">
        <f>N2525*(1-N2511)</f>
        <v>1.5639053571868422</v>
      </c>
      <c r="P2533" s="7">
        <f>O2525*(1-O2511)</f>
        <v>0.57343196430184218</v>
      </c>
      <c r="Q2533" s="7">
        <f>P2525*(1-P2511)</f>
        <v>0.21460256845841666</v>
      </c>
    </row>
    <row r="2534" spans="1:18" x14ac:dyDescent="0.3">
      <c r="A2534" s="23"/>
      <c r="O2534" s="7"/>
      <c r="P2534" s="7">
        <f>O2526*(1-O2512)</f>
        <v>0</v>
      </c>
      <c r="Q2534" s="7">
        <f>P2526*(1-P2512)</f>
        <v>0</v>
      </c>
    </row>
    <row r="2535" spans="1:18" x14ac:dyDescent="0.3">
      <c r="A2535" s="81" t="s">
        <v>123</v>
      </c>
    </row>
    <row r="2536" spans="1:18" x14ac:dyDescent="0.3">
      <c r="A2536" s="23" t="s">
        <v>120</v>
      </c>
      <c r="N2536" s="7">
        <f>N2497-N2504</f>
        <v>160.25641025641022</v>
      </c>
      <c r="O2536" s="7">
        <f>N2536-O2504</f>
        <v>80.128205128205096</v>
      </c>
      <c r="P2536" s="7">
        <f>O2536-P2504</f>
        <v>0</v>
      </c>
    </row>
    <row r="2537" spans="1:18" x14ac:dyDescent="0.3">
      <c r="A2537" s="24" t="s">
        <v>122</v>
      </c>
      <c r="N2537" s="7">
        <f>N2497</f>
        <v>240.38461538461536</v>
      </c>
      <c r="O2537" s="7">
        <f>N2536</f>
        <v>160.25641025641022</v>
      </c>
      <c r="P2537" s="7">
        <f>O2536</f>
        <v>80.128205128205096</v>
      </c>
    </row>
    <row r="2538" spans="1:18" x14ac:dyDescent="0.3">
      <c r="A2538" s="23" t="s">
        <v>121</v>
      </c>
      <c r="O2538" s="7">
        <f>N2537</f>
        <v>240.38461538461536</v>
      </c>
      <c r="P2538" s="7">
        <f>O2537</f>
        <v>160.25641025641022</v>
      </c>
      <c r="Q2538" s="7">
        <f>P2537</f>
        <v>80.128205128205096</v>
      </c>
    </row>
    <row r="2539" spans="1:18" x14ac:dyDescent="0.3">
      <c r="A2539" s="23"/>
      <c r="P2539" s="7"/>
      <c r="Q2539" s="7"/>
    </row>
    <row r="2540" spans="1:18" x14ac:dyDescent="0.3">
      <c r="A2540" s="23"/>
      <c r="P2540" s="7"/>
      <c r="Q2540" s="7"/>
    </row>
    <row r="2541" spans="1:18" x14ac:dyDescent="0.3">
      <c r="A2541" s="11" t="s">
        <v>130</v>
      </c>
      <c r="N2541" s="8">
        <f>SUM(N2542:N2545)</f>
        <v>3411.2964076814133</v>
      </c>
      <c r="O2541" s="8">
        <f t="shared" ref="O2541:Q2541" si="313">SUM(O2542:O2545)</f>
        <v>2624.6096850936592</v>
      </c>
      <c r="P2541" s="8">
        <f t="shared" si="313"/>
        <v>1957.3183367747542</v>
      </c>
      <c r="Q2541" s="8">
        <f t="shared" si="313"/>
        <v>1940.1226181482784</v>
      </c>
    </row>
    <row r="2542" spans="1:18" x14ac:dyDescent="0.3">
      <c r="A2542" s="23" t="s">
        <v>120</v>
      </c>
      <c r="N2542" s="7">
        <f>N2536*N2524</f>
        <v>1531.6024687549202</v>
      </c>
      <c r="O2542" s="7">
        <f t="shared" ref="O2542:P2542" si="314">O2536*O2524</f>
        <v>661.37379332598812</v>
      </c>
      <c r="P2542" s="7">
        <f t="shared" si="314"/>
        <v>0</v>
      </c>
    </row>
    <row r="2543" spans="1:18" x14ac:dyDescent="0.3">
      <c r="A2543" s="24" t="s">
        <v>122</v>
      </c>
      <c r="N2543" s="7">
        <f>N2537*N2525</f>
        <v>1879.6939389264933</v>
      </c>
      <c r="O2543" s="7">
        <f t="shared" ref="O2543:P2543" si="315">O2537*O2525</f>
        <v>459.48074062647606</v>
      </c>
      <c r="P2543" s="7">
        <f t="shared" si="315"/>
        <v>85.97859313237845</v>
      </c>
      <c r="Q2543" s="7">
        <f>Q2537*Q2525</f>
        <v>0</v>
      </c>
    </row>
    <row r="2544" spans="1:18" x14ac:dyDescent="0.3">
      <c r="A2544" s="23" t="s">
        <v>121</v>
      </c>
      <c r="O2544" s="7">
        <f>O2538*O2526</f>
        <v>1503.7551511411948</v>
      </c>
      <c r="P2544" s="7">
        <f>P2538*P2526</f>
        <v>367.58459250118085</v>
      </c>
      <c r="Q2544" s="7">
        <f>Q2538*Q2526</f>
        <v>68.782874505902768</v>
      </c>
    </row>
    <row r="2545" spans="1:18" x14ac:dyDescent="0.3">
      <c r="A2545" s="23" t="s">
        <v>299</v>
      </c>
      <c r="P2545" s="8">
        <f>O2544</f>
        <v>1503.7551511411948</v>
      </c>
      <c r="Q2545" s="8">
        <f>P2545+P2544</f>
        <v>1871.3397436423757</v>
      </c>
      <c r="R2545" s="8">
        <f>Q2545+Q2544</f>
        <v>1940.1226181482784</v>
      </c>
    </row>
    <row r="2546" spans="1:18" x14ac:dyDescent="0.3">
      <c r="A2546" s="23"/>
    </row>
    <row r="2547" spans="1:18" x14ac:dyDescent="0.3">
      <c r="A2547" s="105" t="s">
        <v>300</v>
      </c>
      <c r="N2547" s="8">
        <f>R2545</f>
        <v>1940.1226181482784</v>
      </c>
    </row>
    <row r="2548" spans="1:18" x14ac:dyDescent="0.3">
      <c r="A2548" s="23"/>
    </row>
    <row r="2549" spans="1:18" x14ac:dyDescent="0.3">
      <c r="A2549" s="11" t="s">
        <v>140</v>
      </c>
      <c r="N2549" s="8">
        <f>SUM(N2551:N2554)</f>
        <v>765.80123437746033</v>
      </c>
      <c r="O2549" s="8">
        <f>SUM(O2551:O2554)</f>
        <v>786.68672258775462</v>
      </c>
      <c r="P2549" s="8">
        <f t="shared" ref="P2549:Q2549" si="316">SUM(P2551:P2554)</f>
        <v>667.29134831890508</v>
      </c>
      <c r="Q2549" s="8">
        <f t="shared" si="316"/>
        <v>17.195718626475692</v>
      </c>
    </row>
    <row r="2550" spans="1:18" x14ac:dyDescent="0.3">
      <c r="A2550" s="11"/>
      <c r="N2550" s="8"/>
      <c r="O2550" s="8"/>
      <c r="P2550" s="8"/>
      <c r="Q2550" s="8"/>
    </row>
    <row r="2551" spans="1:18" x14ac:dyDescent="0.3">
      <c r="A2551" t="s">
        <v>131</v>
      </c>
      <c r="C2551" s="23" t="s">
        <v>120</v>
      </c>
      <c r="N2551" s="6">
        <f>N2560*N2504</f>
        <v>0</v>
      </c>
    </row>
    <row r="2552" spans="1:18" x14ac:dyDescent="0.3">
      <c r="C2552" s="23"/>
      <c r="N2552" s="6"/>
    </row>
    <row r="2553" spans="1:18" x14ac:dyDescent="0.3">
      <c r="A2553" t="s">
        <v>200</v>
      </c>
      <c r="C2553" s="23" t="s">
        <v>120</v>
      </c>
      <c r="N2553" s="6">
        <f>N2562*N2504</f>
        <v>765.80123437746033</v>
      </c>
      <c r="O2553" s="27">
        <f>O2532*O2504</f>
        <v>536.06086406422219</v>
      </c>
      <c r="P2553" s="27">
        <f t="shared" ref="P2553:Q2553" si="317">P2532*P2504</f>
        <v>575.39520019360987</v>
      </c>
      <c r="Q2553" s="27">
        <f t="shared" si="317"/>
        <v>0</v>
      </c>
      <c r="R2553" s="27"/>
    </row>
    <row r="2554" spans="1:18" x14ac:dyDescent="0.3">
      <c r="A2554" t="s">
        <v>200</v>
      </c>
      <c r="C2554" s="24" t="s">
        <v>122</v>
      </c>
      <c r="N2554" s="6"/>
      <c r="O2554" s="27">
        <f>O2533*(N2504+O2504)</f>
        <v>250.6258585235324</v>
      </c>
      <c r="P2554" s="27">
        <f t="shared" ref="P2554" si="318">P2533*(O2504+P2504)</f>
        <v>91.896148125295213</v>
      </c>
      <c r="Q2554" s="27">
        <f t="shared" ref="Q2554" si="319">Q2533*(P2504+Q2504)</f>
        <v>17.195718626475692</v>
      </c>
      <c r="R2554" s="27"/>
    </row>
    <row r="2556" spans="1:18" x14ac:dyDescent="0.3">
      <c r="A2556" s="11" t="s">
        <v>283</v>
      </c>
      <c r="N2556" s="8">
        <f>SUM(N2553:Q2554)</f>
        <v>2236.9750239105956</v>
      </c>
    </row>
    <row r="2558" spans="1:18" x14ac:dyDescent="0.3">
      <c r="A2558" t="s">
        <v>202</v>
      </c>
      <c r="N2558" s="28">
        <f>N2560*(O2504+P2504)</f>
        <v>0</v>
      </c>
    </row>
    <row r="2560" spans="1:18" x14ac:dyDescent="0.3">
      <c r="A2560" s="72" t="s">
        <v>132</v>
      </c>
      <c r="N2560" s="73">
        <f>N2524*N2506</f>
        <v>0</v>
      </c>
    </row>
    <row r="2562" spans="1:42" x14ac:dyDescent="0.3">
      <c r="A2562" t="s">
        <v>201</v>
      </c>
      <c r="N2562" s="7">
        <f>N2524*N2507</f>
        <v>9.5571994050307048</v>
      </c>
    </row>
    <row r="2565" spans="1:42" x14ac:dyDescent="0.3">
      <c r="A2565" s="152" t="s">
        <v>294</v>
      </c>
      <c r="B2565" s="153"/>
      <c r="C2565" s="153"/>
      <c r="D2565" s="153"/>
      <c r="E2565" s="153"/>
      <c r="F2565" s="153"/>
      <c r="G2565" s="153"/>
      <c r="H2565" s="153"/>
      <c r="I2565" s="153"/>
      <c r="J2565" s="153"/>
      <c r="K2565" s="153"/>
      <c r="L2565" s="153"/>
      <c r="M2565" s="153"/>
      <c r="N2565" s="153"/>
      <c r="O2565" s="153"/>
      <c r="P2565" s="153"/>
      <c r="Q2565" s="153"/>
      <c r="R2565" s="153"/>
      <c r="S2565" s="153"/>
      <c r="T2565" s="153"/>
      <c r="U2565" s="154"/>
      <c r="V2565" s="152"/>
      <c r="W2565" s="153"/>
      <c r="X2565" s="153"/>
      <c r="Y2565" s="153"/>
      <c r="Z2565" s="153"/>
      <c r="AA2565" s="153"/>
      <c r="AB2565" s="153"/>
      <c r="AC2565" s="153"/>
      <c r="AD2565" s="153"/>
      <c r="AE2565" s="153"/>
      <c r="AF2565" s="153"/>
      <c r="AG2565" s="153"/>
      <c r="AH2565" s="153"/>
      <c r="AI2565" s="153"/>
      <c r="AJ2565" s="153"/>
      <c r="AK2565" s="153"/>
      <c r="AL2565" s="153"/>
      <c r="AM2565" s="153"/>
      <c r="AN2565" s="153"/>
      <c r="AO2565" s="153"/>
      <c r="AP2565" s="154"/>
    </row>
    <row r="2567" spans="1:42" x14ac:dyDescent="0.3">
      <c r="A2567" t="s">
        <v>197</v>
      </c>
      <c r="N2567" s="83">
        <f>M1328</f>
        <v>17.376726190964913</v>
      </c>
    </row>
    <row r="2568" spans="1:42" x14ac:dyDescent="0.3">
      <c r="A2568" t="s">
        <v>206</v>
      </c>
      <c r="N2568" s="7">
        <f>N2570*N2567</f>
        <v>17.376726190964913</v>
      </c>
      <c r="Q2568" s="77"/>
    </row>
    <row r="2569" spans="1:42" x14ac:dyDescent="0.3">
      <c r="N2569" s="7"/>
      <c r="Q2569" s="77"/>
    </row>
    <row r="2570" spans="1:42" x14ac:dyDescent="0.3">
      <c r="A2570" s="11" t="s">
        <v>134</v>
      </c>
      <c r="B2570" s="11"/>
      <c r="C2570" s="11"/>
      <c r="N2570" s="104">
        <f>$E$120</f>
        <v>1</v>
      </c>
      <c r="O2570" s="7">
        <f>O2571*O2572*O2573*O2574</f>
        <v>0</v>
      </c>
      <c r="P2570" s="11"/>
      <c r="R2570" s="11"/>
    </row>
    <row r="2571" spans="1:42" x14ac:dyDescent="0.3">
      <c r="A2571" t="s">
        <v>35</v>
      </c>
      <c r="N2571" s="89">
        <v>0</v>
      </c>
    </row>
    <row r="2572" spans="1:42" x14ac:dyDescent="0.3">
      <c r="A2572" t="s">
        <v>36</v>
      </c>
      <c r="N2572" s="89">
        <f>0.95</f>
        <v>0.95</v>
      </c>
    </row>
    <row r="2573" spans="1:42" x14ac:dyDescent="0.3">
      <c r="A2573" t="s">
        <v>142</v>
      </c>
      <c r="N2573" s="89">
        <v>0.99</v>
      </c>
    </row>
    <row r="2574" spans="1:42" x14ac:dyDescent="0.3">
      <c r="A2574" t="s">
        <v>37</v>
      </c>
      <c r="N2574" s="89">
        <v>0.98</v>
      </c>
    </row>
    <row r="2577" spans="1:16" x14ac:dyDescent="0.3">
      <c r="A2577" t="s">
        <v>125</v>
      </c>
      <c r="N2577" s="83">
        <f>N2578+K1519</f>
        <v>32.051282051282051</v>
      </c>
    </row>
    <row r="2578" spans="1:16" x14ac:dyDescent="0.3">
      <c r="A2578" t="s">
        <v>135</v>
      </c>
      <c r="N2578" s="82">
        <f>$D$46</f>
        <v>32.051282051282051</v>
      </c>
    </row>
    <row r="2580" spans="1:16" x14ac:dyDescent="0.3">
      <c r="A2580" t="s">
        <v>126</v>
      </c>
      <c r="N2580" s="88">
        <f>$D$43</f>
        <v>0.5</v>
      </c>
    </row>
    <row r="2581" spans="1:16" x14ac:dyDescent="0.3">
      <c r="A2581" t="s">
        <v>117</v>
      </c>
      <c r="N2581" s="7">
        <f>N2580*N2577</f>
        <v>16.025641025641026</v>
      </c>
    </row>
    <row r="2583" spans="1:16" x14ac:dyDescent="0.3">
      <c r="A2583" t="s">
        <v>118</v>
      </c>
      <c r="N2583" s="7">
        <f>N2578</f>
        <v>32.051282051282051</v>
      </c>
    </row>
    <row r="2584" spans="1:16" x14ac:dyDescent="0.3">
      <c r="A2584" t="s">
        <v>106</v>
      </c>
      <c r="N2584" s="7">
        <f>N2577*(1+N2580)</f>
        <v>48.07692307692308</v>
      </c>
    </row>
    <row r="2585" spans="1:16" x14ac:dyDescent="0.3">
      <c r="N2585" s="7"/>
    </row>
    <row r="2586" spans="1:16" x14ac:dyDescent="0.3">
      <c r="A2586" t="s">
        <v>136</v>
      </c>
      <c r="N2586" s="7">
        <f>N2583*N2568</f>
        <v>556.94635227451647</v>
      </c>
    </row>
    <row r="2587" spans="1:16" x14ac:dyDescent="0.3">
      <c r="A2587" t="s">
        <v>119</v>
      </c>
      <c r="N2587" s="7">
        <f>N2584*N2568</f>
        <v>835.41952841177476</v>
      </c>
    </row>
    <row r="2588" spans="1:16" x14ac:dyDescent="0.3">
      <c r="N2588" s="7"/>
    </row>
    <row r="2589" spans="1:16" x14ac:dyDescent="0.3">
      <c r="A2589" t="s">
        <v>302</v>
      </c>
      <c r="N2589" s="6">
        <f>N2581*N2568</f>
        <v>278.47317613725824</v>
      </c>
    </row>
    <row r="2590" spans="1:16" x14ac:dyDescent="0.3">
      <c r="N2590" s="7"/>
    </row>
    <row r="2591" spans="1:16" x14ac:dyDescent="0.3">
      <c r="A2591" t="s">
        <v>127</v>
      </c>
      <c r="N2591" s="7">
        <f>N2584/3</f>
        <v>16.025641025641026</v>
      </c>
      <c r="O2591" s="7">
        <f>N2584/3</f>
        <v>16.025641025641026</v>
      </c>
      <c r="P2591" s="7">
        <f>N2584/3</f>
        <v>16.025641025641026</v>
      </c>
    </row>
    <row r="2593" spans="1:18" s="103" customFormat="1" x14ac:dyDescent="0.3">
      <c r="A2593" s="103" t="s">
        <v>128</v>
      </c>
      <c r="N2593" s="79">
        <f>Summary!$B$31</f>
        <v>0</v>
      </c>
    </row>
    <row r="2594" spans="1:18" s="103" customFormat="1" x14ac:dyDescent="0.3">
      <c r="A2594" s="103" t="s">
        <v>129</v>
      </c>
      <c r="N2594" s="79">
        <f>1-N2593</f>
        <v>1</v>
      </c>
    </row>
    <row r="2596" spans="1:18" x14ac:dyDescent="0.3">
      <c r="A2596" s="71" t="s">
        <v>16</v>
      </c>
    </row>
    <row r="2597" spans="1:18" x14ac:dyDescent="0.3">
      <c r="A2597" t="s">
        <v>17</v>
      </c>
      <c r="M2597" s="74">
        <f>Summary!$B$66</f>
        <v>0.45</v>
      </c>
      <c r="N2597" s="74">
        <f>Summary!$B$67</f>
        <v>0.3</v>
      </c>
      <c r="O2597" s="74">
        <f>Summary!$B$68</f>
        <v>0.13</v>
      </c>
      <c r="P2597" s="75"/>
      <c r="Q2597" s="75"/>
    </row>
    <row r="2598" spans="1:18" x14ac:dyDescent="0.3">
      <c r="A2598" t="s">
        <v>18</v>
      </c>
      <c r="C2598" s="75"/>
      <c r="N2598" s="74">
        <f>Summary!$B$69</f>
        <v>0.8</v>
      </c>
      <c r="O2598" s="76">
        <f>N2598</f>
        <v>0.8</v>
      </c>
      <c r="P2598" s="76">
        <f>O2598</f>
        <v>0.8</v>
      </c>
      <c r="Q2598" s="75"/>
    </row>
    <row r="2599" spans="1:18" x14ac:dyDescent="0.3">
      <c r="A2599" t="s">
        <v>19</v>
      </c>
      <c r="C2599" s="75"/>
      <c r="N2599" s="75"/>
      <c r="O2599" s="74">
        <f>Summary!$B$70</f>
        <v>1</v>
      </c>
      <c r="P2599" s="74">
        <f>O2599</f>
        <v>1</v>
      </c>
      <c r="Q2599" s="74">
        <f>P2599</f>
        <v>1</v>
      </c>
    </row>
    <row r="2600" spans="1:18" x14ac:dyDescent="0.3">
      <c r="A2600" t="s">
        <v>20</v>
      </c>
      <c r="Q2600" s="21"/>
    </row>
    <row r="2601" spans="1:18" x14ac:dyDescent="0.3">
      <c r="Q2601" s="21"/>
    </row>
    <row r="2602" spans="1:18" x14ac:dyDescent="0.3">
      <c r="A2602" s="11" t="s">
        <v>196</v>
      </c>
      <c r="N2602" s="90">
        <f>SUM(N2603:N2606)</f>
        <v>1</v>
      </c>
      <c r="O2602" s="90">
        <f t="shared" ref="O2602:Q2602" si="320">SUM(O2603:O2606)</f>
        <v>1</v>
      </c>
      <c r="P2602" s="90">
        <f t="shared" si="320"/>
        <v>0.55375000000000008</v>
      </c>
      <c r="Q2602" s="90">
        <f t="shared" si="320"/>
        <v>0.5414000000000001</v>
      </c>
    </row>
    <row r="2603" spans="1:18" x14ac:dyDescent="0.3">
      <c r="A2603" t="s">
        <v>17</v>
      </c>
      <c r="N2603" s="22">
        <f>(1-M2597)*N2594</f>
        <v>0.55000000000000004</v>
      </c>
      <c r="O2603" s="22">
        <f>N2603*(1-N2597)+N2604*(1-N2598)</f>
        <v>0.47499999999999998</v>
      </c>
    </row>
    <row r="2604" spans="1:18" x14ac:dyDescent="0.3">
      <c r="A2604" t="s">
        <v>18</v>
      </c>
      <c r="N2604" s="22">
        <f>M2597</f>
        <v>0.45</v>
      </c>
      <c r="O2604" s="22">
        <f>N2603*N2597</f>
        <v>0.16500000000000001</v>
      </c>
      <c r="P2604" s="22">
        <f>O2603*O2597</f>
        <v>6.1749999999999999E-2</v>
      </c>
      <c r="R2604" s="22"/>
    </row>
    <row r="2605" spans="1:18" x14ac:dyDescent="0.3">
      <c r="A2605" t="s">
        <v>19</v>
      </c>
      <c r="O2605" s="22">
        <f>N2604*N2598</f>
        <v>0.36000000000000004</v>
      </c>
      <c r="P2605" s="22">
        <f>O2604*O2598+O2605</f>
        <v>0.49200000000000005</v>
      </c>
      <c r="Q2605" s="22">
        <f>P2604*P2598+P2605</f>
        <v>0.5414000000000001</v>
      </c>
    </row>
    <row r="2606" spans="1:18" x14ac:dyDescent="0.3">
      <c r="O2606" s="22"/>
      <c r="P2606" s="22"/>
    </row>
    <row r="2607" spans="1:18" x14ac:dyDescent="0.3">
      <c r="A2607" t="s">
        <v>195</v>
      </c>
      <c r="N2607" s="22">
        <f>(1-M2597)*N2593</f>
        <v>0</v>
      </c>
      <c r="P2607" s="29">
        <f>O2603*(1-O2597)+O2604*(1-O2598)+O2605*(1-O2599)</f>
        <v>0.44624999999999998</v>
      </c>
      <c r="Q2607" s="29">
        <f>P2604*(1-P2598)+P2607</f>
        <v>0.45859999999999995</v>
      </c>
      <c r="R2607" s="22"/>
    </row>
    <row r="2608" spans="1:18" x14ac:dyDescent="0.3">
      <c r="N2608" s="22"/>
      <c r="P2608" s="29"/>
      <c r="Q2608" s="29"/>
      <c r="R2608" s="22"/>
    </row>
    <row r="2609" spans="1:18" x14ac:dyDescent="0.3">
      <c r="N2609" s="25" t="s">
        <v>32</v>
      </c>
    </row>
    <row r="2610" spans="1:18" x14ac:dyDescent="0.3">
      <c r="A2610" s="11" t="s">
        <v>124</v>
      </c>
      <c r="N2610" s="8">
        <f>SUM(N2611:N2614)</f>
        <v>17.376726190964913</v>
      </c>
      <c r="O2610" s="8">
        <f t="shared" ref="O2610:P2610" si="321">SUM(O2611:O2614)</f>
        <v>17.376726190964913</v>
      </c>
      <c r="P2610" s="8">
        <f t="shared" si="321"/>
        <v>9.6223621282468201</v>
      </c>
    </row>
    <row r="2611" spans="1:18" x14ac:dyDescent="0.3">
      <c r="A2611" s="23" t="s">
        <v>120</v>
      </c>
      <c r="N2611" s="7">
        <f>N2568*(1-M2597)</f>
        <v>9.557199405030703</v>
      </c>
      <c r="O2611" s="82">
        <f>N2649*(1-N2597)+N2612*(1-N2598)</f>
        <v>8.2539449407083332</v>
      </c>
    </row>
    <row r="2612" spans="1:18" x14ac:dyDescent="0.3">
      <c r="A2612" s="24" t="s">
        <v>122</v>
      </c>
      <c r="N2612" s="7">
        <f>N2568*M2597</f>
        <v>7.8195267859342108</v>
      </c>
      <c r="O2612" s="7">
        <f>N2649*N2597</f>
        <v>2.8671598215092109</v>
      </c>
      <c r="P2612" s="7">
        <f>O2611*O2597</f>
        <v>1.0730128422920833</v>
      </c>
      <c r="Q2612" s="7">
        <f>P2611*P2597</f>
        <v>0</v>
      </c>
    </row>
    <row r="2613" spans="1:18" x14ac:dyDescent="0.3">
      <c r="A2613" s="23" t="s">
        <v>121</v>
      </c>
      <c r="O2613" s="7">
        <f>N2612*N2598</f>
        <v>6.2556214287473688</v>
      </c>
      <c r="P2613" s="7">
        <f>O2612*O2598</f>
        <v>2.2937278572073687</v>
      </c>
      <c r="Q2613" s="7">
        <f>P2612*P2598</f>
        <v>0.85841027383366664</v>
      </c>
    </row>
    <row r="2614" spans="1:18" x14ac:dyDescent="0.3">
      <c r="A2614" s="23" t="s">
        <v>138</v>
      </c>
      <c r="O2614" s="7"/>
      <c r="P2614" s="7">
        <f>O2613*O2599</f>
        <v>6.2556214287473688</v>
      </c>
      <c r="Q2614" s="7">
        <f>P2613*P2599+P2614</f>
        <v>8.5493492859547366</v>
      </c>
      <c r="R2614" s="7">
        <f>Q2613*Q2599+Q2614</f>
        <v>9.4077595597884027</v>
      </c>
    </row>
    <row r="2615" spans="1:18" x14ac:dyDescent="0.3">
      <c r="A2615" s="23"/>
      <c r="O2615" s="7"/>
    </row>
    <row r="2616" spans="1:18" x14ac:dyDescent="0.3">
      <c r="A2616" s="23" t="s">
        <v>137</v>
      </c>
      <c r="O2616" s="7"/>
      <c r="P2616" s="7">
        <f>O2611*(1-O2597)+O2612*(1-O2598)+O2613*(1-O2599)</f>
        <v>7.7543640627180919</v>
      </c>
      <c r="Q2616" s="7">
        <f>P2612*(1-P2598)+P2616</f>
        <v>7.9689666311765084</v>
      </c>
      <c r="R2616" s="7">
        <f>Q2613*(1-Q2599)+Q2616</f>
        <v>7.9689666311765084</v>
      </c>
    </row>
    <row r="2617" spans="1:18" x14ac:dyDescent="0.3">
      <c r="A2617" s="23"/>
      <c r="O2617" s="7"/>
    </row>
    <row r="2618" spans="1:18" x14ac:dyDescent="0.3">
      <c r="A2618" s="11" t="s">
        <v>139</v>
      </c>
      <c r="N2618" s="8">
        <f>SUM(N2619:N2620)</f>
        <v>9.557199405030703</v>
      </c>
      <c r="O2618" s="8">
        <f>SUM(O2619:O2620)</f>
        <v>8.2539449407083332</v>
      </c>
      <c r="P2618" s="8">
        <f>SUM(P2619:P2620)</f>
        <v>7.7543640627180919</v>
      </c>
      <c r="Q2618" s="8">
        <f>SUM(Q2619:Q2620)</f>
        <v>0.2146025684584166</v>
      </c>
    </row>
    <row r="2619" spans="1:18" x14ac:dyDescent="0.3">
      <c r="A2619" s="23" t="s">
        <v>120</v>
      </c>
      <c r="N2619" s="7">
        <f>N2611</f>
        <v>9.557199405030703</v>
      </c>
      <c r="O2619" s="7">
        <f>N2649*(1-N2597)</f>
        <v>6.6900395835214921</v>
      </c>
      <c r="P2619" s="7">
        <f>O2611*(1-O2597)</f>
        <v>7.1809320984162497</v>
      </c>
    </row>
    <row r="2620" spans="1:18" x14ac:dyDescent="0.3">
      <c r="A2620" s="24" t="s">
        <v>122</v>
      </c>
      <c r="O2620" s="7">
        <f>N2612*(1-N2598)</f>
        <v>1.5639053571868418</v>
      </c>
      <c r="P2620" s="7">
        <f>O2612*(1-O2598)</f>
        <v>0.57343196430184207</v>
      </c>
      <c r="Q2620" s="7">
        <f>P2612*(1-P2598)</f>
        <v>0.2146025684584166</v>
      </c>
    </row>
    <row r="2621" spans="1:18" x14ac:dyDescent="0.3">
      <c r="A2621" s="23"/>
      <c r="O2621" s="7"/>
      <c r="P2621" s="7">
        <f>O2613*(1-O2599)</f>
        <v>0</v>
      </c>
      <c r="Q2621" s="7">
        <f>P2613*(1-P2599)</f>
        <v>0</v>
      </c>
    </row>
    <row r="2622" spans="1:18" x14ac:dyDescent="0.3">
      <c r="A2622" s="81" t="s">
        <v>123</v>
      </c>
    </row>
    <row r="2623" spans="1:18" x14ac:dyDescent="0.3">
      <c r="A2623" s="23" t="s">
        <v>120</v>
      </c>
      <c r="N2623" s="7">
        <f>N2584-N2591</f>
        <v>32.051282051282058</v>
      </c>
      <c r="O2623" s="7">
        <f>N2623-O2591</f>
        <v>16.025641025641033</v>
      </c>
      <c r="P2623" s="7">
        <f>O2623-P2591</f>
        <v>0</v>
      </c>
    </row>
    <row r="2624" spans="1:18" x14ac:dyDescent="0.3">
      <c r="A2624" s="24" t="s">
        <v>122</v>
      </c>
      <c r="N2624" s="7">
        <f>N2584</f>
        <v>48.07692307692308</v>
      </c>
      <c r="O2624" s="7">
        <f>N2623</f>
        <v>32.051282051282058</v>
      </c>
      <c r="P2624" s="7">
        <f>O2623</f>
        <v>16.025641025641033</v>
      </c>
    </row>
    <row r="2625" spans="1:18" x14ac:dyDescent="0.3">
      <c r="A2625" s="23" t="s">
        <v>121</v>
      </c>
      <c r="O2625" s="7">
        <f>N2624</f>
        <v>48.07692307692308</v>
      </c>
      <c r="P2625" s="7">
        <f>O2624</f>
        <v>32.051282051282058</v>
      </c>
      <c r="Q2625" s="7">
        <f>P2624</f>
        <v>16.025641025641033</v>
      </c>
    </row>
    <row r="2626" spans="1:18" x14ac:dyDescent="0.3">
      <c r="A2626" s="23"/>
      <c r="P2626" s="7"/>
      <c r="Q2626" s="7"/>
    </row>
    <row r="2627" spans="1:18" x14ac:dyDescent="0.3">
      <c r="A2627" s="23"/>
      <c r="P2627" s="7"/>
      <c r="Q2627" s="7"/>
    </row>
    <row r="2628" spans="1:18" x14ac:dyDescent="0.3">
      <c r="A2628" s="11" t="s">
        <v>130</v>
      </c>
      <c r="N2628" s="8">
        <f>SUM(N2629:N2632)</f>
        <v>682.25928153628274</v>
      </c>
      <c r="O2628" s="8">
        <f t="shared" ref="O2628:Q2628" si="322">SUM(O2629:O2632)</f>
        <v>524.9219370187318</v>
      </c>
      <c r="P2628" s="8">
        <f t="shared" si="322"/>
        <v>391.46366735495076</v>
      </c>
      <c r="Q2628" s="8">
        <f t="shared" si="322"/>
        <v>388.02452362965562</v>
      </c>
    </row>
    <row r="2629" spans="1:18" x14ac:dyDescent="0.3">
      <c r="A2629" s="23" t="s">
        <v>120</v>
      </c>
      <c r="N2629" s="7">
        <f>N2623*N2611</f>
        <v>306.32049375098416</v>
      </c>
      <c r="O2629" s="7">
        <f t="shared" ref="O2629:P2629" si="323">O2623*O2611</f>
        <v>132.27475866519771</v>
      </c>
      <c r="P2629" s="7">
        <f t="shared" si="323"/>
        <v>0</v>
      </c>
    </row>
    <row r="2630" spans="1:18" x14ac:dyDescent="0.3">
      <c r="A2630" s="24" t="s">
        <v>122</v>
      </c>
      <c r="N2630" s="7">
        <f>N2624*N2612</f>
        <v>375.93878778529864</v>
      </c>
      <c r="O2630" s="7">
        <f t="shared" ref="O2630:P2630" si="324">O2624*O2612</f>
        <v>91.896148125295241</v>
      </c>
      <c r="P2630" s="7">
        <f t="shared" si="324"/>
        <v>17.195718626475703</v>
      </c>
      <c r="Q2630" s="7">
        <f>Q2624*Q2612</f>
        <v>0</v>
      </c>
    </row>
    <row r="2631" spans="1:18" x14ac:dyDescent="0.3">
      <c r="A2631" s="23" t="s">
        <v>121</v>
      </c>
      <c r="O2631" s="7">
        <f>O2625*O2613</f>
        <v>300.7510302282389</v>
      </c>
      <c r="P2631" s="7">
        <f>P2625*P2613</f>
        <v>73.516918500236187</v>
      </c>
      <c r="Q2631" s="7">
        <f>Q2625*Q2613</f>
        <v>13.756574901180562</v>
      </c>
    </row>
    <row r="2632" spans="1:18" x14ac:dyDescent="0.3">
      <c r="A2632" s="23" t="s">
        <v>299</v>
      </c>
      <c r="P2632" s="8">
        <f>O2631</f>
        <v>300.7510302282389</v>
      </c>
      <c r="Q2632" s="8">
        <f>P2632+P2631</f>
        <v>374.26794872847506</v>
      </c>
      <c r="R2632" s="8">
        <f>Q2632+Q2631</f>
        <v>388.02452362965562</v>
      </c>
    </row>
    <row r="2633" spans="1:18" x14ac:dyDescent="0.3">
      <c r="A2633" s="23"/>
    </row>
    <row r="2634" spans="1:18" x14ac:dyDescent="0.3">
      <c r="A2634" s="105" t="s">
        <v>300</v>
      </c>
      <c r="N2634" s="8">
        <f>R2632</f>
        <v>388.02452362965562</v>
      </c>
    </row>
    <row r="2635" spans="1:18" x14ac:dyDescent="0.3">
      <c r="A2635" s="23"/>
    </row>
    <row r="2636" spans="1:18" x14ac:dyDescent="0.3">
      <c r="A2636" s="11" t="s">
        <v>140</v>
      </c>
      <c r="N2636" s="8">
        <f>SUM(N2638:N2641)</f>
        <v>153.16024687549202</v>
      </c>
      <c r="O2636" s="8">
        <f>SUM(O2638:O2641)</f>
        <v>157.33734451755089</v>
      </c>
      <c r="P2636" s="8">
        <f t="shared" ref="P2636:Q2636" si="325">SUM(P2638:P2641)</f>
        <v>133.45826966378098</v>
      </c>
      <c r="Q2636" s="8">
        <f t="shared" si="325"/>
        <v>3.4391437252951378</v>
      </c>
    </row>
    <row r="2637" spans="1:18" x14ac:dyDescent="0.3">
      <c r="A2637" s="11"/>
      <c r="N2637" s="8"/>
      <c r="O2637" s="8"/>
      <c r="P2637" s="8"/>
      <c r="Q2637" s="8"/>
    </row>
    <row r="2638" spans="1:18" x14ac:dyDescent="0.3">
      <c r="A2638" t="s">
        <v>131</v>
      </c>
      <c r="C2638" s="23" t="s">
        <v>120</v>
      </c>
      <c r="N2638" s="6">
        <f>N2647*N2591</f>
        <v>0</v>
      </c>
    </row>
    <row r="2639" spans="1:18" x14ac:dyDescent="0.3">
      <c r="C2639" s="23"/>
      <c r="N2639" s="6"/>
    </row>
    <row r="2640" spans="1:18" x14ac:dyDescent="0.3">
      <c r="A2640" t="s">
        <v>200</v>
      </c>
      <c r="C2640" s="23" t="s">
        <v>120</v>
      </c>
      <c r="N2640" s="6">
        <f>N2649*N2591</f>
        <v>153.16024687549202</v>
      </c>
      <c r="O2640" s="27">
        <f>O2619*O2591</f>
        <v>107.21217281284443</v>
      </c>
      <c r="P2640" s="27">
        <f t="shared" ref="P2640:Q2640" si="326">P2619*P2591</f>
        <v>115.07904003872196</v>
      </c>
      <c r="Q2640" s="27">
        <f t="shared" si="326"/>
        <v>0</v>
      </c>
      <c r="R2640" s="27"/>
    </row>
    <row r="2641" spans="1:30" x14ac:dyDescent="0.3">
      <c r="A2641" t="s">
        <v>200</v>
      </c>
      <c r="C2641" s="24" t="s">
        <v>122</v>
      </c>
      <c r="N2641" s="6"/>
      <c r="O2641" s="27">
        <f>O2620*(N2591+O2591)</f>
        <v>50.125171704706467</v>
      </c>
      <c r="P2641" s="27">
        <f t="shared" ref="P2641" si="327">P2620*(O2591+P2591)</f>
        <v>18.37922962505904</v>
      </c>
      <c r="Q2641" s="27">
        <f t="shared" ref="Q2641" si="328">Q2620*(P2591+Q2591)</f>
        <v>3.4391437252951378</v>
      </c>
      <c r="R2641" s="27"/>
    </row>
    <row r="2643" spans="1:30" x14ac:dyDescent="0.3">
      <c r="A2643" s="11" t="s">
        <v>283</v>
      </c>
      <c r="N2643" s="8">
        <f>SUM(N2640:Q2641)</f>
        <v>447.39500478211903</v>
      </c>
    </row>
    <row r="2645" spans="1:30" x14ac:dyDescent="0.3">
      <c r="A2645" t="s">
        <v>202</v>
      </c>
      <c r="N2645" s="28">
        <f>N2647*(O2591+P2591)</f>
        <v>0</v>
      </c>
    </row>
    <row r="2647" spans="1:30" x14ac:dyDescent="0.3">
      <c r="A2647" s="72" t="s">
        <v>132</v>
      </c>
      <c r="N2647" s="73">
        <f>N2611*N2593</f>
        <v>0</v>
      </c>
    </row>
    <row r="2649" spans="1:30" x14ac:dyDescent="0.3">
      <c r="A2649" t="s">
        <v>201</v>
      </c>
      <c r="N2649" s="7">
        <f>N2611*N2594</f>
        <v>9.557199405030703</v>
      </c>
    </row>
    <row r="2652" spans="1:30" x14ac:dyDescent="0.3">
      <c r="A2652" s="160" t="s">
        <v>298</v>
      </c>
      <c r="B2652" s="161"/>
      <c r="C2652" s="161"/>
      <c r="D2652" s="161"/>
      <c r="E2652" s="161"/>
      <c r="F2652" s="161"/>
      <c r="G2652" s="161"/>
      <c r="H2652" s="161"/>
      <c r="I2652" s="161"/>
      <c r="J2652" s="161"/>
      <c r="K2652" s="161"/>
      <c r="L2652" s="161"/>
      <c r="M2652" s="161"/>
      <c r="N2652" s="161"/>
      <c r="O2652" s="161"/>
      <c r="P2652" s="161"/>
      <c r="Q2652" s="161"/>
      <c r="R2652" s="161"/>
      <c r="S2652" s="161"/>
      <c r="T2652" s="161"/>
      <c r="U2652" s="161"/>
      <c r="V2652" s="161"/>
      <c r="W2652" s="161"/>
      <c r="X2652" s="161"/>
      <c r="Y2652" s="161"/>
      <c r="Z2652" s="161"/>
      <c r="AA2652" s="161"/>
      <c r="AB2652" s="161"/>
      <c r="AC2652" s="161"/>
      <c r="AD2652" s="162"/>
    </row>
    <row r="2654" spans="1:30" x14ac:dyDescent="0.3">
      <c r="A2654" t="s">
        <v>197</v>
      </c>
      <c r="P2654" s="83">
        <f>M1249</f>
        <v>27.151134673382675</v>
      </c>
    </row>
    <row r="2655" spans="1:30" x14ac:dyDescent="0.3">
      <c r="A2655" t="s">
        <v>206</v>
      </c>
      <c r="P2655" s="7">
        <f>P2657*P2654</f>
        <v>3.7877733014377806</v>
      </c>
      <c r="S2655" s="77"/>
    </row>
    <row r="2656" spans="1:30" x14ac:dyDescent="0.3">
      <c r="P2656" s="7"/>
      <c r="S2656" s="77"/>
    </row>
    <row r="2657" spans="1:20" x14ac:dyDescent="0.3">
      <c r="A2657" s="11" t="s">
        <v>134</v>
      </c>
      <c r="B2657" s="11"/>
      <c r="C2657" s="11"/>
      <c r="P2657" s="98">
        <f>P2658*P2659*P2660*P2661</f>
        <v>0.13950699839999997</v>
      </c>
      <c r="Q2657" s="7">
        <f>Q2658*Q2659*Q2660*Q2661</f>
        <v>0</v>
      </c>
      <c r="R2657" s="11"/>
      <c r="T2657" s="11"/>
    </row>
    <row r="2658" spans="1:20" x14ac:dyDescent="0.3">
      <c r="A2658" t="s">
        <v>35</v>
      </c>
      <c r="P2658" s="97">
        <f>P1288</f>
        <v>0.15135999999999999</v>
      </c>
    </row>
    <row r="2659" spans="1:20" x14ac:dyDescent="0.3">
      <c r="A2659" t="s">
        <v>36</v>
      </c>
      <c r="P2659" s="86">
        <f>0.95</f>
        <v>0.95</v>
      </c>
    </row>
    <row r="2660" spans="1:20" x14ac:dyDescent="0.3">
      <c r="A2660" t="s">
        <v>142</v>
      </c>
      <c r="P2660" s="86">
        <v>0.99</v>
      </c>
    </row>
    <row r="2661" spans="1:20" x14ac:dyDescent="0.3">
      <c r="A2661" t="s">
        <v>37</v>
      </c>
      <c r="P2661" s="86">
        <v>0.98</v>
      </c>
    </row>
    <row r="2664" spans="1:20" x14ac:dyDescent="0.3">
      <c r="A2664" t="s">
        <v>125</v>
      </c>
      <c r="P2664" s="83">
        <f>$B$34</f>
        <v>160.25641025641025</v>
      </c>
    </row>
    <row r="2665" spans="1:20" x14ac:dyDescent="0.3">
      <c r="A2665" s="100" t="s">
        <v>135</v>
      </c>
      <c r="P2665" s="101">
        <f>P2664</f>
        <v>160.25641025641025</v>
      </c>
    </row>
    <row r="2667" spans="1:20" x14ac:dyDescent="0.3">
      <c r="A2667" t="s">
        <v>126</v>
      </c>
      <c r="P2667" s="88">
        <f>$D$43</f>
        <v>0.5</v>
      </c>
    </row>
    <row r="2668" spans="1:20" x14ac:dyDescent="0.3">
      <c r="A2668" t="s">
        <v>117</v>
      </c>
      <c r="P2668" s="7">
        <f>P2667*P2664</f>
        <v>80.128205128205124</v>
      </c>
    </row>
    <row r="2670" spans="1:20" x14ac:dyDescent="0.3">
      <c r="A2670" t="s">
        <v>118</v>
      </c>
      <c r="P2670" s="7">
        <f>P2665</f>
        <v>160.25641025641025</v>
      </c>
    </row>
    <row r="2671" spans="1:20" x14ac:dyDescent="0.3">
      <c r="A2671" t="s">
        <v>106</v>
      </c>
      <c r="P2671" s="7">
        <f>P2664*(1+P2667)</f>
        <v>240.38461538461536</v>
      </c>
    </row>
    <row r="2672" spans="1:20" x14ac:dyDescent="0.3">
      <c r="P2672" s="7"/>
    </row>
    <row r="2673" spans="1:19" x14ac:dyDescent="0.3">
      <c r="A2673" t="s">
        <v>136</v>
      </c>
      <c r="P2673" s="7">
        <f>P2670*P2655</f>
        <v>607.01495215349041</v>
      </c>
    </row>
    <row r="2674" spans="1:19" x14ac:dyDescent="0.3">
      <c r="A2674" t="s">
        <v>119</v>
      </c>
      <c r="P2674" s="7">
        <f>P2671*P2655</f>
        <v>910.52242823023562</v>
      </c>
    </row>
    <row r="2675" spans="1:19" x14ac:dyDescent="0.3">
      <c r="P2675" s="7"/>
    </row>
    <row r="2676" spans="1:19" x14ac:dyDescent="0.3">
      <c r="A2676" t="s">
        <v>302</v>
      </c>
      <c r="P2676" s="6">
        <f>P2668*P2655</f>
        <v>303.50747607674521</v>
      </c>
    </row>
    <row r="2677" spans="1:19" x14ac:dyDescent="0.3">
      <c r="P2677" s="7"/>
    </row>
    <row r="2678" spans="1:19" x14ac:dyDescent="0.3">
      <c r="A2678" t="s">
        <v>127</v>
      </c>
      <c r="P2678" s="7">
        <f>P2671/3</f>
        <v>80.128205128205124</v>
      </c>
      <c r="Q2678" s="7">
        <f>P2671/3</f>
        <v>80.128205128205124</v>
      </c>
      <c r="R2678" s="7">
        <f>P2671/3</f>
        <v>80.128205128205124</v>
      </c>
    </row>
    <row r="2680" spans="1:19" s="103" customFormat="1" x14ac:dyDescent="0.3">
      <c r="A2680" s="103" t="s">
        <v>128</v>
      </c>
      <c r="P2680" s="79">
        <f>Summary!$D$31</f>
        <v>0</v>
      </c>
    </row>
    <row r="2681" spans="1:19" s="103" customFormat="1" x14ac:dyDescent="0.3">
      <c r="A2681" s="103" t="s">
        <v>129</v>
      </c>
      <c r="P2681" s="79">
        <f>1-P2680</f>
        <v>1</v>
      </c>
    </row>
    <row r="2683" spans="1:19" x14ac:dyDescent="0.3">
      <c r="A2683" s="71" t="s">
        <v>16</v>
      </c>
    </row>
    <row r="2684" spans="1:19" x14ac:dyDescent="0.3">
      <c r="A2684" t="s">
        <v>17</v>
      </c>
      <c r="O2684" s="74">
        <f>Summary!$C$66</f>
        <v>0.45</v>
      </c>
      <c r="P2684" s="74">
        <f>Summary!$C$67</f>
        <v>0.3</v>
      </c>
      <c r="Q2684" s="74">
        <f>Summary!$C$68</f>
        <v>0.13</v>
      </c>
      <c r="R2684" s="75"/>
      <c r="S2684" s="75"/>
    </row>
    <row r="2685" spans="1:19" x14ac:dyDescent="0.3">
      <c r="A2685" t="s">
        <v>18</v>
      </c>
      <c r="C2685" s="75"/>
      <c r="P2685" s="74">
        <f>Summary!$C$69</f>
        <v>0.8</v>
      </c>
      <c r="Q2685" s="76">
        <f>P2685</f>
        <v>0.8</v>
      </c>
      <c r="R2685" s="76">
        <f>Q2685</f>
        <v>0.8</v>
      </c>
      <c r="S2685" s="75"/>
    </row>
    <row r="2686" spans="1:19" x14ac:dyDescent="0.3">
      <c r="A2686" t="s">
        <v>19</v>
      </c>
      <c r="C2686" s="75"/>
      <c r="P2686" s="75"/>
      <c r="Q2686" s="74">
        <f>Summary!$C$70</f>
        <v>1</v>
      </c>
      <c r="R2686" s="74">
        <f>Q2686</f>
        <v>1</v>
      </c>
      <c r="S2686" s="74">
        <f>R2686</f>
        <v>1</v>
      </c>
    </row>
    <row r="2687" spans="1:19" x14ac:dyDescent="0.3">
      <c r="A2687" t="s">
        <v>20</v>
      </c>
      <c r="S2687" s="21"/>
    </row>
    <row r="2688" spans="1:19" x14ac:dyDescent="0.3">
      <c r="S2688" s="21"/>
    </row>
    <row r="2689" spans="1:20" x14ac:dyDescent="0.3">
      <c r="A2689" s="11" t="s">
        <v>196</v>
      </c>
      <c r="P2689" s="90">
        <f>SUM(P2690:P2693)</f>
        <v>1</v>
      </c>
      <c r="Q2689" s="90">
        <f t="shared" ref="Q2689:S2689" si="329">SUM(Q2690:Q2693)</f>
        <v>1</v>
      </c>
      <c r="R2689" s="90">
        <f t="shared" si="329"/>
        <v>0.55375000000000008</v>
      </c>
      <c r="S2689" s="90">
        <f t="shared" si="329"/>
        <v>0.5414000000000001</v>
      </c>
    </row>
    <row r="2690" spans="1:20" x14ac:dyDescent="0.3">
      <c r="A2690" t="s">
        <v>17</v>
      </c>
      <c r="P2690" s="22">
        <f>(1-O2684)*P2681</f>
        <v>0.55000000000000004</v>
      </c>
      <c r="Q2690" s="22">
        <f>P2690*(1-P2684)+P2691*(1-P2685)</f>
        <v>0.47499999999999998</v>
      </c>
    </row>
    <row r="2691" spans="1:20" x14ac:dyDescent="0.3">
      <c r="A2691" t="s">
        <v>18</v>
      </c>
      <c r="P2691" s="22">
        <f>O2684</f>
        <v>0.45</v>
      </c>
      <c r="Q2691" s="22">
        <f>P2690*P2684</f>
        <v>0.16500000000000001</v>
      </c>
      <c r="R2691" s="22">
        <f>Q2690*Q2684</f>
        <v>6.1749999999999999E-2</v>
      </c>
      <c r="T2691" s="22"/>
    </row>
    <row r="2692" spans="1:20" x14ac:dyDescent="0.3">
      <c r="A2692" t="s">
        <v>19</v>
      </c>
      <c r="Q2692" s="22">
        <f>P2691*P2685</f>
        <v>0.36000000000000004</v>
      </c>
      <c r="R2692" s="22">
        <f>Q2691*Q2685+Q2692</f>
        <v>0.49200000000000005</v>
      </c>
      <c r="S2692" s="22">
        <f>R2691*R2685+R2692</f>
        <v>0.5414000000000001</v>
      </c>
    </row>
    <row r="2693" spans="1:20" x14ac:dyDescent="0.3">
      <c r="Q2693" s="22"/>
      <c r="R2693" s="22"/>
    </row>
    <row r="2694" spans="1:20" x14ac:dyDescent="0.3">
      <c r="A2694" t="s">
        <v>195</v>
      </c>
      <c r="P2694" s="22">
        <f>(1-O2684)*P2680</f>
        <v>0</v>
      </c>
      <c r="R2694" s="29">
        <f>Q2690*(1-Q2684)+Q2691*(1-Q2685)+Q2692*(1-Q2686)</f>
        <v>0.44624999999999998</v>
      </c>
      <c r="S2694" s="29">
        <f>R2691*(1-R2685)+R2694</f>
        <v>0.45859999999999995</v>
      </c>
      <c r="T2694" s="22"/>
    </row>
    <row r="2695" spans="1:20" x14ac:dyDescent="0.3">
      <c r="P2695" s="22"/>
      <c r="R2695" s="29"/>
      <c r="S2695" s="29"/>
      <c r="T2695" s="22"/>
    </row>
    <row r="2696" spans="1:20" x14ac:dyDescent="0.3">
      <c r="P2696" s="25"/>
    </row>
    <row r="2697" spans="1:20" x14ac:dyDescent="0.3">
      <c r="A2697" s="11" t="s">
        <v>124</v>
      </c>
      <c r="P2697" s="8">
        <f>SUM(P2698:P2701)</f>
        <v>3.7877733014377806</v>
      </c>
      <c r="Q2697" s="8">
        <f t="shared" ref="Q2697:R2697" si="330">SUM(Q2698:Q2701)</f>
        <v>3.7877733014377801</v>
      </c>
      <c r="R2697" s="8">
        <f t="shared" si="330"/>
        <v>2.0974794656711708</v>
      </c>
    </row>
    <row r="2698" spans="1:20" x14ac:dyDescent="0.3">
      <c r="A2698" s="23" t="s">
        <v>120</v>
      </c>
      <c r="P2698" s="7">
        <f>P2655*(1-O2684)</f>
        <v>2.0832753157907793</v>
      </c>
      <c r="Q2698" s="82">
        <f>P2736*(1-P2684)+P2699*(1-P2685)</f>
        <v>1.7991923181829457</v>
      </c>
    </row>
    <row r="2699" spans="1:20" x14ac:dyDescent="0.3">
      <c r="A2699" s="24" t="s">
        <v>122</v>
      </c>
      <c r="P2699" s="7">
        <f>P2655*O2684</f>
        <v>1.7044979856470013</v>
      </c>
      <c r="Q2699" s="7">
        <f>P2736*P2684</f>
        <v>0.62498259473723372</v>
      </c>
      <c r="R2699" s="7">
        <f>Q2698*Q2684</f>
        <v>0.23389500136378294</v>
      </c>
      <c r="S2699" s="7">
        <f>R2698*R2684</f>
        <v>0</v>
      </c>
    </row>
    <row r="2700" spans="1:20" x14ac:dyDescent="0.3">
      <c r="A2700" s="23" t="s">
        <v>121</v>
      </c>
      <c r="Q2700" s="7">
        <f>P2699*P2685</f>
        <v>1.3635983885176011</v>
      </c>
      <c r="R2700" s="7">
        <f>Q2699*Q2685</f>
        <v>0.49998607578978699</v>
      </c>
      <c r="S2700" s="7">
        <f>R2699*R2685</f>
        <v>0.18711600109102636</v>
      </c>
    </row>
    <row r="2701" spans="1:20" x14ac:dyDescent="0.3">
      <c r="A2701" s="23" t="s">
        <v>138</v>
      </c>
      <c r="Q2701" s="7"/>
      <c r="R2701" s="7">
        <f>Q2700*Q2686</f>
        <v>1.3635983885176011</v>
      </c>
      <c r="S2701" s="7">
        <f>R2700*R2686+R2701</f>
        <v>1.863584464307388</v>
      </c>
      <c r="T2701" s="7">
        <f>S2700*S2686+S2701</f>
        <v>2.0507004653984144</v>
      </c>
    </row>
    <row r="2702" spans="1:20" x14ac:dyDescent="0.3">
      <c r="A2702" s="23"/>
      <c r="Q2702" s="7"/>
    </row>
    <row r="2703" spans="1:20" x14ac:dyDescent="0.3">
      <c r="A2703" s="23" t="s">
        <v>137</v>
      </c>
      <c r="Q2703" s="7"/>
      <c r="R2703" s="7">
        <f>Q2698*(1-Q2684)+Q2699*(1-Q2685)+Q2700*(1-Q2686)</f>
        <v>1.6902938357666093</v>
      </c>
      <c r="S2703" s="7">
        <f>R2699*(1-R2685)+R2703</f>
        <v>1.7370728360393659</v>
      </c>
      <c r="T2703" s="7">
        <f>S2700*(1-S2686)+S2703</f>
        <v>1.7370728360393659</v>
      </c>
    </row>
    <row r="2704" spans="1:20" x14ac:dyDescent="0.3">
      <c r="A2704" s="23"/>
      <c r="Q2704" s="7"/>
    </row>
    <row r="2705" spans="1:20" x14ac:dyDescent="0.3">
      <c r="A2705" s="11" t="s">
        <v>139</v>
      </c>
      <c r="P2705" s="8">
        <f>SUM(P2706:P2707)</f>
        <v>2.0832753157907793</v>
      </c>
      <c r="Q2705" s="8">
        <f>SUM(Q2706:Q2707)</f>
        <v>1.7991923181829457</v>
      </c>
      <c r="R2705" s="8">
        <f>SUM(R2706:R2707)</f>
        <v>1.6902938357666093</v>
      </c>
      <c r="S2705" s="8">
        <f>SUM(S2706:S2707)</f>
        <v>4.6779000272756575E-2</v>
      </c>
    </row>
    <row r="2706" spans="1:20" x14ac:dyDescent="0.3">
      <c r="A2706" s="23" t="s">
        <v>120</v>
      </c>
      <c r="P2706" s="7">
        <f>P2698</f>
        <v>2.0832753157907793</v>
      </c>
      <c r="Q2706" s="7">
        <f>P2736*(1-P2684)</f>
        <v>1.4582927210535455</v>
      </c>
      <c r="R2706" s="7">
        <f>Q2698*(1-Q2684)</f>
        <v>1.5652973168191626</v>
      </c>
    </row>
    <row r="2707" spans="1:20" x14ac:dyDescent="0.3">
      <c r="A2707" s="24" t="s">
        <v>122</v>
      </c>
      <c r="Q2707" s="7">
        <f>P2699*(1-P2685)</f>
        <v>0.34089959712940016</v>
      </c>
      <c r="R2707" s="7">
        <f>Q2699*(1-Q2685)</f>
        <v>0.12499651894744672</v>
      </c>
      <c r="S2707" s="7">
        <f>R2699*(1-R2685)</f>
        <v>4.6779000272756575E-2</v>
      </c>
    </row>
    <row r="2708" spans="1:20" x14ac:dyDescent="0.3">
      <c r="A2708" s="23"/>
      <c r="Q2708" s="7"/>
      <c r="R2708" s="7">
        <f>Q2700*(1-Q2686)</f>
        <v>0</v>
      </c>
      <c r="S2708" s="7">
        <f>R2700*(1-R2686)</f>
        <v>0</v>
      </c>
    </row>
    <row r="2709" spans="1:20" x14ac:dyDescent="0.3">
      <c r="A2709" s="81" t="s">
        <v>123</v>
      </c>
    </row>
    <row r="2710" spans="1:20" x14ac:dyDescent="0.3">
      <c r="A2710" s="23" t="s">
        <v>120</v>
      </c>
      <c r="P2710" s="7">
        <f>P2671-P2678</f>
        <v>160.25641025641022</v>
      </c>
      <c r="Q2710" s="7">
        <f>P2710-Q2678</f>
        <v>80.128205128205096</v>
      </c>
      <c r="R2710" s="7">
        <f>Q2710-R2678</f>
        <v>0</v>
      </c>
    </row>
    <row r="2711" spans="1:20" x14ac:dyDescent="0.3">
      <c r="A2711" s="24" t="s">
        <v>122</v>
      </c>
      <c r="P2711" s="7">
        <f>P2671</f>
        <v>240.38461538461536</v>
      </c>
      <c r="Q2711" s="7">
        <f>P2710</f>
        <v>160.25641025641022</v>
      </c>
      <c r="R2711" s="7">
        <f>Q2710</f>
        <v>80.128205128205096</v>
      </c>
    </row>
    <row r="2712" spans="1:20" x14ac:dyDescent="0.3">
      <c r="A2712" s="23" t="s">
        <v>121</v>
      </c>
      <c r="Q2712" s="7">
        <f>P2711</f>
        <v>240.38461538461536</v>
      </c>
      <c r="R2712" s="7">
        <f>Q2711</f>
        <v>160.25641025641022</v>
      </c>
      <c r="S2712" s="7">
        <f>R2711</f>
        <v>80.128205128205096</v>
      </c>
    </row>
    <row r="2713" spans="1:20" x14ac:dyDescent="0.3">
      <c r="A2713" s="23"/>
      <c r="R2713" s="7"/>
      <c r="S2713" s="7"/>
    </row>
    <row r="2714" spans="1:20" x14ac:dyDescent="0.3">
      <c r="A2714" s="23"/>
      <c r="R2714" s="7"/>
      <c r="S2714" s="7"/>
    </row>
    <row r="2715" spans="1:20" x14ac:dyDescent="0.3">
      <c r="A2715" s="11" t="s">
        <v>130</v>
      </c>
      <c r="P2715" s="8">
        <f>SUM(P2716:P2719)</f>
        <v>743.59331638802564</v>
      </c>
      <c r="Q2715" s="8">
        <f t="shared" ref="Q2715:S2715" si="331">SUM(Q2716:Q2719)</f>
        <v>572.11159240466463</v>
      </c>
      <c r="R2715" s="8">
        <f t="shared" si="331"/>
        <v>426.65563449488457</v>
      </c>
      <c r="S2715" s="8">
        <f t="shared" si="331"/>
        <v>422.90731716533674</v>
      </c>
    </row>
    <row r="2716" spans="1:20" x14ac:dyDescent="0.3">
      <c r="A2716" s="23" t="s">
        <v>120</v>
      </c>
      <c r="P2716" s="7">
        <f>P2710*P2698</f>
        <v>333.85822368441967</v>
      </c>
      <c r="Q2716" s="7">
        <f t="shared" ref="Q2716:R2716" si="332">Q2710*Q2698</f>
        <v>144.16605113645392</v>
      </c>
      <c r="R2716" s="7">
        <f t="shared" si="332"/>
        <v>0</v>
      </c>
    </row>
    <row r="2717" spans="1:20" x14ac:dyDescent="0.3">
      <c r="A2717" s="24" t="s">
        <v>122</v>
      </c>
      <c r="P2717" s="7">
        <f>P2711*P2699</f>
        <v>409.73509270360603</v>
      </c>
      <c r="Q2717" s="7">
        <f t="shared" ref="Q2717:R2717" si="333">Q2711*Q2699</f>
        <v>100.15746710532589</v>
      </c>
      <c r="R2717" s="7">
        <f t="shared" si="333"/>
        <v>18.741586647739009</v>
      </c>
      <c r="S2717" s="7">
        <f>S2711*S2699</f>
        <v>0</v>
      </c>
    </row>
    <row r="2718" spans="1:20" x14ac:dyDescent="0.3">
      <c r="A2718" s="23" t="s">
        <v>121</v>
      </c>
      <c r="Q2718" s="7">
        <f>Q2712*Q2700</f>
        <v>327.78807416288481</v>
      </c>
      <c r="R2718" s="7">
        <f>R2712*R2700</f>
        <v>80.125973684260714</v>
      </c>
      <c r="S2718" s="7">
        <f>S2712*S2700</f>
        <v>14.993269318191208</v>
      </c>
    </row>
    <row r="2719" spans="1:20" x14ac:dyDescent="0.3">
      <c r="A2719" s="23" t="s">
        <v>299</v>
      </c>
      <c r="R2719" s="8">
        <f>Q2718</f>
        <v>327.78807416288481</v>
      </c>
      <c r="S2719" s="8">
        <f>R2719+R2718</f>
        <v>407.91404784714553</v>
      </c>
      <c r="T2719" s="8">
        <f>S2719+S2718</f>
        <v>422.90731716533674</v>
      </c>
    </row>
    <row r="2720" spans="1:20" x14ac:dyDescent="0.3">
      <c r="A2720" s="23"/>
      <c r="R2720" s="7"/>
      <c r="S2720" s="7"/>
    </row>
    <row r="2721" spans="1:20" x14ac:dyDescent="0.3">
      <c r="A2721" s="105" t="s">
        <v>300</v>
      </c>
      <c r="P2721" s="8">
        <f>T2719</f>
        <v>422.90731716533674</v>
      </c>
      <c r="R2721" s="7"/>
      <c r="S2721" s="7"/>
    </row>
    <row r="2722" spans="1:20" x14ac:dyDescent="0.3">
      <c r="A2722" s="23"/>
    </row>
    <row r="2723" spans="1:20" x14ac:dyDescent="0.3">
      <c r="A2723" s="11" t="s">
        <v>140</v>
      </c>
      <c r="P2723" s="8">
        <f>SUM(P2725:P2728)</f>
        <v>166.92911184220986</v>
      </c>
      <c r="Q2723" s="8">
        <f>SUM(Q2725:Q2728)</f>
        <v>171.48172398336104</v>
      </c>
      <c r="R2723" s="8">
        <f t="shared" ref="R2723:S2723" si="334">SUM(R2725:R2728)</f>
        <v>145.45595790978012</v>
      </c>
      <c r="S2723" s="8">
        <f t="shared" si="334"/>
        <v>3.7483173295478025</v>
      </c>
    </row>
    <row r="2724" spans="1:20" x14ac:dyDescent="0.3">
      <c r="A2724" s="11"/>
      <c r="P2724" s="8"/>
      <c r="Q2724" s="8"/>
      <c r="R2724" s="8"/>
      <c r="S2724" s="8"/>
    </row>
    <row r="2725" spans="1:20" x14ac:dyDescent="0.3">
      <c r="A2725" t="s">
        <v>131</v>
      </c>
      <c r="C2725" s="23" t="s">
        <v>120</v>
      </c>
      <c r="P2725" s="6">
        <f>P2734*P2678</f>
        <v>0</v>
      </c>
    </row>
    <row r="2726" spans="1:20" x14ac:dyDescent="0.3">
      <c r="C2726" s="23"/>
      <c r="P2726" s="6"/>
    </row>
    <row r="2727" spans="1:20" x14ac:dyDescent="0.3">
      <c r="A2727" t="s">
        <v>200</v>
      </c>
      <c r="C2727" s="23" t="s">
        <v>120</v>
      </c>
      <c r="P2727" s="6">
        <f>P2736*P2678</f>
        <v>166.92911184220986</v>
      </c>
      <c r="Q2727" s="27">
        <f>Q2706*Q2678</f>
        <v>116.85037828954691</v>
      </c>
      <c r="R2727" s="27">
        <f t="shared" ref="R2727:S2727" si="335">R2706*R2678</f>
        <v>125.42446448871495</v>
      </c>
      <c r="S2727" s="27">
        <f t="shared" si="335"/>
        <v>0</v>
      </c>
      <c r="T2727" s="27"/>
    </row>
    <row r="2728" spans="1:20" x14ac:dyDescent="0.3">
      <c r="A2728" t="s">
        <v>200</v>
      </c>
      <c r="C2728" s="24" t="s">
        <v>122</v>
      </c>
      <c r="P2728" s="6"/>
      <c r="Q2728" s="27">
        <f>Q2707*(P2678+Q2678)</f>
        <v>54.631345693814126</v>
      </c>
      <c r="R2728" s="27">
        <f t="shared" ref="R2728" si="336">R2707*(Q2678+R2678)</f>
        <v>20.031493421065178</v>
      </c>
      <c r="S2728" s="27">
        <f t="shared" ref="S2728" si="337">S2707*(R2678+S2678)</f>
        <v>3.7483173295478025</v>
      </c>
      <c r="T2728" s="27"/>
    </row>
    <row r="2730" spans="1:20" x14ac:dyDescent="0.3">
      <c r="A2730" s="11" t="s">
        <v>283</v>
      </c>
      <c r="P2730" s="8">
        <f>SUM(P2727:S2728)</f>
        <v>487.61511106489888</v>
      </c>
    </row>
    <row r="2732" spans="1:20" x14ac:dyDescent="0.3">
      <c r="A2732" t="s">
        <v>202</v>
      </c>
      <c r="P2732" s="28">
        <f>P2734*(Q2678+R2678)</f>
        <v>0</v>
      </c>
    </row>
    <row r="2734" spans="1:20" x14ac:dyDescent="0.3">
      <c r="A2734" s="72" t="s">
        <v>132</v>
      </c>
      <c r="P2734" s="73">
        <f>P2698*P2680</f>
        <v>0</v>
      </c>
    </row>
    <row r="2736" spans="1:20" x14ac:dyDescent="0.3">
      <c r="A2736" t="s">
        <v>201</v>
      </c>
      <c r="P2736" s="7">
        <f>P2698*P2681</f>
        <v>2.0832753157907793</v>
      </c>
    </row>
    <row r="2741" spans="1:18" x14ac:dyDescent="0.3">
      <c r="N2741" s="83"/>
    </row>
    <row r="2742" spans="1:18" x14ac:dyDescent="0.3">
      <c r="N2742" s="7"/>
      <c r="Q2742" s="77"/>
    </row>
    <row r="2743" spans="1:18" x14ac:dyDescent="0.3">
      <c r="N2743" s="7"/>
      <c r="Q2743" s="77"/>
    </row>
    <row r="2744" spans="1:18" x14ac:dyDescent="0.3">
      <c r="A2744" s="11"/>
      <c r="B2744" s="11"/>
      <c r="C2744" s="11"/>
      <c r="N2744" s="98"/>
      <c r="O2744" s="7"/>
      <c r="P2744" s="11"/>
      <c r="R2744" s="11"/>
    </row>
    <row r="2745" spans="1:18" x14ac:dyDescent="0.3">
      <c r="N2745" s="97"/>
    </row>
    <row r="2746" spans="1:18" x14ac:dyDescent="0.3">
      <c r="N2746" s="86"/>
    </row>
    <row r="2747" spans="1:18" x14ac:dyDescent="0.3">
      <c r="N2747" s="86"/>
    </row>
    <row r="2748" spans="1:18" x14ac:dyDescent="0.3">
      <c r="N2748" s="86"/>
    </row>
    <row r="2751" spans="1:18" x14ac:dyDescent="0.3">
      <c r="N2751" s="83"/>
    </row>
    <row r="2752" spans="1:18" x14ac:dyDescent="0.3">
      <c r="A2752" s="100"/>
      <c r="N2752" s="101"/>
    </row>
    <row r="2754" spans="14:16" x14ac:dyDescent="0.3">
      <c r="N2754" s="88"/>
    </row>
    <row r="2755" spans="14:16" x14ac:dyDescent="0.3">
      <c r="N2755" s="7"/>
    </row>
    <row r="2757" spans="14:16" x14ac:dyDescent="0.3">
      <c r="N2757" s="7"/>
    </row>
    <row r="2758" spans="14:16" x14ac:dyDescent="0.3">
      <c r="N2758" s="7"/>
    </row>
    <row r="2759" spans="14:16" x14ac:dyDescent="0.3">
      <c r="N2759" s="7"/>
    </row>
    <row r="2760" spans="14:16" x14ac:dyDescent="0.3">
      <c r="N2760" s="7"/>
    </row>
    <row r="2761" spans="14:16" x14ac:dyDescent="0.3">
      <c r="N2761" s="7"/>
    </row>
    <row r="2762" spans="14:16" x14ac:dyDescent="0.3">
      <c r="N2762" s="7"/>
    </row>
    <row r="2763" spans="14:16" x14ac:dyDescent="0.3">
      <c r="N2763" s="6"/>
    </row>
    <row r="2764" spans="14:16" x14ac:dyDescent="0.3">
      <c r="N2764" s="7"/>
    </row>
    <row r="2765" spans="14:16" x14ac:dyDescent="0.3">
      <c r="N2765" s="7"/>
      <c r="O2765" s="7"/>
      <c r="P2765" s="7"/>
    </row>
    <row r="2767" spans="14:16" s="103" customFormat="1" x14ac:dyDescent="0.3">
      <c r="N2767" s="79"/>
    </row>
    <row r="2768" spans="14:16" s="103" customFormat="1" x14ac:dyDescent="0.3">
      <c r="N2768" s="79"/>
    </row>
    <row r="2770" spans="1:18" x14ac:dyDescent="0.3">
      <c r="A2770" s="71"/>
    </row>
    <row r="2771" spans="1:18" x14ac:dyDescent="0.3">
      <c r="M2771" s="74"/>
      <c r="N2771" s="74"/>
      <c r="O2771" s="74"/>
      <c r="P2771" s="75"/>
      <c r="Q2771" s="75"/>
    </row>
    <row r="2772" spans="1:18" x14ac:dyDescent="0.3">
      <c r="C2772" s="75"/>
      <c r="N2772" s="74"/>
      <c r="O2772" s="74"/>
      <c r="P2772" s="74"/>
      <c r="Q2772" s="75"/>
    </row>
    <row r="2773" spans="1:18" x14ac:dyDescent="0.3">
      <c r="C2773" s="75"/>
      <c r="N2773" s="75"/>
      <c r="O2773" s="74"/>
      <c r="P2773" s="74"/>
      <c r="Q2773" s="74"/>
    </row>
    <row r="2774" spans="1:18" x14ac:dyDescent="0.3">
      <c r="Q2774" s="21"/>
    </row>
    <row r="2775" spans="1:18" x14ac:dyDescent="0.3">
      <c r="Q2775" s="21"/>
    </row>
    <row r="2776" spans="1:18" x14ac:dyDescent="0.3">
      <c r="A2776" s="11"/>
      <c r="N2776" s="90"/>
      <c r="O2776" s="90"/>
      <c r="P2776" s="90"/>
      <c r="Q2776" s="90"/>
    </row>
    <row r="2777" spans="1:18" x14ac:dyDescent="0.3">
      <c r="N2777" s="22"/>
      <c r="O2777" s="22"/>
    </row>
    <row r="2778" spans="1:18" x14ac:dyDescent="0.3">
      <c r="N2778" s="22"/>
      <c r="O2778" s="22"/>
      <c r="P2778" s="22"/>
      <c r="R2778" s="22"/>
    </row>
    <row r="2779" spans="1:18" x14ac:dyDescent="0.3">
      <c r="O2779" s="22"/>
      <c r="P2779" s="22"/>
      <c r="Q2779" s="22"/>
    </row>
    <row r="2780" spans="1:18" x14ac:dyDescent="0.3">
      <c r="O2780" s="22"/>
      <c r="P2780" s="22"/>
    </row>
    <row r="2781" spans="1:18" x14ac:dyDescent="0.3">
      <c r="N2781" s="22"/>
      <c r="P2781" s="29"/>
      <c r="Q2781" s="29"/>
      <c r="R2781" s="22"/>
    </row>
    <row r="2782" spans="1:18" x14ac:dyDescent="0.3">
      <c r="N2782" s="22"/>
      <c r="P2782" s="29"/>
      <c r="Q2782" s="29"/>
      <c r="R2782" s="22"/>
    </row>
    <row r="2783" spans="1:18" x14ac:dyDescent="0.3">
      <c r="N2783" s="25"/>
    </row>
    <row r="2784" spans="1:18" x14ac:dyDescent="0.3">
      <c r="A2784" s="11"/>
      <c r="N2784" s="8"/>
      <c r="O2784" s="8"/>
      <c r="P2784" s="8"/>
    </row>
    <row r="2785" spans="1:18" x14ac:dyDescent="0.3">
      <c r="A2785" s="23"/>
      <c r="N2785" s="7"/>
      <c r="O2785" s="82"/>
    </row>
    <row r="2786" spans="1:18" x14ac:dyDescent="0.3">
      <c r="A2786" s="24"/>
      <c r="N2786" s="7"/>
      <c r="O2786" s="7"/>
      <c r="P2786" s="7"/>
      <c r="Q2786" s="7"/>
    </row>
    <row r="2787" spans="1:18" x14ac:dyDescent="0.3">
      <c r="A2787" s="23"/>
      <c r="O2787" s="7"/>
      <c r="P2787" s="7"/>
      <c r="Q2787" s="7"/>
    </row>
    <row r="2788" spans="1:18" x14ac:dyDescent="0.3">
      <c r="A2788" s="23"/>
      <c r="O2788" s="7"/>
      <c r="P2788" s="7"/>
      <c r="Q2788" s="7"/>
      <c r="R2788" s="7"/>
    </row>
    <row r="2789" spans="1:18" x14ac:dyDescent="0.3">
      <c r="A2789" s="23"/>
      <c r="O2789" s="7"/>
    </row>
    <row r="2790" spans="1:18" x14ac:dyDescent="0.3">
      <c r="A2790" s="23"/>
      <c r="O2790" s="7"/>
      <c r="P2790" s="7"/>
      <c r="Q2790" s="7"/>
      <c r="R2790" s="7"/>
    </row>
    <row r="2791" spans="1:18" x14ac:dyDescent="0.3">
      <c r="A2791" s="23"/>
      <c r="O2791" s="7"/>
    </row>
    <row r="2792" spans="1:18" x14ac:dyDescent="0.3">
      <c r="A2792" s="11"/>
      <c r="N2792" s="8"/>
      <c r="O2792" s="8"/>
      <c r="P2792" s="8"/>
      <c r="Q2792" s="8"/>
    </row>
    <row r="2793" spans="1:18" x14ac:dyDescent="0.3">
      <c r="A2793" s="23"/>
      <c r="N2793" s="7"/>
      <c r="O2793" s="7"/>
      <c r="P2793" s="7"/>
    </row>
    <row r="2794" spans="1:18" x14ac:dyDescent="0.3">
      <c r="A2794" s="24"/>
      <c r="O2794" s="7"/>
      <c r="P2794" s="7"/>
      <c r="Q2794" s="7"/>
    </row>
    <row r="2795" spans="1:18" x14ac:dyDescent="0.3">
      <c r="A2795" s="23"/>
      <c r="O2795" s="7"/>
      <c r="P2795" s="7"/>
      <c r="Q2795" s="7"/>
    </row>
    <row r="2796" spans="1:18" x14ac:dyDescent="0.3">
      <c r="A2796" s="81"/>
    </row>
    <row r="2797" spans="1:18" x14ac:dyDescent="0.3">
      <c r="A2797" s="23"/>
      <c r="N2797" s="7"/>
      <c r="O2797" s="7"/>
      <c r="P2797" s="7"/>
    </row>
    <row r="2798" spans="1:18" x14ac:dyDescent="0.3">
      <c r="A2798" s="24"/>
      <c r="N2798" s="7"/>
      <c r="O2798" s="7"/>
      <c r="P2798" s="7"/>
    </row>
    <row r="2799" spans="1:18" x14ac:dyDescent="0.3">
      <c r="A2799" s="23"/>
      <c r="O2799" s="7"/>
      <c r="P2799" s="7"/>
      <c r="Q2799" s="7"/>
    </row>
    <row r="2800" spans="1:18" x14ac:dyDescent="0.3">
      <c r="A2800" s="23"/>
      <c r="P2800" s="7"/>
      <c r="Q2800" s="7"/>
    </row>
    <row r="2801" spans="1:18" x14ac:dyDescent="0.3">
      <c r="A2801" s="23"/>
      <c r="P2801" s="7"/>
      <c r="Q2801" s="7"/>
    </row>
    <row r="2802" spans="1:18" x14ac:dyDescent="0.3">
      <c r="A2802" s="11"/>
      <c r="N2802" s="8"/>
      <c r="O2802" s="8"/>
      <c r="P2802" s="8"/>
      <c r="Q2802" s="8"/>
    </row>
    <row r="2803" spans="1:18" x14ac:dyDescent="0.3">
      <c r="A2803" s="23"/>
      <c r="N2803" s="7"/>
      <c r="O2803" s="7"/>
      <c r="P2803" s="7"/>
    </row>
    <row r="2804" spans="1:18" x14ac:dyDescent="0.3">
      <c r="A2804" s="24"/>
      <c r="N2804" s="7"/>
      <c r="O2804" s="7"/>
      <c r="P2804" s="7"/>
      <c r="Q2804" s="7"/>
    </row>
    <row r="2805" spans="1:18" x14ac:dyDescent="0.3">
      <c r="A2805" s="23"/>
      <c r="O2805" s="7"/>
      <c r="P2805" s="7"/>
      <c r="Q2805" s="7"/>
    </row>
    <row r="2806" spans="1:18" x14ac:dyDescent="0.3">
      <c r="A2806" s="23"/>
      <c r="P2806" s="7"/>
      <c r="Q2806" s="7"/>
    </row>
    <row r="2807" spans="1:18" x14ac:dyDescent="0.3">
      <c r="A2807" s="23"/>
    </row>
    <row r="2808" spans="1:18" x14ac:dyDescent="0.3">
      <c r="A2808" s="11"/>
      <c r="N2808" s="8"/>
      <c r="O2808" s="8"/>
      <c r="P2808" s="8"/>
      <c r="Q2808" s="8"/>
    </row>
    <row r="2809" spans="1:18" x14ac:dyDescent="0.3">
      <c r="A2809" s="11"/>
      <c r="N2809" s="8"/>
      <c r="O2809" s="8"/>
      <c r="P2809" s="8"/>
      <c r="Q2809" s="8"/>
    </row>
    <row r="2810" spans="1:18" x14ac:dyDescent="0.3">
      <c r="C2810" s="23"/>
      <c r="N2810" s="6"/>
    </row>
    <row r="2811" spans="1:18" x14ac:dyDescent="0.3">
      <c r="C2811" s="23"/>
      <c r="N2811" s="6"/>
    </row>
    <row r="2812" spans="1:18" x14ac:dyDescent="0.3">
      <c r="C2812" s="23"/>
      <c r="N2812" s="6"/>
      <c r="O2812" s="27"/>
      <c r="P2812" s="27"/>
      <c r="Q2812" s="27"/>
      <c r="R2812" s="27"/>
    </row>
    <row r="2813" spans="1:18" x14ac:dyDescent="0.3">
      <c r="C2813" s="24"/>
      <c r="N2813" s="6"/>
      <c r="O2813" s="27"/>
      <c r="P2813" s="27"/>
      <c r="Q2813" s="27"/>
      <c r="R2813" s="27"/>
    </row>
    <row r="2815" spans="1:18" x14ac:dyDescent="0.3">
      <c r="A2815" s="11"/>
      <c r="N2815" s="8"/>
    </row>
    <row r="2817" spans="1:14" x14ac:dyDescent="0.3">
      <c r="N2817" s="28"/>
    </row>
    <row r="2819" spans="1:14" x14ac:dyDescent="0.3">
      <c r="A2819" s="72"/>
      <c r="N2819" s="73"/>
    </row>
    <row r="2821" spans="1:14" x14ac:dyDescent="0.3">
      <c r="N2821" s="7"/>
    </row>
  </sheetData>
  <mergeCells count="35">
    <mergeCell ref="A1863:AD1863"/>
    <mergeCell ref="A1950:U1950"/>
    <mergeCell ref="A1420:U1420"/>
    <mergeCell ref="A1509:U1509"/>
    <mergeCell ref="A1598:U1598"/>
    <mergeCell ref="A1685:AD1685"/>
    <mergeCell ref="A1774:AD1774"/>
    <mergeCell ref="A37:AF37"/>
    <mergeCell ref="A898:U898"/>
    <mergeCell ref="A985:AD985"/>
    <mergeCell ref="A1072:AD1072"/>
    <mergeCell ref="A376:AD376"/>
    <mergeCell ref="A463:U463"/>
    <mergeCell ref="A550:AD550"/>
    <mergeCell ref="A637:U637"/>
    <mergeCell ref="A289:U289"/>
    <mergeCell ref="P202:AD202"/>
    <mergeCell ref="J115:R115"/>
    <mergeCell ref="S115:AA115"/>
    <mergeCell ref="A202:O202"/>
    <mergeCell ref="A115:I115"/>
    <mergeCell ref="A1159:U1159"/>
    <mergeCell ref="A1246:AD1246"/>
    <mergeCell ref="A1333:U1333"/>
    <mergeCell ref="A724:AD724"/>
    <mergeCell ref="A811:U811"/>
    <mergeCell ref="A2478:AD2478"/>
    <mergeCell ref="A2565:U2565"/>
    <mergeCell ref="V2565:AP2565"/>
    <mergeCell ref="A2652:AD2652"/>
    <mergeCell ref="A2039:AD2039"/>
    <mergeCell ref="A2128:U2128"/>
    <mergeCell ref="A2217:U2217"/>
    <mergeCell ref="A2304:AD2304"/>
    <mergeCell ref="A2391:AD2391"/>
  </mergeCells>
  <phoneticPr fontId="5" type="noConversion"/>
  <hyperlinks>
    <hyperlink ref="A1247" location="Model!A504" display="From (7) IL 3/2.2" xr:uid="{BA8C1492-E55B-4656-86B9-857701882414}"/>
  </hyperlinks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E31AD-A985-465D-8769-CA453EA73B39}">
  <sheetPr>
    <tabColor rgb="FFFF9999"/>
  </sheetPr>
  <dimension ref="A1:U70"/>
  <sheetViews>
    <sheetView zoomScale="90" zoomScaleNormal="90" workbookViewId="0">
      <pane xSplit="5" ySplit="1" topLeftCell="F20" activePane="bottomRight" state="frozen"/>
      <selection pane="topRight" activeCell="F1" sqref="F1"/>
      <selection pane="bottomLeft" activeCell="A2" sqref="A2"/>
      <selection pane="bottomRight" activeCell="I25" sqref="I25"/>
    </sheetView>
  </sheetViews>
  <sheetFormatPr defaultRowHeight="15.6" x14ac:dyDescent="0.3"/>
  <cols>
    <col min="1" max="1" width="18" customWidth="1"/>
    <col min="2" max="3" width="16.09765625" customWidth="1"/>
    <col min="4" max="5" width="13.8984375" customWidth="1"/>
    <col min="6" max="6" width="8.8984375" bestFit="1" customWidth="1"/>
    <col min="7" max="10" width="10.19921875" bestFit="1" customWidth="1"/>
    <col min="11" max="11" width="8.8984375" bestFit="1" customWidth="1"/>
    <col min="12" max="12" width="11.59765625" customWidth="1"/>
    <col min="13" max="13" width="8.8984375" bestFit="1" customWidth="1"/>
    <col min="14" max="14" width="10.09765625" customWidth="1"/>
    <col min="15" max="18" width="8.8984375" bestFit="1" customWidth="1"/>
    <col min="19" max="20" width="7.8984375" bestFit="1" customWidth="1"/>
    <col min="21" max="21" width="6.8984375" bestFit="1" customWidth="1"/>
  </cols>
  <sheetData>
    <row r="1" spans="1:21" x14ac:dyDescent="0.3">
      <c r="E1" t="s">
        <v>315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</row>
    <row r="2" spans="1:21" x14ac:dyDescent="0.3">
      <c r="A2" t="str">
        <f>Model!A3</f>
        <v>Additional Cash Issued Total, $</v>
      </c>
      <c r="E2" s="8">
        <f>SUM(F2:U2)</f>
        <v>1317342.5861322149</v>
      </c>
      <c r="F2" s="6">
        <f>Model!D3</f>
        <v>320512.8205128205</v>
      </c>
      <c r="G2" s="6">
        <f>Model!E3</f>
        <v>205128.20512820513</v>
      </c>
      <c r="H2" s="6">
        <f>Model!F3</f>
        <v>131282.05128205128</v>
      </c>
      <c r="I2" s="6">
        <f>Model!G3</f>
        <v>173448.07589743589</v>
      </c>
      <c r="J2" s="6">
        <f>Model!H3</f>
        <v>168240.40894358975</v>
      </c>
      <c r="K2" s="6">
        <f>Model!I3</f>
        <v>109888.58950892306</v>
      </c>
      <c r="L2" s="6">
        <f>Model!J3</f>
        <v>53878.004991487687</v>
      </c>
      <c r="M2" s="6">
        <f>Model!K3</f>
        <v>94537.467927466321</v>
      </c>
      <c r="N2" s="6">
        <f>Model!L3</f>
        <v>47427.890649973706</v>
      </c>
      <c r="O2" s="6">
        <f>Model!M3</f>
        <v>3480.9147017157275</v>
      </c>
      <c r="P2" s="6">
        <f>Model!N3</f>
        <v>8911.1416363922654</v>
      </c>
      <c r="Q2" s="6">
        <f>Model!O3</f>
        <v>0</v>
      </c>
      <c r="R2" s="6">
        <f>Model!P3</f>
        <v>607.01495215349041</v>
      </c>
      <c r="S2" s="6">
        <f>Model!Q3</f>
        <v>0</v>
      </c>
      <c r="T2" s="6">
        <f>Model!R3</f>
        <v>0</v>
      </c>
      <c r="U2" s="6">
        <f>Model!S3</f>
        <v>0</v>
      </c>
    </row>
    <row r="4" spans="1:21" x14ac:dyDescent="0.3">
      <c r="A4" t="str">
        <f>Model!A6</f>
        <v>Amount of Loans Disbursed Total, $</v>
      </c>
      <c r="E4" s="8">
        <f>SUM(F4:U4)</f>
        <v>3912531.8991167606</v>
      </c>
      <c r="F4" s="6">
        <f>Model!D6</f>
        <v>480769.23076923081</v>
      </c>
      <c r="G4" s="6">
        <f>Model!E6</f>
        <v>615384.61538461538</v>
      </c>
      <c r="H4" s="6">
        <f>Model!F6</f>
        <v>590769.23076923075</v>
      </c>
      <c r="I4" s="6">
        <f>Model!G6</f>
        <v>638264.4215384617</v>
      </c>
      <c r="J4" s="6">
        <f>Model!H6</f>
        <v>660849.8432</v>
      </c>
      <c r="K4" s="6">
        <f>Model!I6</f>
        <v>329665.76852676918</v>
      </c>
      <c r="L4" s="6">
        <f>Model!J6</f>
        <v>291803.09934436379</v>
      </c>
      <c r="M4" s="6">
        <f>Model!K6</f>
        <v>159771.31198588651</v>
      </c>
      <c r="N4" s="6">
        <f>Model!L6</f>
        <v>125755.77066280905</v>
      </c>
      <c r="O4" s="6">
        <f>Model!M6</f>
        <v>5221.3720525735916</v>
      </c>
      <c r="P4" s="6">
        <f>Model!N6</f>
        <v>13366.712454588396</v>
      </c>
      <c r="Q4" s="6">
        <f>Model!O6</f>
        <v>0</v>
      </c>
      <c r="R4" s="6">
        <f>Model!P6</f>
        <v>910.52242823023562</v>
      </c>
      <c r="S4" s="6">
        <f>Model!Q6</f>
        <v>0</v>
      </c>
      <c r="T4" s="6">
        <f>Model!R6</f>
        <v>0</v>
      </c>
      <c r="U4" s="6">
        <f>Model!S6</f>
        <v>0</v>
      </c>
    </row>
    <row r="5" spans="1:21" x14ac:dyDescent="0.3"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3">
      <c r="A6" t="str">
        <f>Model!A12</f>
        <v>Loan Repaid  TOTAL, $</v>
      </c>
      <c r="E6" s="8">
        <f>SUM(F6:U6)</f>
        <v>1645433.8602563331</v>
      </c>
      <c r="F6" s="6">
        <f>Model!D12</f>
        <v>128205.12820512819</v>
      </c>
      <c r="G6" s="6">
        <f>Model!E12</f>
        <v>196153.84615384613</v>
      </c>
      <c r="H6" s="6">
        <f>Model!F12</f>
        <v>223435.89743589744</v>
      </c>
      <c r="I6" s="6">
        <f>Model!G12</f>
        <v>242091.02523076924</v>
      </c>
      <c r="J6" s="6">
        <f>Model!H12</f>
        <v>216585.17603282051</v>
      </c>
      <c r="K6" s="6">
        <f>Model!I12</f>
        <v>214874.25338190771</v>
      </c>
      <c r="L6" s="6">
        <f>Model!J12</f>
        <v>156450.14053175651</v>
      </c>
      <c r="M6" s="6">
        <f>Model!K12</f>
        <v>105892.8776628935</v>
      </c>
      <c r="N6" s="6">
        <f>Model!L12</f>
        <v>88443.069615508037</v>
      </c>
      <c r="O6" s="6">
        <f>Model!M12</f>
        <v>43962.334879902919</v>
      </c>
      <c r="P6" s="6">
        <f>Model!N12</f>
        <v>23349.686015671115</v>
      </c>
      <c r="Q6" s="6">
        <f>Model!O12</f>
        <v>3305.2110823625185</v>
      </c>
      <c r="R6" s="6">
        <f>Model!P12</f>
        <v>2309.5017290422743</v>
      </c>
      <c r="S6" s="6">
        <f>Model!Q12</f>
        <v>226.50802358808323</v>
      </c>
      <c r="T6" s="6">
        <f>Model!R12</f>
        <v>145.45595790978012</v>
      </c>
      <c r="U6" s="6">
        <f>Model!S12</f>
        <v>3.7483173295478025</v>
      </c>
    </row>
    <row r="7" spans="1:21" x14ac:dyDescent="0.3"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3">
      <c r="A8" t="str">
        <f>Model!A24</f>
        <v>Surplus Cumulative, %</v>
      </c>
      <c r="E8" s="90">
        <f>U8</f>
        <v>0.24905539195192272</v>
      </c>
      <c r="F8" s="22">
        <f>Model!D24</f>
        <v>-0.60000000000000009</v>
      </c>
      <c r="G8" s="22">
        <f>Model!E24</f>
        <v>-0.3829268292682928</v>
      </c>
      <c r="H8" s="22">
        <f>Model!F24</f>
        <v>-0.16612021857923498</v>
      </c>
      <c r="I8" s="22">
        <f>Model!G24</f>
        <v>-4.8755614471138409E-2</v>
      </c>
      <c r="J8" s="22">
        <f>Model!H24</f>
        <v>7.87043891267869E-3</v>
      </c>
      <c r="K8" s="22">
        <f>Model!I24</f>
        <v>0.10179987349370201</v>
      </c>
      <c r="L8" s="22">
        <f>Model!J24</f>
        <v>0.18532463772365637</v>
      </c>
      <c r="M8" s="22">
        <f>Model!K24</f>
        <v>0.18042000280553627</v>
      </c>
      <c r="N8" s="22">
        <f>Model!L24</f>
        <v>0.20530473480448252</v>
      </c>
      <c r="O8" s="22">
        <f>Model!M24</f>
        <v>0.23571154707235698</v>
      </c>
      <c r="P8" s="22">
        <f>Model!N24</f>
        <v>0.24508175447620673</v>
      </c>
      <c r="Q8" s="22">
        <f>Model!O24</f>
        <v>0.24759191001138414</v>
      </c>
      <c r="R8" s="22">
        <f>Model!P24</f>
        <v>0.24877018725059252</v>
      </c>
      <c r="S8" s="22">
        <f>Model!Q24</f>
        <v>0.24894213039277324</v>
      </c>
      <c r="T8" s="22">
        <f>Model!R24</f>
        <v>0.24905254658932008</v>
      </c>
      <c r="U8" s="22">
        <f>Model!S24</f>
        <v>0.24905539195192272</v>
      </c>
    </row>
    <row r="9" spans="1:21" x14ac:dyDescent="0.3">
      <c r="E9">
        <f>E6/E2</f>
        <v>1.2490553919519227</v>
      </c>
    </row>
    <row r="10" spans="1:21" x14ac:dyDescent="0.3">
      <c r="A10" s="11" t="s">
        <v>124</v>
      </c>
      <c r="B10" s="113">
        <v>10000</v>
      </c>
    </row>
    <row r="11" spans="1:21" x14ac:dyDescent="0.3">
      <c r="A11" s="11"/>
      <c r="B11" s="113"/>
    </row>
    <row r="12" spans="1:21" x14ac:dyDescent="0.3">
      <c r="A12" s="70" t="s">
        <v>126</v>
      </c>
      <c r="B12" s="111">
        <v>0.5</v>
      </c>
    </row>
    <row r="13" spans="1:21" x14ac:dyDescent="0.3">
      <c r="A13" s="11"/>
      <c r="B13" s="113"/>
    </row>
    <row r="14" spans="1:21" x14ac:dyDescent="0.3">
      <c r="A14" t="s">
        <v>280</v>
      </c>
      <c r="B14" s="113">
        <v>15600</v>
      </c>
    </row>
    <row r="15" spans="1:21" x14ac:dyDescent="0.3">
      <c r="A15" t="s">
        <v>135</v>
      </c>
      <c r="B15" s="113">
        <f>C15/$B$14</f>
        <v>32.051282051282051</v>
      </c>
      <c r="C15" s="113">
        <v>500000</v>
      </c>
    </row>
    <row r="17" spans="1:10" x14ac:dyDescent="0.3">
      <c r="A17" s="121" t="s">
        <v>304</v>
      </c>
      <c r="B17" s="116" t="s">
        <v>281</v>
      </c>
      <c r="C17" s="62" t="s">
        <v>282</v>
      </c>
    </row>
    <row r="18" spans="1:10" x14ac:dyDescent="0.3">
      <c r="A18" s="115" t="s">
        <v>274</v>
      </c>
      <c r="B18" s="120">
        <f t="shared" ref="B18:B22" si="0">C18/$B$14</f>
        <v>32.051282051282051</v>
      </c>
      <c r="C18" s="113">
        <f>C15</f>
        <v>500000</v>
      </c>
    </row>
    <row r="19" spans="1:10" x14ac:dyDescent="0.3">
      <c r="A19" s="115" t="s">
        <v>275</v>
      </c>
      <c r="B19" s="120">
        <f t="shared" si="0"/>
        <v>64.102564102564102</v>
      </c>
      <c r="C19" s="113">
        <f>C18+$C$15</f>
        <v>1000000</v>
      </c>
    </row>
    <row r="20" spans="1:10" x14ac:dyDescent="0.3">
      <c r="A20" s="115" t="s">
        <v>276</v>
      </c>
      <c r="B20" s="120">
        <f t="shared" si="0"/>
        <v>96.15384615384616</v>
      </c>
      <c r="C20" s="113">
        <f t="shared" ref="C20:C22" si="1">C19+$C$15</f>
        <v>1500000</v>
      </c>
    </row>
    <row r="21" spans="1:10" x14ac:dyDescent="0.3">
      <c r="A21" s="115" t="s">
        <v>277</v>
      </c>
      <c r="B21" s="120">
        <f t="shared" si="0"/>
        <v>128.2051282051282</v>
      </c>
      <c r="C21" s="113">
        <f t="shared" si="1"/>
        <v>2000000</v>
      </c>
    </row>
    <row r="22" spans="1:10" x14ac:dyDescent="0.3">
      <c r="A22" s="115" t="s">
        <v>278</v>
      </c>
      <c r="B22" s="120">
        <f t="shared" si="0"/>
        <v>160.25641025641025</v>
      </c>
      <c r="C22" s="113">
        <f t="shared" si="1"/>
        <v>2500000</v>
      </c>
    </row>
    <row r="24" spans="1:10" x14ac:dyDescent="0.3">
      <c r="E24" s="74"/>
    </row>
    <row r="25" spans="1:10" x14ac:dyDescent="0.3">
      <c r="A25" s="115"/>
      <c r="B25" s="148" t="s">
        <v>305</v>
      </c>
      <c r="C25" s="149"/>
      <c r="D25" s="150" t="s">
        <v>306</v>
      </c>
      <c r="E25" s="151"/>
      <c r="F25" s="111"/>
    </row>
    <row r="26" spans="1:10" ht="33.75" customHeight="1" x14ac:dyDescent="0.3">
      <c r="A26" s="125" t="s">
        <v>316</v>
      </c>
      <c r="B26" s="117" t="s">
        <v>128</v>
      </c>
      <c r="C26" s="118" t="s">
        <v>129</v>
      </c>
      <c r="D26" s="119" t="s">
        <v>128</v>
      </c>
      <c r="E26" s="119" t="s">
        <v>129</v>
      </c>
      <c r="F26" s="62"/>
      <c r="I26" s="111"/>
    </row>
    <row r="27" spans="1:10" x14ac:dyDescent="0.3">
      <c r="A27" s="115" t="s">
        <v>274</v>
      </c>
      <c r="B27" s="114">
        <v>0.8</v>
      </c>
      <c r="C27" s="114">
        <f>1-B27</f>
        <v>0.19999999999999996</v>
      </c>
      <c r="D27" s="114" t="s">
        <v>314</v>
      </c>
      <c r="E27" s="114" t="s">
        <v>314</v>
      </c>
      <c r="H27" s="111"/>
      <c r="I27" s="111"/>
      <c r="J27" s="111"/>
    </row>
    <row r="28" spans="1:10" x14ac:dyDescent="0.3">
      <c r="A28" s="115" t="s">
        <v>275</v>
      </c>
      <c r="B28" s="114">
        <f>$B$27</f>
        <v>0.8</v>
      </c>
      <c r="C28" s="114">
        <f t="shared" ref="C28:C31" si="2">1-B28</f>
        <v>0.19999999999999996</v>
      </c>
      <c r="D28" s="114">
        <f t="shared" ref="D28:D30" si="3">B28</f>
        <v>0.8</v>
      </c>
      <c r="E28" s="114">
        <f t="shared" ref="E28:E31" si="4">1-D28</f>
        <v>0.19999999999999996</v>
      </c>
      <c r="H28" s="111"/>
      <c r="I28" s="111"/>
    </row>
    <row r="29" spans="1:10" x14ac:dyDescent="0.3">
      <c r="A29" s="115" t="s">
        <v>276</v>
      </c>
      <c r="B29" s="114">
        <f t="shared" ref="B29:B30" si="5">$B$27</f>
        <v>0.8</v>
      </c>
      <c r="C29" s="114">
        <f t="shared" si="2"/>
        <v>0.19999999999999996</v>
      </c>
      <c r="D29" s="114">
        <f t="shared" si="3"/>
        <v>0.8</v>
      </c>
      <c r="E29" s="114">
        <f t="shared" si="4"/>
        <v>0.19999999999999996</v>
      </c>
    </row>
    <row r="30" spans="1:10" x14ac:dyDescent="0.3">
      <c r="A30" s="115" t="s">
        <v>277</v>
      </c>
      <c r="B30" s="114">
        <f t="shared" si="5"/>
        <v>0.8</v>
      </c>
      <c r="C30" s="114">
        <f t="shared" si="2"/>
        <v>0.19999999999999996</v>
      </c>
      <c r="D30" s="114">
        <f t="shared" si="3"/>
        <v>0.8</v>
      </c>
      <c r="E30" s="114">
        <f t="shared" si="4"/>
        <v>0.19999999999999996</v>
      </c>
    </row>
    <row r="31" spans="1:10" x14ac:dyDescent="0.3">
      <c r="A31" s="115" t="s">
        <v>278</v>
      </c>
      <c r="B31" s="114">
        <v>0</v>
      </c>
      <c r="C31" s="114">
        <f t="shared" si="2"/>
        <v>1</v>
      </c>
      <c r="D31" s="114">
        <v>0</v>
      </c>
      <c r="E31" s="114">
        <f t="shared" si="4"/>
        <v>1</v>
      </c>
    </row>
    <row r="35" spans="1:5" ht="31.2" x14ac:dyDescent="0.3">
      <c r="A35" s="124" t="s">
        <v>16</v>
      </c>
      <c r="B35" s="122" t="s">
        <v>305</v>
      </c>
      <c r="C35" s="123" t="s">
        <v>306</v>
      </c>
    </row>
    <row r="37" spans="1:5" x14ac:dyDescent="0.3">
      <c r="A37" s="11" t="s">
        <v>274</v>
      </c>
    </row>
    <row r="38" spans="1:5" x14ac:dyDescent="0.3">
      <c r="A38" t="s">
        <v>311</v>
      </c>
      <c r="B38" s="146">
        <v>0.2</v>
      </c>
      <c r="C38" s="147"/>
      <c r="E38" s="127">
        <v>0.2</v>
      </c>
    </row>
    <row r="39" spans="1:5" x14ac:dyDescent="0.3">
      <c r="A39" t="s">
        <v>312</v>
      </c>
      <c r="B39" s="146">
        <v>0.25</v>
      </c>
      <c r="C39" s="147" t="s">
        <v>314</v>
      </c>
      <c r="E39" s="127">
        <v>0.25</v>
      </c>
    </row>
    <row r="40" spans="1:5" x14ac:dyDescent="0.3">
      <c r="A40" t="s">
        <v>313</v>
      </c>
      <c r="B40" s="146">
        <v>0.13</v>
      </c>
      <c r="C40" s="147" t="s">
        <v>314</v>
      </c>
      <c r="E40" s="127">
        <v>0.13</v>
      </c>
    </row>
    <row r="41" spans="1:5" x14ac:dyDescent="0.3">
      <c r="A41" t="s">
        <v>18</v>
      </c>
      <c r="B41" s="146">
        <v>0.8</v>
      </c>
      <c r="C41" s="147" t="s">
        <v>314</v>
      </c>
      <c r="E41" s="127">
        <v>0.8</v>
      </c>
    </row>
    <row r="42" spans="1:5" x14ac:dyDescent="0.3">
      <c r="A42" t="s">
        <v>299</v>
      </c>
      <c r="B42" s="146">
        <v>1</v>
      </c>
      <c r="C42" s="147" t="s">
        <v>314</v>
      </c>
      <c r="E42" s="127">
        <v>1</v>
      </c>
    </row>
    <row r="43" spans="1:5" x14ac:dyDescent="0.3">
      <c r="E43" s="31"/>
    </row>
    <row r="44" spans="1:5" x14ac:dyDescent="0.3">
      <c r="A44" s="11" t="s">
        <v>275</v>
      </c>
    </row>
    <row r="45" spans="1:5" x14ac:dyDescent="0.3">
      <c r="A45" t="s">
        <v>311</v>
      </c>
      <c r="B45" s="114">
        <f>B38</f>
        <v>0.2</v>
      </c>
      <c r="C45" s="111">
        <f t="shared" ref="C45:C49" si="6">B45</f>
        <v>0.2</v>
      </c>
    </row>
    <row r="46" spans="1:5" x14ac:dyDescent="0.3">
      <c r="A46" t="s">
        <v>312</v>
      </c>
      <c r="B46" s="114">
        <f t="shared" ref="B46:B48" si="7">B39</f>
        <v>0.25</v>
      </c>
      <c r="C46" s="111">
        <f t="shared" si="6"/>
        <v>0.25</v>
      </c>
    </row>
    <row r="47" spans="1:5" x14ac:dyDescent="0.3">
      <c r="A47" t="s">
        <v>313</v>
      </c>
      <c r="B47" s="114">
        <f t="shared" si="7"/>
        <v>0.13</v>
      </c>
      <c r="C47" s="111">
        <f t="shared" si="6"/>
        <v>0.13</v>
      </c>
    </row>
    <row r="48" spans="1:5" x14ac:dyDescent="0.3">
      <c r="A48" t="s">
        <v>18</v>
      </c>
      <c r="B48" s="114">
        <f t="shared" si="7"/>
        <v>0.8</v>
      </c>
      <c r="C48" s="111">
        <f t="shared" si="6"/>
        <v>0.8</v>
      </c>
    </row>
    <row r="49" spans="1:3" x14ac:dyDescent="0.3">
      <c r="A49" t="s">
        <v>299</v>
      </c>
      <c r="B49" s="114">
        <v>1</v>
      </c>
      <c r="C49" s="111">
        <f t="shared" si="6"/>
        <v>1</v>
      </c>
    </row>
    <row r="51" spans="1:3" x14ac:dyDescent="0.3">
      <c r="A51" s="11" t="s">
        <v>276</v>
      </c>
    </row>
    <row r="52" spans="1:3" x14ac:dyDescent="0.3">
      <c r="A52" t="s">
        <v>311</v>
      </c>
      <c r="B52" s="114">
        <f>B45</f>
        <v>0.2</v>
      </c>
      <c r="C52" s="111">
        <f t="shared" ref="C52:C56" si="8">B52</f>
        <v>0.2</v>
      </c>
    </row>
    <row r="53" spans="1:3" x14ac:dyDescent="0.3">
      <c r="A53" t="s">
        <v>312</v>
      </c>
      <c r="B53" s="114">
        <f t="shared" ref="B53:B55" si="9">B46</f>
        <v>0.25</v>
      </c>
      <c r="C53" s="111">
        <f t="shared" si="8"/>
        <v>0.25</v>
      </c>
    </row>
    <row r="54" spans="1:3" x14ac:dyDescent="0.3">
      <c r="A54" t="s">
        <v>313</v>
      </c>
      <c r="B54" s="114">
        <f t="shared" si="9"/>
        <v>0.13</v>
      </c>
      <c r="C54" s="111">
        <f t="shared" si="8"/>
        <v>0.13</v>
      </c>
    </row>
    <row r="55" spans="1:3" x14ac:dyDescent="0.3">
      <c r="A55" t="s">
        <v>18</v>
      </c>
      <c r="B55" s="114">
        <f t="shared" si="9"/>
        <v>0.8</v>
      </c>
      <c r="C55" s="111">
        <f t="shared" si="8"/>
        <v>0.8</v>
      </c>
    </row>
    <row r="56" spans="1:3" x14ac:dyDescent="0.3">
      <c r="A56" t="s">
        <v>299</v>
      </c>
      <c r="B56" s="114">
        <v>1</v>
      </c>
      <c r="C56" s="111">
        <f t="shared" si="8"/>
        <v>1</v>
      </c>
    </row>
    <row r="58" spans="1:3" x14ac:dyDescent="0.3">
      <c r="A58" s="11" t="s">
        <v>277</v>
      </c>
    </row>
    <row r="59" spans="1:3" x14ac:dyDescent="0.3">
      <c r="A59" t="s">
        <v>311</v>
      </c>
      <c r="B59" s="114">
        <f>B52</f>
        <v>0.2</v>
      </c>
      <c r="C59" s="111">
        <f t="shared" ref="C59:C63" si="10">B59</f>
        <v>0.2</v>
      </c>
    </row>
    <row r="60" spans="1:3" x14ac:dyDescent="0.3">
      <c r="A60" t="s">
        <v>312</v>
      </c>
      <c r="B60" s="114">
        <f t="shared" ref="B60:B62" si="11">B53</f>
        <v>0.25</v>
      </c>
      <c r="C60" s="111">
        <f t="shared" si="10"/>
        <v>0.25</v>
      </c>
    </row>
    <row r="61" spans="1:3" x14ac:dyDescent="0.3">
      <c r="A61" t="s">
        <v>313</v>
      </c>
      <c r="B61" s="114">
        <f t="shared" si="11"/>
        <v>0.13</v>
      </c>
      <c r="C61" s="111">
        <f t="shared" si="10"/>
        <v>0.13</v>
      </c>
    </row>
    <row r="62" spans="1:3" x14ac:dyDescent="0.3">
      <c r="A62" t="s">
        <v>18</v>
      </c>
      <c r="B62" s="114">
        <f t="shared" si="11"/>
        <v>0.8</v>
      </c>
      <c r="C62" s="111">
        <f t="shared" si="10"/>
        <v>0.8</v>
      </c>
    </row>
    <row r="63" spans="1:3" x14ac:dyDescent="0.3">
      <c r="A63" t="s">
        <v>299</v>
      </c>
      <c r="B63" s="114">
        <v>1</v>
      </c>
      <c r="C63" s="111">
        <f t="shared" si="10"/>
        <v>1</v>
      </c>
    </row>
    <row r="65" spans="1:3" x14ac:dyDescent="0.3">
      <c r="A65" s="11" t="s">
        <v>278</v>
      </c>
    </row>
    <row r="66" spans="1:3" x14ac:dyDescent="0.3">
      <c r="A66" t="s">
        <v>311</v>
      </c>
      <c r="B66" s="114">
        <v>0.45</v>
      </c>
      <c r="C66" s="111">
        <f t="shared" ref="C66:C70" si="12">B66</f>
        <v>0.45</v>
      </c>
    </row>
    <row r="67" spans="1:3" x14ac:dyDescent="0.3">
      <c r="A67" t="s">
        <v>312</v>
      </c>
      <c r="B67" s="114">
        <v>0.3</v>
      </c>
      <c r="C67" s="111">
        <f t="shared" si="12"/>
        <v>0.3</v>
      </c>
    </row>
    <row r="68" spans="1:3" x14ac:dyDescent="0.3">
      <c r="A68" t="s">
        <v>313</v>
      </c>
      <c r="B68" s="114">
        <v>0.13</v>
      </c>
      <c r="C68" s="111">
        <f t="shared" si="12"/>
        <v>0.13</v>
      </c>
    </row>
    <row r="69" spans="1:3" x14ac:dyDescent="0.3">
      <c r="A69" t="s">
        <v>18</v>
      </c>
      <c r="B69" s="114">
        <v>0.8</v>
      </c>
      <c r="C69" s="111">
        <f t="shared" si="12"/>
        <v>0.8</v>
      </c>
    </row>
    <row r="70" spans="1:3" x14ac:dyDescent="0.3">
      <c r="A70" t="s">
        <v>299</v>
      </c>
      <c r="B70" s="114">
        <v>1</v>
      </c>
      <c r="C70" s="111">
        <f t="shared" si="12"/>
        <v>1</v>
      </c>
    </row>
  </sheetData>
  <mergeCells count="7">
    <mergeCell ref="B40:C40"/>
    <mergeCell ref="B41:C41"/>
    <mergeCell ref="B42:C42"/>
    <mergeCell ref="B25:C25"/>
    <mergeCell ref="D25:E25"/>
    <mergeCell ref="B38:C38"/>
    <mergeCell ref="B39:C39"/>
  </mergeCells>
  <conditionalFormatting sqref="B10:B13 H27:J27 I26 H28:I28 F25 B27:E31">
    <cfRule type="expression" dxfId="15" priority="23">
      <formula>NOT(_xlfn.ISFORMULA(B10))</formula>
    </cfRule>
  </conditionalFormatting>
  <conditionalFormatting sqref="B12">
    <cfRule type="expression" dxfId="14" priority="22">
      <formula>NOT(_xlfn.ISFORMULA(B12))</formula>
    </cfRule>
  </conditionalFormatting>
  <conditionalFormatting sqref="C15">
    <cfRule type="expression" dxfId="13" priority="20">
      <formula>NOT(_xlfn.ISFORMULA(C15))</formula>
    </cfRule>
  </conditionalFormatting>
  <conditionalFormatting sqref="C18:C22">
    <cfRule type="expression" dxfId="12" priority="19">
      <formula>NOT(_xlfn.ISFORMULA(C18))</formula>
    </cfRule>
  </conditionalFormatting>
  <conditionalFormatting sqref="B18:B22">
    <cfRule type="expression" dxfId="11" priority="18">
      <formula>NOT(_xlfn.ISFORMULA(B18))</formula>
    </cfRule>
  </conditionalFormatting>
  <conditionalFormatting sqref="B14:B15">
    <cfRule type="expression" dxfId="10" priority="17">
      <formula>NOT(_xlfn.ISFORMULA(B14))</formula>
    </cfRule>
  </conditionalFormatting>
  <conditionalFormatting sqref="B38:B42">
    <cfRule type="expression" dxfId="9" priority="14">
      <formula>NOT(_xlfn.ISFORMULA(B38))</formula>
    </cfRule>
  </conditionalFormatting>
  <conditionalFormatting sqref="B45:B49">
    <cfRule type="expression" dxfId="8" priority="13">
      <formula>NOT(_xlfn.ISFORMULA(B45))</formula>
    </cfRule>
  </conditionalFormatting>
  <conditionalFormatting sqref="C45:C49">
    <cfRule type="expression" dxfId="7" priority="11">
      <formula>NOT(_xlfn.ISFORMULA(C45))</formula>
    </cfRule>
  </conditionalFormatting>
  <conditionalFormatting sqref="B52:B56">
    <cfRule type="expression" dxfId="6" priority="10">
      <formula>NOT(_xlfn.ISFORMULA(B52))</formula>
    </cfRule>
  </conditionalFormatting>
  <conditionalFormatting sqref="C52:C56">
    <cfRule type="expression" dxfId="5" priority="9">
      <formula>NOT(_xlfn.ISFORMULA(C52))</formula>
    </cfRule>
  </conditionalFormatting>
  <conditionalFormatting sqref="B59:B63">
    <cfRule type="expression" dxfId="4" priority="8">
      <formula>NOT(_xlfn.ISFORMULA(B59))</formula>
    </cfRule>
  </conditionalFormatting>
  <conditionalFormatting sqref="C59:C63">
    <cfRule type="expression" dxfId="3" priority="7">
      <formula>NOT(_xlfn.ISFORMULA(C59))</formula>
    </cfRule>
  </conditionalFormatting>
  <conditionalFormatting sqref="C66:C70">
    <cfRule type="expression" dxfId="2" priority="5">
      <formula>NOT(_xlfn.ISFORMULA(C66))</formula>
    </cfRule>
  </conditionalFormatting>
  <conditionalFormatting sqref="B66:B70">
    <cfRule type="expression" dxfId="1" priority="4">
      <formula>NOT(_xlfn.ISFORMULA(B66))</formula>
    </cfRule>
  </conditionalFormatting>
  <conditionalFormatting sqref="E38:E42">
    <cfRule type="expression" dxfId="0" priority="1">
      <formula>NOT(_xlfn.ISFORMULA(E38))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8E96C-49F9-47F8-9E8C-599493994881}">
  <sheetPr codeName="Sheet3"/>
  <dimension ref="A2:AB110"/>
  <sheetViews>
    <sheetView topLeftCell="A2" zoomScale="90" zoomScaleNormal="90" workbookViewId="0">
      <pane ySplit="1" topLeftCell="A90" activePane="bottomLeft" state="frozen"/>
      <selection activeCell="A2" sqref="A2"/>
      <selection pane="bottomLeft" activeCell="C115" sqref="C115"/>
    </sheetView>
  </sheetViews>
  <sheetFormatPr defaultRowHeight="15.6" x14ac:dyDescent="0.3"/>
  <cols>
    <col min="1" max="1" width="3" customWidth="1"/>
    <col min="2" max="2" width="3.59765625" customWidth="1"/>
    <col min="3" max="13" width="15.69921875" style="35" customWidth="1"/>
    <col min="14" max="16" width="14.19921875" customWidth="1"/>
    <col min="17" max="17" width="13.8984375" customWidth="1"/>
  </cols>
  <sheetData>
    <row r="2" spans="3:27" x14ac:dyDescent="0.3">
      <c r="C2" s="35">
        <v>1</v>
      </c>
      <c r="D2" s="35">
        <v>2</v>
      </c>
      <c r="E2" s="35">
        <v>3</v>
      </c>
      <c r="F2" s="35">
        <v>4</v>
      </c>
      <c r="G2" s="35">
        <v>5</v>
      </c>
      <c r="H2" s="35">
        <v>6</v>
      </c>
      <c r="I2" s="35">
        <v>7</v>
      </c>
      <c r="J2" s="35">
        <v>8</v>
      </c>
      <c r="K2" s="35">
        <v>4</v>
      </c>
      <c r="L2" s="35">
        <v>5</v>
      </c>
      <c r="M2" s="35">
        <v>6</v>
      </c>
      <c r="N2" s="35">
        <v>7</v>
      </c>
      <c r="O2" s="35">
        <v>8</v>
      </c>
      <c r="P2" s="35">
        <v>9</v>
      </c>
      <c r="Q2" s="35">
        <v>10</v>
      </c>
      <c r="R2" s="35">
        <v>11</v>
      </c>
    </row>
    <row r="3" spans="3:27" ht="16.2" thickBot="1" x14ac:dyDescent="0.35"/>
    <row r="4" spans="3:27" ht="16.2" thickBot="1" x14ac:dyDescent="0.35">
      <c r="C4" s="69" t="s">
        <v>151</v>
      </c>
      <c r="V4">
        <v>0.3</v>
      </c>
      <c r="W4">
        <v>0.05</v>
      </c>
      <c r="X4">
        <v>0.03</v>
      </c>
    </row>
    <row r="5" spans="3:27" x14ac:dyDescent="0.3">
      <c r="C5" s="167" t="s">
        <v>146</v>
      </c>
      <c r="D5" s="167"/>
      <c r="E5" s="167"/>
    </row>
    <row r="6" spans="3:27" x14ac:dyDescent="0.3"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W6">
        <v>0.7</v>
      </c>
      <c r="X6">
        <v>0.7</v>
      </c>
      <c r="Y6">
        <v>0.7</v>
      </c>
    </row>
    <row r="7" spans="3:27" ht="16.2" thickBot="1" x14ac:dyDescent="0.35">
      <c r="D7" s="31"/>
    </row>
    <row r="8" spans="3:27" ht="16.2" thickBot="1" x14ac:dyDescent="0.35">
      <c r="D8" s="34" t="s">
        <v>150</v>
      </c>
      <c r="X8">
        <v>1</v>
      </c>
      <c r="Y8">
        <v>1</v>
      </c>
      <c r="Z8">
        <v>1</v>
      </c>
    </row>
    <row r="9" spans="3:27" x14ac:dyDescent="0.3">
      <c r="C9" s="47"/>
      <c r="D9" s="165" t="s">
        <v>145</v>
      </c>
      <c r="E9" s="165"/>
      <c r="F9" s="165"/>
      <c r="Y9">
        <v>1</v>
      </c>
      <c r="Z9">
        <v>1</v>
      </c>
      <c r="AA9">
        <v>1</v>
      </c>
    </row>
    <row r="11" spans="3:27" ht="16.2" thickBot="1" x14ac:dyDescent="0.35">
      <c r="F11" s="49" t="s">
        <v>171</v>
      </c>
      <c r="V11">
        <f>V4</f>
        <v>0.3</v>
      </c>
      <c r="W11">
        <f>(1-V11)*W4</f>
        <v>3.4999999999999996E-2</v>
      </c>
    </row>
    <row r="12" spans="3:27" x14ac:dyDescent="0.3">
      <c r="D12" s="37"/>
      <c r="E12" s="37"/>
      <c r="F12" s="167" t="s">
        <v>172</v>
      </c>
      <c r="G12" s="167"/>
      <c r="H12" s="167"/>
    </row>
    <row r="13" spans="3:27" ht="24" customHeight="1" x14ac:dyDescent="0.3"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W13">
        <f>V11*W6</f>
        <v>0.21</v>
      </c>
    </row>
    <row r="14" spans="3:27" ht="16.2" thickBot="1" x14ac:dyDescent="0.35">
      <c r="F14" s="33"/>
      <c r="G14" s="53"/>
      <c r="K14" s="37"/>
      <c r="L14" s="37"/>
      <c r="M14" s="37"/>
    </row>
    <row r="15" spans="3:27" ht="16.2" thickBot="1" x14ac:dyDescent="0.35">
      <c r="E15" s="34" t="s">
        <v>193</v>
      </c>
      <c r="K15" s="37"/>
      <c r="L15" s="37"/>
      <c r="M15" s="37"/>
    </row>
    <row r="16" spans="3:27" x14ac:dyDescent="0.3">
      <c r="E16" s="165" t="s">
        <v>175</v>
      </c>
      <c r="F16" s="165"/>
      <c r="G16" s="165" t="s">
        <v>144</v>
      </c>
      <c r="K16" s="37"/>
      <c r="L16" s="37"/>
      <c r="M16" s="37"/>
    </row>
    <row r="18" spans="1:24" ht="16.2" thickBot="1" x14ac:dyDescent="0.35">
      <c r="E18" s="47"/>
      <c r="F18" s="53"/>
      <c r="G18" s="49" t="s">
        <v>147</v>
      </c>
    </row>
    <row r="19" spans="1:24" x14ac:dyDescent="0.3">
      <c r="D19" s="47"/>
      <c r="E19" s="47"/>
      <c r="F19" s="53"/>
      <c r="G19" s="167" t="s">
        <v>148</v>
      </c>
      <c r="H19" s="167"/>
      <c r="I19" s="167"/>
    </row>
    <row r="20" spans="1:24" ht="16.2" thickBot="1" x14ac:dyDescent="0.35"/>
    <row r="21" spans="1:24" ht="16.2" thickBot="1" x14ac:dyDescent="0.35">
      <c r="G21" s="51" t="s">
        <v>173</v>
      </c>
    </row>
    <row r="22" spans="1:24" x14ac:dyDescent="0.3">
      <c r="G22" s="165" t="s">
        <v>174</v>
      </c>
      <c r="H22" s="165"/>
      <c r="I22" s="165"/>
    </row>
    <row r="24" spans="1:24" ht="16.2" thickBot="1" x14ac:dyDescent="0.35">
      <c r="F24" s="47"/>
      <c r="H24" s="52"/>
      <c r="I24" s="49" t="s">
        <v>184</v>
      </c>
    </row>
    <row r="25" spans="1:24" x14ac:dyDescent="0.3">
      <c r="I25" s="167" t="s">
        <v>185</v>
      </c>
      <c r="J25" s="167"/>
      <c r="K25" s="167"/>
    </row>
    <row r="26" spans="1:24" x14ac:dyDescent="0.3">
      <c r="A26" s="62"/>
      <c r="B26" s="62"/>
      <c r="C26" s="61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2"/>
    </row>
    <row r="27" spans="1:24" ht="15.6" customHeight="1" thickBot="1" x14ac:dyDescent="0.35"/>
    <row r="28" spans="1:24" ht="16.2" thickBot="1" x14ac:dyDescent="0.35">
      <c r="F28" s="54" t="s">
        <v>149</v>
      </c>
    </row>
    <row r="29" spans="1:24" ht="16.2" thickBot="1" x14ac:dyDescent="0.35">
      <c r="F29" s="165" t="s">
        <v>152</v>
      </c>
      <c r="G29" s="165"/>
      <c r="H29" s="165"/>
    </row>
    <row r="30" spans="1:24" ht="16.2" thickBot="1" x14ac:dyDescent="0.35">
      <c r="G30" s="40"/>
    </row>
    <row r="31" spans="1:24" ht="16.2" thickBot="1" x14ac:dyDescent="0.35">
      <c r="H31" s="38" t="s">
        <v>156</v>
      </c>
      <c r="K31" s="47"/>
      <c r="L31" s="68"/>
      <c r="M31" s="67"/>
      <c r="N31" s="32"/>
    </row>
    <row r="32" spans="1:24" x14ac:dyDescent="0.3">
      <c r="H32" s="167" t="s">
        <v>159</v>
      </c>
      <c r="I32" s="167"/>
      <c r="J32" s="167"/>
      <c r="K32" s="47"/>
      <c r="L32" s="68"/>
      <c r="M32" s="67"/>
      <c r="N32" s="32"/>
      <c r="V32">
        <f>1</f>
        <v>1</v>
      </c>
      <c r="W32">
        <f>V32*(1-V4)</f>
        <v>0.7</v>
      </c>
      <c r="X32">
        <f>W32*(1-W4)+W41*(1-W6)</f>
        <v>0.75499999999999989</v>
      </c>
    </row>
    <row r="33" spans="5:27" ht="16.2" thickBot="1" x14ac:dyDescent="0.35">
      <c r="N33" s="32"/>
    </row>
    <row r="34" spans="5:27" ht="16.2" thickBot="1" x14ac:dyDescent="0.35">
      <c r="H34" s="34" t="s">
        <v>154</v>
      </c>
      <c r="N34" s="32"/>
    </row>
    <row r="35" spans="5:27" x14ac:dyDescent="0.3">
      <c r="H35" s="165" t="s">
        <v>155</v>
      </c>
      <c r="I35" s="165"/>
      <c r="J35" s="165"/>
      <c r="L35" s="37"/>
      <c r="M35" s="37"/>
      <c r="N35" s="32"/>
    </row>
    <row r="36" spans="5:27" ht="16.2" thickBot="1" x14ac:dyDescent="0.35">
      <c r="E36" s="47"/>
      <c r="F36" s="31"/>
      <c r="G36" s="53"/>
    </row>
    <row r="37" spans="5:27" ht="16.2" thickBot="1" x14ac:dyDescent="0.35">
      <c r="E37" s="47"/>
      <c r="F37" s="31"/>
      <c r="G37" s="53"/>
      <c r="H37" s="51" t="s">
        <v>176</v>
      </c>
    </row>
    <row r="38" spans="5:27" x14ac:dyDescent="0.3">
      <c r="E38" s="47"/>
      <c r="F38" s="31"/>
      <c r="G38" s="53"/>
      <c r="H38" s="165" t="s">
        <v>177</v>
      </c>
      <c r="I38" s="165"/>
      <c r="J38" s="165"/>
      <c r="K38" s="59"/>
    </row>
    <row r="39" spans="5:27" x14ac:dyDescent="0.3">
      <c r="E39" s="47"/>
      <c r="F39" s="31"/>
      <c r="G39" s="53"/>
      <c r="K39" s="59"/>
    </row>
    <row r="40" spans="5:27" ht="16.2" thickBot="1" x14ac:dyDescent="0.35">
      <c r="E40" s="47"/>
      <c r="F40" s="31"/>
      <c r="G40" s="53"/>
    </row>
    <row r="41" spans="5:27" ht="16.2" thickBot="1" x14ac:dyDescent="0.35">
      <c r="E41" s="55"/>
      <c r="G41" s="52"/>
      <c r="J41" s="42" t="s">
        <v>157</v>
      </c>
      <c r="W41">
        <f>V32*V4</f>
        <v>0.3</v>
      </c>
      <c r="X41">
        <f>W32*W4</f>
        <v>3.4999999999999996E-2</v>
      </c>
      <c r="Y41">
        <f>X32*X4</f>
        <v>2.2649999999999997E-2</v>
      </c>
      <c r="Z41">
        <f>Y32*Y4</f>
        <v>0</v>
      </c>
    </row>
    <row r="42" spans="5:27" x14ac:dyDescent="0.3">
      <c r="J42" s="172" t="s">
        <v>158</v>
      </c>
      <c r="K42" s="172"/>
      <c r="L42" s="172"/>
    </row>
    <row r="43" spans="5:27" x14ac:dyDescent="0.3">
      <c r="X43">
        <f>W41*W6</f>
        <v>0.21</v>
      </c>
      <c r="Y43">
        <f>X41*X6</f>
        <v>2.4499999999999997E-2</v>
      </c>
      <c r="Z43">
        <f>Y41*Y6</f>
        <v>1.5854999999999998E-2</v>
      </c>
      <c r="AA43">
        <f>Z41*Z6</f>
        <v>0</v>
      </c>
    </row>
    <row r="44" spans="5:27" ht="16.2" thickBot="1" x14ac:dyDescent="0.35">
      <c r="F44" s="37"/>
      <c r="G44" s="37"/>
      <c r="J44" s="49" t="s">
        <v>180</v>
      </c>
    </row>
    <row r="45" spans="5:27" x14ac:dyDescent="0.3">
      <c r="F45" s="37"/>
      <c r="G45" s="37"/>
      <c r="H45" s="37"/>
      <c r="J45" s="167" t="s">
        <v>181</v>
      </c>
      <c r="K45" s="167"/>
      <c r="L45" s="167"/>
    </row>
    <row r="46" spans="5:27" ht="16.2" thickBot="1" x14ac:dyDescent="0.35">
      <c r="F46" s="37"/>
      <c r="G46" s="37"/>
      <c r="H46" s="37"/>
    </row>
    <row r="47" spans="5:27" ht="16.2" thickBot="1" x14ac:dyDescent="0.35">
      <c r="F47" s="37"/>
      <c r="G47" s="37"/>
      <c r="H47" s="37"/>
      <c r="J47" s="34" t="s">
        <v>187</v>
      </c>
    </row>
    <row r="48" spans="5:27" x14ac:dyDescent="0.3">
      <c r="F48" s="37"/>
      <c r="G48" s="37"/>
      <c r="H48" s="37"/>
      <c r="J48" s="165" t="s">
        <v>186</v>
      </c>
      <c r="K48" s="165"/>
      <c r="L48" s="165"/>
    </row>
    <row r="49" spans="1:28" ht="16.2" thickBot="1" x14ac:dyDescent="0.35">
      <c r="F49" s="37"/>
      <c r="G49" s="37"/>
      <c r="H49" s="37"/>
    </row>
    <row r="50" spans="1:28" ht="16.2" thickBot="1" x14ac:dyDescent="0.35">
      <c r="F50" s="37"/>
      <c r="G50" s="37"/>
      <c r="L50" s="42" t="s">
        <v>191</v>
      </c>
    </row>
    <row r="51" spans="1:28" x14ac:dyDescent="0.3">
      <c r="F51" s="37"/>
      <c r="G51" s="37"/>
      <c r="H51" s="37"/>
      <c r="L51" s="167" t="s">
        <v>192</v>
      </c>
      <c r="M51" s="167"/>
      <c r="N51" s="167"/>
    </row>
    <row r="52" spans="1:28" x14ac:dyDescent="0.3">
      <c r="F52" s="37"/>
      <c r="G52" s="37"/>
      <c r="H52" s="37"/>
      <c r="L52" s="57"/>
      <c r="M52" s="57"/>
      <c r="N52" s="63"/>
    </row>
    <row r="53" spans="1:28" x14ac:dyDescent="0.3">
      <c r="A53" s="62"/>
      <c r="B53" s="62"/>
      <c r="C53" s="61"/>
      <c r="D53" s="61"/>
      <c r="E53" s="61"/>
      <c r="F53" s="64"/>
      <c r="G53" s="64"/>
      <c r="H53" s="64"/>
      <c r="I53" s="61"/>
      <c r="J53" s="61"/>
      <c r="K53" s="61"/>
      <c r="L53" s="65"/>
      <c r="M53" s="65"/>
      <c r="N53" s="66"/>
      <c r="O53" s="62"/>
      <c r="P53" s="62"/>
      <c r="Q53" s="62"/>
      <c r="R53" s="62"/>
      <c r="S53" s="62"/>
      <c r="T53" s="62"/>
    </row>
    <row r="54" spans="1:28" x14ac:dyDescent="0.3">
      <c r="J54" s="37"/>
      <c r="K54" s="37"/>
    </row>
    <row r="55" spans="1:28" x14ac:dyDescent="0.3">
      <c r="G55" s="165" t="s">
        <v>153</v>
      </c>
      <c r="H55" s="165"/>
      <c r="I55" s="165"/>
      <c r="Z55" t="e">
        <f>#REF!*Y9</f>
        <v>#REF!</v>
      </c>
      <c r="AA55" t="e">
        <f>#REF!*Z9+Z55</f>
        <v>#REF!</v>
      </c>
      <c r="AB55" t="e">
        <f>#REF!*AA9+AA55</f>
        <v>#REF!</v>
      </c>
    </row>
    <row r="56" spans="1:28" x14ac:dyDescent="0.3">
      <c r="G56" s="37"/>
      <c r="AA56" t="e">
        <f>Z55*Z11</f>
        <v>#REF!</v>
      </c>
    </row>
    <row r="57" spans="1:28" x14ac:dyDescent="0.3">
      <c r="G57" s="37"/>
      <c r="I57" s="165" t="s">
        <v>161</v>
      </c>
      <c r="J57" s="165"/>
      <c r="K57" s="165"/>
    </row>
    <row r="58" spans="1:28" x14ac:dyDescent="0.3">
      <c r="G58" s="37"/>
    </row>
    <row r="59" spans="1:28" x14ac:dyDescent="0.3">
      <c r="I59" s="165" t="s">
        <v>160</v>
      </c>
      <c r="J59" s="165"/>
      <c r="K59" s="165"/>
    </row>
    <row r="60" spans="1:28" x14ac:dyDescent="0.3">
      <c r="G60" s="37"/>
    </row>
    <row r="61" spans="1:28" x14ac:dyDescent="0.3">
      <c r="G61" s="37"/>
      <c r="I61" s="165" t="s">
        <v>194</v>
      </c>
      <c r="J61" s="165"/>
      <c r="K61" s="165"/>
    </row>
    <row r="62" spans="1:28" x14ac:dyDescent="0.3">
      <c r="Y62">
        <f>X32*(1-X4)+X41*(1-X6)</f>
        <v>0.74284999999999979</v>
      </c>
      <c r="Z62">
        <f>Y41*(1-Y6)+Y43*(1-Y8)+Y62</f>
        <v>0.74964499999999978</v>
      </c>
      <c r="AA62" t="e">
        <f>Z43*(1-Z8)+#REF!*(1-Z9)+Z62</f>
        <v>#REF!</v>
      </c>
      <c r="AB62" t="e">
        <f>AA43*(1-AA8)+#REF!*(1-AA9)+AA62</f>
        <v>#REF!</v>
      </c>
    </row>
    <row r="64" spans="1:28" x14ac:dyDescent="0.3">
      <c r="J64" s="167" t="s">
        <v>162</v>
      </c>
      <c r="K64" s="167"/>
      <c r="L64" s="167"/>
    </row>
    <row r="65" spans="9:15" x14ac:dyDescent="0.3">
      <c r="I65" s="37"/>
    </row>
    <row r="67" spans="9:15" x14ac:dyDescent="0.3">
      <c r="K67" s="167" t="s">
        <v>164</v>
      </c>
      <c r="L67" s="167"/>
      <c r="M67" s="167"/>
    </row>
    <row r="69" spans="9:15" x14ac:dyDescent="0.3">
      <c r="K69" s="167" t="s">
        <v>163</v>
      </c>
      <c r="L69" s="167"/>
      <c r="M69" s="167"/>
    </row>
    <row r="70" spans="9:15" x14ac:dyDescent="0.3">
      <c r="I70" s="37"/>
    </row>
    <row r="71" spans="9:15" x14ac:dyDescent="0.3">
      <c r="K71" s="165" t="s">
        <v>165</v>
      </c>
      <c r="L71" s="165"/>
      <c r="M71" s="165"/>
    </row>
    <row r="73" spans="9:15" x14ac:dyDescent="0.3">
      <c r="K73" s="167" t="s">
        <v>179</v>
      </c>
      <c r="L73" s="167"/>
      <c r="M73" s="167"/>
    </row>
    <row r="75" spans="9:15" x14ac:dyDescent="0.3">
      <c r="J75" s="37"/>
      <c r="K75" s="165" t="s">
        <v>189</v>
      </c>
      <c r="L75" s="165"/>
      <c r="M75" s="165"/>
    </row>
    <row r="76" spans="9:15" x14ac:dyDescent="0.3">
      <c r="K76" s="57"/>
      <c r="L76" s="57"/>
      <c r="M76" s="57"/>
    </row>
    <row r="77" spans="9:15" x14ac:dyDescent="0.3">
      <c r="K77" s="165" t="s">
        <v>183</v>
      </c>
      <c r="L77" s="165"/>
      <c r="M77" s="165"/>
    </row>
    <row r="79" spans="9:15" x14ac:dyDescent="0.3">
      <c r="M79" s="163" t="s">
        <v>166</v>
      </c>
      <c r="N79" s="163"/>
      <c r="O79" s="163"/>
    </row>
    <row r="80" spans="9:15" x14ac:dyDescent="0.3">
      <c r="M80" s="57"/>
    </row>
    <row r="81" spans="8:17" x14ac:dyDescent="0.3">
      <c r="M81" s="163" t="s">
        <v>182</v>
      </c>
      <c r="N81" s="163"/>
      <c r="O81" s="163"/>
    </row>
    <row r="83" spans="8:17" x14ac:dyDescent="0.3">
      <c r="M83" s="163" t="s">
        <v>190</v>
      </c>
      <c r="N83" s="163"/>
      <c r="O83" s="163"/>
    </row>
    <row r="85" spans="8:17" x14ac:dyDescent="0.3">
      <c r="M85" s="165" t="s">
        <v>188</v>
      </c>
      <c r="N85" s="165"/>
      <c r="O85" s="165"/>
    </row>
    <row r="87" spans="8:17" x14ac:dyDescent="0.3">
      <c r="K87" s="57"/>
      <c r="L87" s="57"/>
      <c r="M87" s="57"/>
      <c r="O87" s="163" t="s">
        <v>190</v>
      </c>
      <c r="P87" s="163"/>
      <c r="Q87" s="163"/>
    </row>
    <row r="89" spans="8:17" x14ac:dyDescent="0.3">
      <c r="H89" s="37"/>
      <c r="I89" s="37"/>
      <c r="J89" s="164" t="s">
        <v>169</v>
      </c>
      <c r="K89" s="163"/>
      <c r="L89" s="163"/>
      <c r="M89" s="163"/>
      <c r="N89" s="163"/>
      <c r="O89" s="163"/>
    </row>
    <row r="92" spans="8:17" x14ac:dyDescent="0.3">
      <c r="L92" s="164" t="s">
        <v>170</v>
      </c>
      <c r="M92" s="163"/>
      <c r="N92" s="163"/>
      <c r="O92" s="163"/>
      <c r="P92" s="163"/>
      <c r="Q92" s="163"/>
    </row>
    <row r="95" spans="8:17" x14ac:dyDescent="0.3">
      <c r="L95" s="44" t="s">
        <v>143</v>
      </c>
      <c r="M95" s="44"/>
      <c r="N95" s="30"/>
      <c r="O95" s="30"/>
      <c r="P95" s="30"/>
      <c r="Q95" s="30"/>
    </row>
    <row r="98" spans="13:21" x14ac:dyDescent="0.3">
      <c r="M98" s="45" t="s">
        <v>143</v>
      </c>
      <c r="N98" s="30"/>
      <c r="O98" s="30"/>
      <c r="P98" s="30"/>
      <c r="Q98" s="30"/>
      <c r="R98" s="30"/>
    </row>
    <row r="101" spans="13:21" x14ac:dyDescent="0.3">
      <c r="N101" s="30" t="s">
        <v>143</v>
      </c>
      <c r="O101" s="30"/>
      <c r="P101" s="30"/>
      <c r="Q101" s="30"/>
      <c r="R101" s="30"/>
      <c r="S101" s="30"/>
    </row>
    <row r="104" spans="13:21" x14ac:dyDescent="0.3">
      <c r="N104" s="30" t="s">
        <v>143</v>
      </c>
      <c r="O104" s="30"/>
      <c r="P104" s="30"/>
      <c r="Q104" s="30"/>
      <c r="R104" s="30"/>
      <c r="S104" s="30"/>
    </row>
    <row r="107" spans="13:21" x14ac:dyDescent="0.3">
      <c r="N107" s="30" t="s">
        <v>168</v>
      </c>
      <c r="O107" s="30"/>
      <c r="P107" s="30"/>
      <c r="Q107" s="30"/>
      <c r="R107" s="30"/>
      <c r="S107" s="30"/>
    </row>
    <row r="110" spans="13:21" x14ac:dyDescent="0.3">
      <c r="P110" s="30" t="s">
        <v>167</v>
      </c>
      <c r="Q110" s="30"/>
      <c r="R110" s="30"/>
      <c r="S110" s="30"/>
      <c r="T110" s="30"/>
      <c r="U110" s="30"/>
    </row>
  </sheetData>
  <mergeCells count="33">
    <mergeCell ref="O87:Q87"/>
    <mergeCell ref="J89:O89"/>
    <mergeCell ref="L92:Q92"/>
    <mergeCell ref="K77:M77"/>
    <mergeCell ref="K75:M75"/>
    <mergeCell ref="M85:O85"/>
    <mergeCell ref="M79:O79"/>
    <mergeCell ref="M81:O81"/>
    <mergeCell ref="M83:O83"/>
    <mergeCell ref="K73:M73"/>
    <mergeCell ref="J42:L42"/>
    <mergeCell ref="J48:L48"/>
    <mergeCell ref="L51:N51"/>
    <mergeCell ref="G55:I55"/>
    <mergeCell ref="I61:K61"/>
    <mergeCell ref="I59:K59"/>
    <mergeCell ref="I57:K57"/>
    <mergeCell ref="J64:L64"/>
    <mergeCell ref="K69:M69"/>
    <mergeCell ref="K67:M67"/>
    <mergeCell ref="K71:M71"/>
    <mergeCell ref="I25:K25"/>
    <mergeCell ref="F29:H29"/>
    <mergeCell ref="J45:L45"/>
    <mergeCell ref="H38:J38"/>
    <mergeCell ref="H35:J35"/>
    <mergeCell ref="H32:J32"/>
    <mergeCell ref="C5:E5"/>
    <mergeCell ref="D9:F9"/>
    <mergeCell ref="F12:H12"/>
    <mergeCell ref="E16:G16"/>
    <mergeCell ref="G22:I22"/>
    <mergeCell ref="G19:I19"/>
  </mergeCells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65EE-D14E-4194-935A-85CA29EADA5C}">
  <sheetPr codeName="Sheet4"/>
  <dimension ref="C2:AB144"/>
  <sheetViews>
    <sheetView topLeftCell="A2" zoomScale="40" zoomScaleNormal="40" workbookViewId="0">
      <pane ySplit="1" topLeftCell="A3" activePane="bottomLeft" state="frozen"/>
      <selection activeCell="A2" sqref="A2"/>
      <selection pane="bottomLeft" activeCell="J23" sqref="J23"/>
    </sheetView>
  </sheetViews>
  <sheetFormatPr defaultRowHeight="15.6" x14ac:dyDescent="0.3"/>
  <cols>
    <col min="1" max="1" width="3" customWidth="1"/>
    <col min="2" max="2" width="3.59765625" customWidth="1"/>
    <col min="3" max="13" width="15.69921875" style="35" customWidth="1"/>
    <col min="14" max="17" width="10.59765625" customWidth="1"/>
  </cols>
  <sheetData>
    <row r="2" spans="3:27" x14ac:dyDescent="0.3">
      <c r="C2" s="35">
        <v>1</v>
      </c>
      <c r="D2" s="35">
        <v>2</v>
      </c>
      <c r="E2" s="35">
        <v>3</v>
      </c>
      <c r="F2" s="35">
        <v>4</v>
      </c>
      <c r="G2" s="35">
        <v>5</v>
      </c>
      <c r="H2" s="35">
        <v>6</v>
      </c>
      <c r="I2" s="35">
        <v>7</v>
      </c>
      <c r="J2" s="35">
        <v>8</v>
      </c>
      <c r="K2" s="35">
        <v>4</v>
      </c>
      <c r="L2" s="35">
        <v>5</v>
      </c>
      <c r="M2" s="35">
        <v>6</v>
      </c>
    </row>
    <row r="3" spans="3:27" ht="16.2" thickBot="1" x14ac:dyDescent="0.35"/>
    <row r="4" spans="3:27" ht="16.2" thickBot="1" x14ac:dyDescent="0.35">
      <c r="C4" s="69" t="s">
        <v>151</v>
      </c>
      <c r="V4">
        <v>0.3</v>
      </c>
      <c r="W4">
        <v>0.05</v>
      </c>
      <c r="X4">
        <v>0.03</v>
      </c>
    </row>
    <row r="6" spans="3:27" x14ac:dyDescent="0.3">
      <c r="C6" s="167" t="s">
        <v>146</v>
      </c>
      <c r="D6" s="167"/>
      <c r="E6" s="167"/>
      <c r="W6">
        <v>0.7</v>
      </c>
      <c r="X6">
        <v>0.7</v>
      </c>
      <c r="Y6">
        <v>0.7</v>
      </c>
    </row>
    <row r="7" spans="3:27" ht="16.2" thickBot="1" x14ac:dyDescent="0.35">
      <c r="D7" s="36"/>
      <c r="X7">
        <v>1</v>
      </c>
      <c r="Y7">
        <v>1</v>
      </c>
      <c r="Z7">
        <v>1</v>
      </c>
    </row>
    <row r="8" spans="3:27" ht="16.2" thickBot="1" x14ac:dyDescent="0.35">
      <c r="C8" s="47"/>
      <c r="D8" s="34" t="s">
        <v>150</v>
      </c>
      <c r="E8" s="53"/>
      <c r="Y8">
        <v>1</v>
      </c>
      <c r="Z8">
        <v>1</v>
      </c>
      <c r="AA8">
        <v>1</v>
      </c>
    </row>
    <row r="10" spans="3:27" x14ac:dyDescent="0.3">
      <c r="D10" s="165" t="s">
        <v>145</v>
      </c>
      <c r="E10" s="165"/>
      <c r="F10" s="165"/>
      <c r="V10">
        <f>V4</f>
        <v>0.3</v>
      </c>
      <c r="W10">
        <f>(1-V10)*W4</f>
        <v>3.4999999999999996E-2</v>
      </c>
    </row>
    <row r="11" spans="3:27" x14ac:dyDescent="0.3">
      <c r="D11" s="37"/>
      <c r="E11" s="37"/>
    </row>
    <row r="12" spans="3:27" ht="16.2" thickBot="1" x14ac:dyDescent="0.35">
      <c r="F12" s="48"/>
      <c r="W12">
        <f>V10*W6</f>
        <v>0.21</v>
      </c>
    </row>
    <row r="13" spans="3:27" ht="16.2" thickBot="1" x14ac:dyDescent="0.35">
      <c r="E13" s="47"/>
      <c r="F13" s="49" t="s">
        <v>171</v>
      </c>
      <c r="G13" s="50"/>
      <c r="K13" s="39"/>
      <c r="L13" s="39"/>
      <c r="M13" s="39"/>
    </row>
    <row r="14" spans="3:27" x14ac:dyDescent="0.3">
      <c r="F14" s="37"/>
      <c r="K14" s="39"/>
      <c r="L14" s="39"/>
      <c r="M14" s="39"/>
    </row>
    <row r="15" spans="3:27" x14ac:dyDescent="0.3">
      <c r="F15" s="167" t="s">
        <v>172</v>
      </c>
      <c r="G15" s="167"/>
      <c r="H15" s="167"/>
      <c r="K15" s="39"/>
      <c r="L15" s="39"/>
      <c r="M15" s="39"/>
    </row>
    <row r="17" spans="4:24" ht="16.2" thickBot="1" x14ac:dyDescent="0.35">
      <c r="E17" s="36"/>
    </row>
    <row r="18" spans="4:24" ht="16.2" thickBot="1" x14ac:dyDescent="0.35">
      <c r="D18" s="47"/>
      <c r="E18" s="34" t="s">
        <v>193</v>
      </c>
      <c r="F18" s="52"/>
      <c r="H18" s="46"/>
    </row>
    <row r="20" spans="4:24" x14ac:dyDescent="0.3">
      <c r="E20" s="165" t="s">
        <v>175</v>
      </c>
      <c r="F20" s="165"/>
      <c r="G20" s="165" t="s">
        <v>144</v>
      </c>
    </row>
    <row r="22" spans="4:24" ht="16.2" thickBot="1" x14ac:dyDescent="0.35"/>
    <row r="23" spans="4:24" ht="16.2" thickBot="1" x14ac:dyDescent="0.35">
      <c r="F23" s="47"/>
      <c r="G23" s="51" t="s">
        <v>173</v>
      </c>
      <c r="H23" s="52"/>
    </row>
    <row r="25" spans="4:24" x14ac:dyDescent="0.3">
      <c r="G25" s="165" t="s">
        <v>174</v>
      </c>
      <c r="H25" s="165"/>
      <c r="I25" s="165"/>
    </row>
    <row r="28" spans="4:24" ht="16.2" thickBot="1" x14ac:dyDescent="0.35">
      <c r="G28" s="49" t="s">
        <v>147</v>
      </c>
    </row>
    <row r="29" spans="4:24" ht="16.2" thickBot="1" x14ac:dyDescent="0.35">
      <c r="G29" s="40"/>
    </row>
    <row r="30" spans="4:24" ht="16.2" thickBot="1" x14ac:dyDescent="0.35">
      <c r="G30" s="167" t="s">
        <v>148</v>
      </c>
      <c r="H30" s="167"/>
      <c r="I30" s="167"/>
      <c r="L30" s="60"/>
      <c r="M30" s="37"/>
      <c r="N30" s="32"/>
    </row>
    <row r="31" spans="4:24" x14ac:dyDescent="0.3">
      <c r="L31" s="37"/>
      <c r="M31" s="37"/>
      <c r="N31" s="32"/>
      <c r="V31">
        <f>1</f>
        <v>1</v>
      </c>
      <c r="W31">
        <f>V31*(1-V4)</f>
        <v>0.7</v>
      </c>
      <c r="X31">
        <f>W31*(1-W4)+W40*(1-W6)</f>
        <v>0.75499999999999989</v>
      </c>
    </row>
    <row r="32" spans="4:24" x14ac:dyDescent="0.3">
      <c r="L32" s="37"/>
      <c r="M32" s="37"/>
      <c r="N32" s="32"/>
    </row>
    <row r="33" spans="5:27" x14ac:dyDescent="0.3">
      <c r="E33" s="47"/>
      <c r="F33" s="31"/>
      <c r="G33" s="53"/>
      <c r="L33" s="37"/>
      <c r="M33" s="37"/>
      <c r="N33" s="32"/>
    </row>
    <row r="34" spans="5:27" ht="16.2" thickBot="1" x14ac:dyDescent="0.35">
      <c r="E34" s="47"/>
      <c r="F34" s="31"/>
      <c r="G34" s="53"/>
      <c r="I34" s="49" t="s">
        <v>184</v>
      </c>
      <c r="L34" s="37"/>
      <c r="M34" s="37"/>
      <c r="N34" s="32"/>
    </row>
    <row r="35" spans="5:27" x14ac:dyDescent="0.3">
      <c r="E35" s="47"/>
      <c r="F35" s="31"/>
      <c r="G35" s="53"/>
    </row>
    <row r="36" spans="5:27" x14ac:dyDescent="0.3">
      <c r="E36" s="47"/>
      <c r="F36" s="31"/>
      <c r="G36" s="53"/>
      <c r="I36" s="167" t="s">
        <v>185</v>
      </c>
      <c r="J36" s="167"/>
      <c r="K36" s="167"/>
    </row>
    <row r="37" spans="5:27" x14ac:dyDescent="0.3">
      <c r="E37" s="47"/>
      <c r="F37" s="31"/>
      <c r="G37" s="53"/>
      <c r="I37" s="59"/>
      <c r="J37" s="59"/>
      <c r="K37" s="59"/>
    </row>
    <row r="38" spans="5:27" x14ac:dyDescent="0.3">
      <c r="E38" s="47"/>
      <c r="F38" s="31"/>
      <c r="G38" s="53"/>
      <c r="I38" s="59"/>
      <c r="J38" s="59"/>
      <c r="K38" s="59"/>
    </row>
    <row r="39" spans="5:27" ht="16.2" thickBot="1" x14ac:dyDescent="0.35">
      <c r="E39" s="47"/>
      <c r="F39" s="31"/>
      <c r="G39" s="53"/>
    </row>
    <row r="40" spans="5:27" ht="16.2" thickBot="1" x14ac:dyDescent="0.35">
      <c r="E40" s="55"/>
      <c r="F40" s="54" t="s">
        <v>149</v>
      </c>
      <c r="G40" s="52"/>
      <c r="W40">
        <f>V31*V4</f>
        <v>0.3</v>
      </c>
      <c r="X40">
        <f>W31*W4</f>
        <v>3.4999999999999996E-2</v>
      </c>
      <c r="Y40">
        <f>X31*X4</f>
        <v>2.2649999999999997E-2</v>
      </c>
      <c r="Z40">
        <f>Y31*Y4</f>
        <v>0</v>
      </c>
    </row>
    <row r="41" spans="5:27" x14ac:dyDescent="0.3">
      <c r="F41" s="41"/>
    </row>
    <row r="42" spans="5:27" x14ac:dyDescent="0.3">
      <c r="F42" s="165" t="s">
        <v>152</v>
      </c>
      <c r="G42" s="165"/>
      <c r="H42" s="165"/>
      <c r="X42">
        <f>W40*W6</f>
        <v>0.21</v>
      </c>
      <c r="Y42">
        <f>X40*X6</f>
        <v>2.4499999999999997E-2</v>
      </c>
      <c r="Z42">
        <f>Y40*Y6</f>
        <v>1.5854999999999998E-2</v>
      </c>
      <c r="AA42">
        <f>Z40*Z6</f>
        <v>0</v>
      </c>
    </row>
    <row r="43" spans="5:27" x14ac:dyDescent="0.3">
      <c r="F43" s="37"/>
      <c r="G43" s="37"/>
      <c r="H43" s="37"/>
    </row>
    <row r="44" spans="5:27" x14ac:dyDescent="0.3">
      <c r="F44" s="37"/>
      <c r="G44" s="37"/>
      <c r="H44" s="37"/>
    </row>
    <row r="45" spans="5:27" ht="16.2" thickBot="1" x14ac:dyDescent="0.35">
      <c r="F45" s="37"/>
      <c r="G45" s="37"/>
      <c r="H45" s="37"/>
      <c r="J45" s="49" t="s">
        <v>180</v>
      </c>
    </row>
    <row r="46" spans="5:27" x14ac:dyDescent="0.3">
      <c r="F46" s="37"/>
      <c r="G46" s="37"/>
      <c r="H46" s="37"/>
    </row>
    <row r="47" spans="5:27" x14ac:dyDescent="0.3">
      <c r="F47" s="37"/>
      <c r="G47" s="37"/>
      <c r="H47" s="37"/>
      <c r="J47" s="167" t="s">
        <v>181</v>
      </c>
      <c r="K47" s="167"/>
      <c r="L47" s="167"/>
    </row>
    <row r="48" spans="5:27" ht="16.2" thickBot="1" x14ac:dyDescent="0.35">
      <c r="F48" s="37"/>
      <c r="G48" s="37"/>
      <c r="H48" s="37"/>
    </row>
    <row r="49" spans="6:28" ht="16.2" thickBot="1" x14ac:dyDescent="0.35">
      <c r="F49" s="37"/>
      <c r="G49" s="37"/>
      <c r="H49" s="51" t="s">
        <v>176</v>
      </c>
    </row>
    <row r="50" spans="6:28" x14ac:dyDescent="0.3">
      <c r="F50" s="37"/>
      <c r="G50" s="37"/>
      <c r="H50" s="37"/>
    </row>
    <row r="51" spans="6:28" x14ac:dyDescent="0.3">
      <c r="F51" s="37"/>
      <c r="G51" s="37"/>
      <c r="H51" s="165" t="s">
        <v>177</v>
      </c>
      <c r="I51" s="165"/>
      <c r="J51" s="165"/>
    </row>
    <row r="52" spans="6:28" x14ac:dyDescent="0.3">
      <c r="F52" s="37"/>
      <c r="G52" s="37"/>
      <c r="H52" s="37"/>
    </row>
    <row r="53" spans="6:28" ht="16.2" thickBot="1" x14ac:dyDescent="0.35">
      <c r="F53" s="37"/>
      <c r="G53" s="37"/>
      <c r="H53" s="37"/>
    </row>
    <row r="54" spans="6:28" ht="16.2" thickBot="1" x14ac:dyDescent="0.35">
      <c r="F54" s="37"/>
      <c r="G54" s="56"/>
      <c r="H54" s="34" t="s">
        <v>154</v>
      </c>
      <c r="I54" s="52"/>
    </row>
    <row r="55" spans="6:28" x14ac:dyDescent="0.3">
      <c r="F55" s="37"/>
      <c r="G55" s="37"/>
    </row>
    <row r="56" spans="6:28" x14ac:dyDescent="0.3">
      <c r="F56" s="37"/>
      <c r="G56" s="37"/>
      <c r="H56" s="165" t="s">
        <v>155</v>
      </c>
      <c r="I56" s="165"/>
      <c r="J56" s="165"/>
    </row>
    <row r="57" spans="6:28" x14ac:dyDescent="0.3">
      <c r="F57" s="37"/>
      <c r="G57" s="37"/>
      <c r="H57" s="37"/>
    </row>
    <row r="58" spans="6:28" ht="16.2" thickBot="1" x14ac:dyDescent="0.35">
      <c r="F58" s="37"/>
      <c r="G58" s="37"/>
      <c r="H58" s="37"/>
    </row>
    <row r="59" spans="6:28" ht="16.2" thickBot="1" x14ac:dyDescent="0.35">
      <c r="F59" s="37"/>
      <c r="G59" s="37"/>
      <c r="H59" s="38" t="s">
        <v>156</v>
      </c>
    </row>
    <row r="60" spans="6:28" x14ac:dyDescent="0.3">
      <c r="F60" s="37"/>
      <c r="G60" s="37"/>
    </row>
    <row r="61" spans="6:28" x14ac:dyDescent="0.3">
      <c r="F61" s="37"/>
      <c r="G61" s="37"/>
      <c r="H61" s="167" t="s">
        <v>159</v>
      </c>
      <c r="I61" s="167"/>
      <c r="J61" s="167"/>
    </row>
    <row r="62" spans="6:28" x14ac:dyDescent="0.3">
      <c r="Y62">
        <f>X42*X7</f>
        <v>0.21</v>
      </c>
      <c r="Z62">
        <f>Y42*Y7</f>
        <v>2.4499999999999997E-2</v>
      </c>
      <c r="AA62">
        <f>Z42*Z7</f>
        <v>1.5854999999999998E-2</v>
      </c>
      <c r="AB62">
        <f>AA42*AA7</f>
        <v>0</v>
      </c>
    </row>
    <row r="63" spans="6:28" ht="16.2" thickBot="1" x14ac:dyDescent="0.35"/>
    <row r="64" spans="6:28" ht="16.2" thickBot="1" x14ac:dyDescent="0.35">
      <c r="J64" s="42" t="s">
        <v>157</v>
      </c>
    </row>
    <row r="66" spans="7:28" x14ac:dyDescent="0.3">
      <c r="J66" s="172" t="s">
        <v>158</v>
      </c>
      <c r="K66" s="172"/>
      <c r="L66" s="172"/>
    </row>
    <row r="67" spans="7:28" x14ac:dyDescent="0.3">
      <c r="J67" s="37"/>
      <c r="K67" s="37"/>
      <c r="L67" s="43"/>
    </row>
    <row r="68" spans="7:28" ht="16.2" thickBot="1" x14ac:dyDescent="0.35">
      <c r="J68" s="37"/>
      <c r="K68" s="37"/>
      <c r="L68" s="43"/>
    </row>
    <row r="69" spans="7:28" ht="16.2" thickBot="1" x14ac:dyDescent="0.35">
      <c r="J69" s="34" t="s">
        <v>187</v>
      </c>
      <c r="K69" s="37"/>
      <c r="L69" s="43"/>
    </row>
    <row r="70" spans="7:28" x14ac:dyDescent="0.3">
      <c r="J70" s="37"/>
      <c r="K70" s="37"/>
      <c r="L70" s="43"/>
    </row>
    <row r="71" spans="7:28" x14ac:dyDescent="0.3">
      <c r="J71" s="165" t="s">
        <v>186</v>
      </c>
      <c r="K71" s="165"/>
      <c r="L71" s="165"/>
    </row>
    <row r="72" spans="7:28" x14ac:dyDescent="0.3">
      <c r="J72" s="57"/>
      <c r="K72" s="57"/>
      <c r="L72" s="57"/>
    </row>
    <row r="73" spans="7:28" ht="16.2" thickBot="1" x14ac:dyDescent="0.35">
      <c r="J73" s="57"/>
      <c r="K73" s="57"/>
      <c r="L73" s="57"/>
    </row>
    <row r="74" spans="7:28" ht="16.2" thickBot="1" x14ac:dyDescent="0.35">
      <c r="J74" s="57"/>
      <c r="K74" s="57"/>
      <c r="L74" s="42" t="s">
        <v>191</v>
      </c>
    </row>
    <row r="75" spans="7:28" x14ac:dyDescent="0.3">
      <c r="J75" s="57"/>
      <c r="K75" s="57"/>
      <c r="L75" s="57"/>
    </row>
    <row r="76" spans="7:28" x14ac:dyDescent="0.3">
      <c r="J76" s="37"/>
      <c r="K76" s="37"/>
      <c r="L76" s="167" t="s">
        <v>192</v>
      </c>
      <c r="M76" s="167"/>
      <c r="N76" s="167"/>
    </row>
    <row r="77" spans="7:28" x14ac:dyDescent="0.3">
      <c r="G77" s="165" t="s">
        <v>153</v>
      </c>
      <c r="H77" s="165"/>
      <c r="I77" s="165"/>
      <c r="Z77">
        <f>Y62*Y8</f>
        <v>0.21</v>
      </c>
      <c r="AA77">
        <f>Z62*Z8+Z77</f>
        <v>0.23449999999999999</v>
      </c>
      <c r="AB77">
        <f>AA62*AA8+AA77</f>
        <v>0.25035499999999999</v>
      </c>
    </row>
    <row r="78" spans="7:28" x14ac:dyDescent="0.3">
      <c r="G78" s="37"/>
      <c r="AA78">
        <f>Z77*Z10</f>
        <v>0</v>
      </c>
    </row>
    <row r="79" spans="7:28" x14ac:dyDescent="0.3">
      <c r="G79" s="37"/>
    </row>
    <row r="80" spans="7:28" x14ac:dyDescent="0.3">
      <c r="G80" s="37"/>
      <c r="I80" s="165" t="s">
        <v>178</v>
      </c>
      <c r="J80" s="165"/>
      <c r="K80" s="165"/>
    </row>
    <row r="81" spans="7:28" x14ac:dyDescent="0.3">
      <c r="G81" s="37"/>
    </row>
    <row r="82" spans="7:28" x14ac:dyDescent="0.3">
      <c r="G82" s="37"/>
    </row>
    <row r="83" spans="7:28" x14ac:dyDescent="0.3">
      <c r="G83" s="37"/>
    </row>
    <row r="84" spans="7:28" x14ac:dyDescent="0.3">
      <c r="Y84">
        <f>X31*(1-X4)+X40*(1-X6)</f>
        <v>0.74284999999999979</v>
      </c>
      <c r="Z84">
        <f>Y40*(1-Y6)+Y42*(1-Y7)+Y84</f>
        <v>0.74964499999999978</v>
      </c>
      <c r="AA84">
        <f>Z42*(1-Z7)+Z62*(1-Z8)+Z84</f>
        <v>0.74964499999999978</v>
      </c>
      <c r="AB84">
        <f>AA42*(1-AA7)+AA62*(1-AA8)+AA84</f>
        <v>0.74964499999999978</v>
      </c>
    </row>
    <row r="85" spans="7:28" x14ac:dyDescent="0.3">
      <c r="I85" s="165" t="s">
        <v>160</v>
      </c>
      <c r="J85" s="165"/>
      <c r="K85" s="165"/>
    </row>
    <row r="87" spans="7:28" x14ac:dyDescent="0.3">
      <c r="I87" s="37"/>
    </row>
    <row r="88" spans="7:28" x14ac:dyDescent="0.3">
      <c r="I88" s="165" t="s">
        <v>161</v>
      </c>
      <c r="J88" s="165"/>
      <c r="K88" s="165"/>
    </row>
    <row r="91" spans="7:28" x14ac:dyDescent="0.3">
      <c r="J91" s="167" t="s">
        <v>162</v>
      </c>
      <c r="K91" s="167"/>
      <c r="L91" s="167"/>
    </row>
    <row r="92" spans="7:28" x14ac:dyDescent="0.3">
      <c r="I92" s="37"/>
    </row>
    <row r="94" spans="7:28" x14ac:dyDescent="0.3">
      <c r="K94" s="167" t="s">
        <v>163</v>
      </c>
      <c r="L94" s="167"/>
      <c r="M94" s="167"/>
    </row>
    <row r="97" spans="10:15" x14ac:dyDescent="0.3">
      <c r="J97" s="37"/>
      <c r="K97" s="167" t="s">
        <v>164</v>
      </c>
      <c r="L97" s="167"/>
      <c r="M97" s="167"/>
    </row>
    <row r="100" spans="10:15" x14ac:dyDescent="0.3">
      <c r="K100" s="165" t="s">
        <v>165</v>
      </c>
      <c r="L100" s="165"/>
      <c r="M100" s="165"/>
    </row>
    <row r="103" spans="10:15" x14ac:dyDescent="0.3">
      <c r="K103" s="167" t="s">
        <v>179</v>
      </c>
      <c r="L103" s="167"/>
      <c r="M103" s="167"/>
    </row>
    <row r="105" spans="10:15" x14ac:dyDescent="0.3">
      <c r="K105" s="165" t="s">
        <v>183</v>
      </c>
      <c r="L105" s="165"/>
      <c r="M105" s="165"/>
    </row>
    <row r="106" spans="10:15" x14ac:dyDescent="0.3">
      <c r="K106" s="57"/>
      <c r="L106" s="57"/>
      <c r="M106" s="57"/>
    </row>
    <row r="107" spans="10:15" x14ac:dyDescent="0.3">
      <c r="K107" s="57"/>
      <c r="L107" s="57"/>
      <c r="M107" s="57"/>
    </row>
    <row r="108" spans="10:15" x14ac:dyDescent="0.3">
      <c r="K108" s="165" t="s">
        <v>189</v>
      </c>
      <c r="L108" s="165"/>
      <c r="M108" s="165"/>
    </row>
    <row r="109" spans="10:15" x14ac:dyDescent="0.3">
      <c r="K109" s="57"/>
      <c r="L109" s="57"/>
      <c r="M109" s="57"/>
    </row>
    <row r="111" spans="10:15" x14ac:dyDescent="0.3">
      <c r="K111" s="57"/>
      <c r="L111" s="57"/>
      <c r="M111" s="57"/>
    </row>
    <row r="112" spans="10:15" x14ac:dyDescent="0.3">
      <c r="K112" s="57"/>
      <c r="L112" s="57"/>
      <c r="M112" s="165" t="s">
        <v>188</v>
      </c>
      <c r="N112" s="165"/>
      <c r="O112" s="165"/>
    </row>
    <row r="113" spans="8:17" x14ac:dyDescent="0.3">
      <c r="K113" s="57"/>
      <c r="L113" s="57"/>
      <c r="M113" s="57"/>
    </row>
    <row r="114" spans="8:17" x14ac:dyDescent="0.3">
      <c r="K114" s="37"/>
      <c r="L114" s="37"/>
      <c r="M114" s="163" t="s">
        <v>166</v>
      </c>
      <c r="N114" s="163"/>
      <c r="O114" s="163"/>
    </row>
    <row r="116" spans="8:17" x14ac:dyDescent="0.3">
      <c r="M116" s="163" t="s">
        <v>182</v>
      </c>
      <c r="N116" s="163"/>
      <c r="O116" s="163"/>
    </row>
    <row r="118" spans="8:17" x14ac:dyDescent="0.3">
      <c r="M118" s="163" t="s">
        <v>190</v>
      </c>
      <c r="N118" s="163"/>
      <c r="O118" s="163"/>
    </row>
    <row r="119" spans="8:17" x14ac:dyDescent="0.3">
      <c r="M119" s="58"/>
      <c r="N119" s="58"/>
      <c r="O119" s="58"/>
    </row>
    <row r="120" spans="8:17" x14ac:dyDescent="0.3">
      <c r="M120" s="58"/>
      <c r="N120" s="58"/>
      <c r="O120" s="163" t="s">
        <v>190</v>
      </c>
      <c r="P120" s="163"/>
      <c r="Q120" s="163"/>
    </row>
    <row r="121" spans="8:17" x14ac:dyDescent="0.3">
      <c r="M121" s="58"/>
      <c r="N121" s="58"/>
      <c r="O121" s="58"/>
    </row>
    <row r="123" spans="8:17" x14ac:dyDescent="0.3">
      <c r="H123" s="37"/>
      <c r="I123" s="37"/>
      <c r="J123" s="164" t="s">
        <v>169</v>
      </c>
      <c r="K123" s="163"/>
      <c r="L123" s="163"/>
      <c r="M123" s="163"/>
      <c r="N123" s="163"/>
      <c r="O123" s="163"/>
    </row>
    <row r="126" spans="8:17" x14ac:dyDescent="0.3">
      <c r="L126" s="164" t="s">
        <v>170</v>
      </c>
      <c r="M126" s="163"/>
      <c r="N126" s="163"/>
      <c r="O126" s="163"/>
      <c r="P126" s="163"/>
      <c r="Q126" s="163"/>
    </row>
    <row r="129" spans="12:21" x14ac:dyDescent="0.3">
      <c r="L129" s="44" t="s">
        <v>143</v>
      </c>
      <c r="M129" s="44"/>
      <c r="N129" s="30"/>
      <c r="O129" s="30"/>
      <c r="P129" s="30"/>
      <c r="Q129" s="30"/>
    </row>
    <row r="132" spans="12:21" x14ac:dyDescent="0.3">
      <c r="M132" s="45" t="s">
        <v>143</v>
      </c>
      <c r="N132" s="30"/>
      <c r="O132" s="30"/>
      <c r="P132" s="30"/>
      <c r="Q132" s="30"/>
      <c r="R132" s="30"/>
    </row>
    <row r="135" spans="12:21" x14ac:dyDescent="0.3">
      <c r="N135" s="30" t="s">
        <v>143</v>
      </c>
      <c r="O135" s="30"/>
      <c r="P135" s="30"/>
      <c r="Q135" s="30"/>
      <c r="R135" s="30"/>
      <c r="S135" s="30"/>
    </row>
    <row r="138" spans="12:21" x14ac:dyDescent="0.3">
      <c r="N138" s="30" t="s">
        <v>143</v>
      </c>
      <c r="O138" s="30"/>
      <c r="P138" s="30"/>
      <c r="Q138" s="30"/>
      <c r="R138" s="30"/>
      <c r="S138" s="30"/>
    </row>
    <row r="141" spans="12:21" x14ac:dyDescent="0.3">
      <c r="N141" s="30" t="s">
        <v>168</v>
      </c>
      <c r="O141" s="30"/>
      <c r="P141" s="30"/>
      <c r="Q141" s="30"/>
      <c r="R141" s="30"/>
      <c r="S141" s="30"/>
    </row>
    <row r="144" spans="12:21" x14ac:dyDescent="0.3">
      <c r="P144" s="30" t="s">
        <v>167</v>
      </c>
      <c r="Q144" s="30"/>
      <c r="R144" s="30"/>
      <c r="S144" s="30"/>
      <c r="T144" s="30"/>
      <c r="U144" s="30"/>
    </row>
  </sheetData>
  <mergeCells count="33">
    <mergeCell ref="F15:H15"/>
    <mergeCell ref="H51:J51"/>
    <mergeCell ref="I80:K80"/>
    <mergeCell ref="K103:M103"/>
    <mergeCell ref="J47:L47"/>
    <mergeCell ref="I36:K36"/>
    <mergeCell ref="J91:L91"/>
    <mergeCell ref="K94:M94"/>
    <mergeCell ref="K97:M97"/>
    <mergeCell ref="K100:M100"/>
    <mergeCell ref="M114:O114"/>
    <mergeCell ref="J123:O123"/>
    <mergeCell ref="M112:O112"/>
    <mergeCell ref="L126:Q126"/>
    <mergeCell ref="G25:I25"/>
    <mergeCell ref="K105:M105"/>
    <mergeCell ref="M116:O116"/>
    <mergeCell ref="O120:Q120"/>
    <mergeCell ref="E20:G20"/>
    <mergeCell ref="D10:F10"/>
    <mergeCell ref="C6:E6"/>
    <mergeCell ref="G30:I30"/>
    <mergeCell ref="F42:H42"/>
    <mergeCell ref="K108:M108"/>
    <mergeCell ref="M118:O118"/>
    <mergeCell ref="H56:J56"/>
    <mergeCell ref="H61:J61"/>
    <mergeCell ref="J66:L66"/>
    <mergeCell ref="G77:I77"/>
    <mergeCell ref="I85:K85"/>
    <mergeCell ref="I88:K88"/>
    <mergeCell ref="J71:L71"/>
    <mergeCell ref="L76:N76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Summary500-600</vt:lpstr>
      <vt:lpstr>Sheet1</vt:lpstr>
      <vt:lpstr>Model500-600</vt:lpstr>
      <vt:lpstr>SchGrArr</vt:lpstr>
      <vt:lpstr>Risks</vt:lpstr>
      <vt:lpstr>Model</vt:lpstr>
      <vt:lpstr>Summary</vt:lpstr>
      <vt:lpstr>Scheme Graph</vt:lpstr>
      <vt:lpstr>Scheme</vt:lpstr>
      <vt:lpstr>1,5x +500 (2)</vt:lpstr>
      <vt:lpstr>Sheet4 (2)</vt:lpstr>
      <vt:lpstr>Sheet2</vt:lpstr>
      <vt:lpstr>Sheet3</vt:lpstr>
      <vt:lpstr>Sheet4</vt:lpstr>
      <vt:lpstr>1,5x +500</vt:lpstr>
      <vt:lpstr>1,5x +200</vt:lpstr>
      <vt:lpstr>1,44x +500</vt:lpstr>
      <vt:lpstr>1,44x +200</vt:lpstr>
      <vt:lpstr>1,5 + gradual increase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lynx</cp:lastModifiedBy>
  <dcterms:created xsi:type="dcterms:W3CDTF">2022-10-31T04:08:36Z</dcterms:created>
  <dcterms:modified xsi:type="dcterms:W3CDTF">2023-12-06T23:45:34Z</dcterms:modified>
</cp:coreProperties>
</file>