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vseshad9_sundevils_asu_edu/Documents/Desktop/Applied Project-2024/MATLAB Files/"/>
    </mc:Choice>
  </mc:AlternateContent>
  <xr:revisionPtr revIDLastSave="210" documentId="8_{1A50272C-9275-4F94-B56B-DED03D1B7F37}" xr6:coauthVersionLast="47" xr6:coauthVersionMax="47" xr10:uidLastSave="{67777426-2903-4BE0-B0C1-A2358EA465F8}"/>
  <bookViews>
    <workbookView xWindow="-19240" yWindow="680" windowWidth="19280" windowHeight="10160" xr2:uid="{514A9951-B434-467B-9FB4-A0E7096ABA50}"/>
  </bookViews>
  <sheets>
    <sheet name="UNIFAC (VLE)" sheetId="1" r:id="rId1"/>
    <sheet name="aij-UNIFAC (VLE)" sheetId="2" r:id="rId2"/>
  </sheets>
  <externalReferences>
    <externalReference r:id="rId3"/>
  </externalReferences>
  <definedNames>
    <definedName name="_del1">[1]Regular!$J$10</definedName>
    <definedName name="_del2">[1]Regular!$J$11</definedName>
    <definedName name="_Q">'aij-UNIFAC (VLE)'!$X$10:$X$29</definedName>
    <definedName name="_QL">'[1]aij-UNIFAC (LLE)'!$D$10:$D$27</definedName>
    <definedName name="_R">'aij-UNIFAC (VLE)'!$W$10:$W$29</definedName>
    <definedName name="_RL">'[1]aij-UNIFAC (LLE)'!$C$10:$C$27</definedName>
    <definedName name="A12.">[1]Regular!$H$54</definedName>
    <definedName name="A12..">[1]UNIQUAC!$H$6</definedName>
    <definedName name="A12_">[1]Margules!$D$5</definedName>
    <definedName name="A21.">[1]Regular!$H$55</definedName>
    <definedName name="A21..">[1]UNIQUAC!$I$6</definedName>
    <definedName name="A21_">[1]Margules!$E$5</definedName>
    <definedName name="column">'aij-UNIFAC (VLE)'!$B$9:$R$9</definedName>
    <definedName name="MGaij">'aij-UNIFAC (VLE)'!$B$10:$R$26</definedName>
    <definedName name="Pexpt">[1]Regular!$I$13</definedName>
    <definedName name="phir1">[1]Regular!$B$19:$O$19</definedName>
    <definedName name="q">'UNIFAC (VLE)'!$C$46:$G$46</definedName>
    <definedName name="row">'aij-UNIFAC (VLE)'!$A$10:$A$26</definedName>
    <definedName name="solver_adj" localSheetId="0" hidden="1">'UNIFAC (VLE)'!$C$10</definedName>
    <definedName name="solver_lin" localSheetId="0" hidden="1">0</definedName>
    <definedName name="solver_num" localSheetId="0" hidden="1">0</definedName>
    <definedName name="solver_opt" localSheetId="0" hidden="1">'UNIFAC (VLE)'!$C$9</definedName>
    <definedName name="solver_typ" localSheetId="0" hidden="1">3</definedName>
    <definedName name="solver_val" localSheetId="0" hidden="1">760</definedName>
    <definedName name="T" localSheetId="0">'UNIFAC (VLE)'!$C$10</definedName>
    <definedName name="T">[1]UNIQUAC5!$B$12</definedName>
    <definedName name="tau">'aij-UNIFAC (VLE)'!$W$36:$AP$55</definedName>
    <definedName name="tauL">'[1]aij-UNIFAC (LLE)'!$E$31:$V$48</definedName>
    <definedName name="V1_">[1]Regular!$H$10</definedName>
    <definedName name="V2_">[1]Regular!$H$11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C22" i="1"/>
  <c r="D52" i="1" a="1"/>
  <c r="D52" i="1"/>
  <c r="C52" i="1" a="1"/>
  <c r="C52" i="1" s="1"/>
  <c r="C51" i="1" a="1"/>
  <c r="C51" i="1"/>
  <c r="AN23" i="1"/>
  <c r="AG23" i="1"/>
  <c r="U23" i="1"/>
  <c r="U25" i="1"/>
  <c r="P23" i="1"/>
  <c r="T23" i="1"/>
  <c r="M43" i="1" a="1"/>
  <c r="M43" i="1" s="1"/>
  <c r="L43" i="1" a="1"/>
  <c r="L43" i="1" s="1"/>
  <c r="O43" i="1" a="1"/>
  <c r="O43" i="1" s="1"/>
  <c r="Q23" i="1"/>
  <c r="O23" i="1"/>
  <c r="H43" i="1"/>
  <c r="O24" i="1"/>
  <c r="K43" i="1" a="1"/>
  <c r="K43" i="1" s="1"/>
  <c r="J23" i="1"/>
  <c r="J25" i="1"/>
  <c r="H23" i="1" a="1"/>
  <c r="H23" i="1" s="1"/>
  <c r="K24" i="1"/>
  <c r="J24" i="1"/>
  <c r="J43" i="1" a="1"/>
  <c r="J43" i="1" s="1"/>
  <c r="C50" i="1"/>
  <c r="C47" i="1" a="1"/>
  <c r="C47" i="1"/>
  <c r="C10" i="1"/>
  <c r="G16" i="1"/>
  <c r="C46" i="1" a="1"/>
  <c r="C46" i="1" s="1"/>
  <c r="H40" i="1"/>
  <c r="C43" i="1"/>
  <c r="D47" i="1" a="1"/>
  <c r="D47" i="1" s="1"/>
  <c r="D46" i="1" a="1"/>
  <c r="D46" i="1" s="1"/>
  <c r="F46" i="1" a="1"/>
  <c r="F46" i="1"/>
  <c r="T29" i="2"/>
  <c r="W29" i="2" s="1"/>
  <c r="T28" i="2"/>
  <c r="X28" i="2" s="1"/>
  <c r="T27" i="2"/>
  <c r="X27" i="2" s="1"/>
  <c r="T26" i="2"/>
  <c r="X26" i="2" s="1"/>
  <c r="T25" i="2"/>
  <c r="X25" i="2" s="1"/>
  <c r="T24" i="2"/>
  <c r="V24" i="2" s="1"/>
  <c r="T23" i="2"/>
  <c r="W23" i="2" s="1"/>
  <c r="T22" i="2"/>
  <c r="X22" i="2" s="1"/>
  <c r="T21" i="2"/>
  <c r="X21" i="2" s="1"/>
  <c r="T20" i="2"/>
  <c r="X20" i="2" s="1"/>
  <c r="T19" i="2"/>
  <c r="X19" i="2" s="1"/>
  <c r="T18" i="2"/>
  <c r="X18" i="2" s="1"/>
  <c r="T17" i="2"/>
  <c r="X17" i="2" s="1"/>
  <c r="T16" i="2"/>
  <c r="X16" i="2" s="1"/>
  <c r="T15" i="2"/>
  <c r="V15" i="2" s="1"/>
  <c r="AS15" i="2" s="1"/>
  <c r="T14" i="2"/>
  <c r="W13" i="2"/>
  <c r="V13" i="2"/>
  <c r="AB9" i="2" s="1"/>
  <c r="Z35" i="2" s="1"/>
  <c r="T13" i="2"/>
  <c r="X13" i="2" s="1"/>
  <c r="T12" i="2"/>
  <c r="W12" i="2" s="1"/>
  <c r="T11" i="2"/>
  <c r="W11" i="2" s="1"/>
  <c r="T10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G44" i="1"/>
  <c r="N32" i="1" s="1"/>
  <c r="F44" i="1"/>
  <c r="M38" i="1" s="1"/>
  <c r="E44" i="1"/>
  <c r="L25" i="1" s="1"/>
  <c r="D44" i="1"/>
  <c r="K23" i="1" s="1"/>
  <c r="C44" i="1"/>
  <c r="J27" i="1" s="1"/>
  <c r="G43" i="1"/>
  <c r="E43" i="1"/>
  <c r="D43" i="1"/>
  <c r="H42" i="1" a="1"/>
  <c r="H41" i="1" a="1"/>
  <c r="H40" i="1" a="1"/>
  <c r="N39" i="1"/>
  <c r="M39" i="1"/>
  <c r="H39" i="1" a="1"/>
  <c r="H38" i="1" a="1"/>
  <c r="H37" i="1" a="1"/>
  <c r="H36" i="1" a="1"/>
  <c r="H35" i="1" a="1"/>
  <c r="H34" i="1" a="1"/>
  <c r="M33" i="1"/>
  <c r="H33" i="1" a="1"/>
  <c r="H32" i="1" a="1"/>
  <c r="H31" i="1" a="1"/>
  <c r="H30" i="1" a="1"/>
  <c r="H29" i="1" a="1"/>
  <c r="M28" i="1"/>
  <c r="L28" i="1"/>
  <c r="K28" i="1"/>
  <c r="H28" i="1" a="1"/>
  <c r="H27" i="1" a="1"/>
  <c r="H26" i="1" a="1"/>
  <c r="H25" i="1" a="1"/>
  <c r="H24" i="1" a="1"/>
  <c r="R38" i="1" l="1"/>
  <c r="R23" i="1"/>
  <c r="U6" i="2"/>
  <c r="C16" i="1"/>
  <c r="D16" i="1"/>
  <c r="F16" i="1"/>
  <c r="H29" i="1"/>
  <c r="H30" i="1"/>
  <c r="H32" i="1"/>
  <c r="H34" i="1"/>
  <c r="H37" i="1"/>
  <c r="H42" i="1"/>
  <c r="H31" i="1"/>
  <c r="H33" i="1"/>
  <c r="H35" i="1"/>
  <c r="H24" i="1"/>
  <c r="H38" i="1"/>
  <c r="H27" i="1"/>
  <c r="D48" i="1"/>
  <c r="F43" i="1"/>
  <c r="H36" i="1"/>
  <c r="H25" i="1"/>
  <c r="H26" i="1"/>
  <c r="H39" i="1"/>
  <c r="H28" i="1"/>
  <c r="H41" i="1"/>
  <c r="D49" i="1"/>
  <c r="AS24" i="2"/>
  <c r="AM9" i="2"/>
  <c r="AK35" i="2" s="1"/>
  <c r="W19" i="2"/>
  <c r="K25" i="1"/>
  <c r="M25" i="1"/>
  <c r="U15" i="2"/>
  <c r="AD8" i="2" s="1"/>
  <c r="N25" i="1"/>
  <c r="M29" i="1"/>
  <c r="M34" i="1"/>
  <c r="W15" i="2"/>
  <c r="N29" i="1"/>
  <c r="U27" i="2"/>
  <c r="AP8" i="2" s="1"/>
  <c r="AP28" i="2" s="1"/>
  <c r="AN54" i="2" s="1"/>
  <c r="M40" i="1"/>
  <c r="V27" i="2"/>
  <c r="AP9" i="2" s="1"/>
  <c r="AN35" i="2" s="1"/>
  <c r="U16" i="2"/>
  <c r="AE8" i="2" s="1"/>
  <c r="AE12" i="2" s="1"/>
  <c r="AC38" i="2" s="1"/>
  <c r="W27" i="2"/>
  <c r="M26" i="1"/>
  <c r="N41" i="1"/>
  <c r="W16" i="2"/>
  <c r="U28" i="2"/>
  <c r="AQ8" i="2" s="1"/>
  <c r="J30" i="1"/>
  <c r="V28" i="2"/>
  <c r="L36" i="1"/>
  <c r="J42" i="1"/>
  <c r="J37" i="1"/>
  <c r="V12" i="2"/>
  <c r="B25" i="1" s="1"/>
  <c r="I25" i="1" s="1"/>
  <c r="B28" i="1"/>
  <c r="I28" i="1" s="1"/>
  <c r="J32" i="1"/>
  <c r="N37" i="1"/>
  <c r="X12" i="2"/>
  <c r="U18" i="2"/>
  <c r="AE18" i="2" s="1"/>
  <c r="AC44" i="2" s="1"/>
  <c r="U26" i="2"/>
  <c r="AK26" i="2" s="1"/>
  <c r="AI52" i="2" s="1"/>
  <c r="V26" i="2"/>
  <c r="W26" i="2"/>
  <c r="J34" i="1"/>
  <c r="L34" i="1"/>
  <c r="B26" i="1"/>
  <c r="I26" i="1" s="1"/>
  <c r="N34" i="1"/>
  <c r="W21" i="2"/>
  <c r="K26" i="1"/>
  <c r="L41" i="1"/>
  <c r="V16" i="2"/>
  <c r="AE9" i="2" s="1"/>
  <c r="AC35" i="2" s="1"/>
  <c r="X11" i="2"/>
  <c r="W28" i="2"/>
  <c r="M23" i="1"/>
  <c r="N36" i="1"/>
  <c r="U17" i="2"/>
  <c r="AA17" i="2" s="1"/>
  <c r="Y43" i="2" s="1"/>
  <c r="N31" i="1"/>
  <c r="M32" i="1"/>
  <c r="V18" i="2"/>
  <c r="AS18" i="2" s="1"/>
  <c r="V41" i="2"/>
  <c r="J39" i="1"/>
  <c r="J29" i="1"/>
  <c r="V20" i="2"/>
  <c r="AS20" i="2" s="1"/>
  <c r="W20" i="2"/>
  <c r="J40" i="1"/>
  <c r="X15" i="2"/>
  <c r="J35" i="1"/>
  <c r="M35" i="1"/>
  <c r="U22" i="2"/>
  <c r="N26" i="1"/>
  <c r="V22" i="2"/>
  <c r="M30" i="1"/>
  <c r="N23" i="1"/>
  <c r="M27" i="1"/>
  <c r="U12" i="2"/>
  <c r="AA8" i="2" s="1"/>
  <c r="AA28" i="2" s="1"/>
  <c r="Y54" i="2" s="1"/>
  <c r="V17" i="2"/>
  <c r="B30" i="1" s="1"/>
  <c r="I30" i="1" s="1"/>
  <c r="N27" i="1"/>
  <c r="M24" i="1"/>
  <c r="N24" i="1"/>
  <c r="U13" i="2"/>
  <c r="AE13" i="2" s="1"/>
  <c r="AC39" i="2" s="1"/>
  <c r="W18" i="2"/>
  <c r="AK12" i="2"/>
  <c r="AI38" i="2" s="1"/>
  <c r="K32" i="1"/>
  <c r="K37" i="1"/>
  <c r="K27" i="1"/>
  <c r="K42" i="1"/>
  <c r="K41" i="1"/>
  <c r="K30" i="1"/>
  <c r="K34" i="1"/>
  <c r="K31" i="1"/>
  <c r="K38" i="1"/>
  <c r="K35" i="1"/>
  <c r="K39" i="1"/>
  <c r="K36" i="1"/>
  <c r="K29" i="1"/>
  <c r="B37" i="1"/>
  <c r="I37" i="1" s="1"/>
  <c r="V50" i="2"/>
  <c r="B33" i="1"/>
  <c r="I33" i="1" s="1"/>
  <c r="V46" i="2"/>
  <c r="X10" i="2"/>
  <c r="V10" i="2"/>
  <c r="U10" i="2"/>
  <c r="K33" i="1"/>
  <c r="W10" i="2"/>
  <c r="L32" i="1"/>
  <c r="L37" i="1"/>
  <c r="L27" i="1"/>
  <c r="L24" i="1"/>
  <c r="L42" i="1"/>
  <c r="L31" i="1"/>
  <c r="L23" i="1"/>
  <c r="L30" i="1"/>
  <c r="L35" i="1"/>
  <c r="L26" i="1"/>
  <c r="L29" i="1"/>
  <c r="L38" i="1"/>
  <c r="L39" i="1"/>
  <c r="L40" i="1"/>
  <c r="L33" i="1"/>
  <c r="K40" i="1"/>
  <c r="X23" i="2"/>
  <c r="V23" i="2"/>
  <c r="U23" i="2"/>
  <c r="AK27" i="2"/>
  <c r="AI53" i="2" s="1"/>
  <c r="AE27" i="2"/>
  <c r="AC53" i="2" s="1"/>
  <c r="X14" i="2"/>
  <c r="W14" i="2"/>
  <c r="U14" i="2"/>
  <c r="V14" i="2"/>
  <c r="V25" i="2"/>
  <c r="W25" i="2"/>
  <c r="U25" i="2"/>
  <c r="X29" i="2"/>
  <c r="V29" i="2"/>
  <c r="U29" i="2"/>
  <c r="B29" i="1"/>
  <c r="I29" i="1" s="1"/>
  <c r="AS16" i="2"/>
  <c r="V42" i="2"/>
  <c r="AP17" i="2"/>
  <c r="AN43" i="2" s="1"/>
  <c r="AA27" i="2"/>
  <c r="Y53" i="2" s="1"/>
  <c r="AQ28" i="2"/>
  <c r="AO54" i="2" s="1"/>
  <c r="V54" i="2"/>
  <c r="B41" i="1"/>
  <c r="I41" i="1" s="1"/>
  <c r="V39" i="2"/>
  <c r="X24" i="2"/>
  <c r="W24" i="2"/>
  <c r="J41" i="1"/>
  <c r="J36" i="1"/>
  <c r="J31" i="1"/>
  <c r="J26" i="1"/>
  <c r="J38" i="1"/>
  <c r="J33" i="1"/>
  <c r="J28" i="1"/>
  <c r="V11" i="2"/>
  <c r="U11" i="2"/>
  <c r="AS13" i="2"/>
  <c r="V19" i="2"/>
  <c r="U19" i="2"/>
  <c r="U20" i="2"/>
  <c r="V21" i="2"/>
  <c r="U21" i="2"/>
  <c r="AQ22" i="2"/>
  <c r="AO48" i="2" s="1"/>
  <c r="AK8" i="2"/>
  <c r="U24" i="2"/>
  <c r="M41" i="1"/>
  <c r="M36" i="1"/>
  <c r="M31" i="1"/>
  <c r="W17" i="2"/>
  <c r="V38" i="2"/>
  <c r="N38" i="1"/>
  <c r="N33" i="1"/>
  <c r="N28" i="1"/>
  <c r="N40" i="1"/>
  <c r="N35" i="1"/>
  <c r="N30" i="1"/>
  <c r="M42" i="1"/>
  <c r="AF9" i="2"/>
  <c r="AD35" i="2" s="1"/>
  <c r="M37" i="1"/>
  <c r="N42" i="1"/>
  <c r="AD9" i="2"/>
  <c r="AB35" i="2" s="1"/>
  <c r="B39" i="1"/>
  <c r="I39" i="1" s="1"/>
  <c r="W22" i="2"/>
  <c r="O42" i="1" l="1"/>
  <c r="O31" i="1"/>
  <c r="O40" i="1"/>
  <c r="O30" i="1"/>
  <c r="O28" i="1"/>
  <c r="O37" i="1"/>
  <c r="O33" i="1"/>
  <c r="O39" i="1"/>
  <c r="O38" i="1"/>
  <c r="O25" i="1"/>
  <c r="AE28" i="2"/>
  <c r="AC54" i="2" s="1"/>
  <c r="AK17" i="2"/>
  <c r="AI43" i="2" s="1"/>
  <c r="AQ18" i="2"/>
  <c r="AO44" i="2" s="1"/>
  <c r="AP15" i="2"/>
  <c r="AN41" i="2" s="1"/>
  <c r="AQ17" i="2"/>
  <c r="AO43" i="2" s="1"/>
  <c r="AP16" i="2"/>
  <c r="AN42" i="2" s="1"/>
  <c r="AO8" i="2"/>
  <c r="AO10" i="2" s="1"/>
  <c r="AM36" i="2" s="1"/>
  <c r="AG8" i="2"/>
  <c r="AG12" i="2" s="1"/>
  <c r="AE38" i="2" s="1"/>
  <c r="O26" i="1"/>
  <c r="AP22" i="2"/>
  <c r="AN48" i="2" s="1"/>
  <c r="AA26" i="2"/>
  <c r="Y52" i="2" s="1"/>
  <c r="AA18" i="2"/>
  <c r="Y44" i="2" s="1"/>
  <c r="V52" i="2"/>
  <c r="AO9" i="2"/>
  <c r="AM35" i="2" s="1"/>
  <c r="AS26" i="2"/>
  <c r="AE26" i="2"/>
  <c r="AC52" i="2" s="1"/>
  <c r="AP26" i="2"/>
  <c r="AN52" i="2" s="1"/>
  <c r="AA13" i="2"/>
  <c r="Y39" i="2" s="1"/>
  <c r="AS17" i="2"/>
  <c r="AF8" i="2"/>
  <c r="AF28" i="2" s="1"/>
  <c r="AD54" i="2" s="1"/>
  <c r="B35" i="1"/>
  <c r="I35" i="1" s="1"/>
  <c r="AS22" i="2"/>
  <c r="AE15" i="2"/>
  <c r="AC41" i="2" s="1"/>
  <c r="AQ27" i="2"/>
  <c r="AO53" i="2" s="1"/>
  <c r="AQ16" i="2"/>
  <c r="AO42" i="2" s="1"/>
  <c r="AQ15" i="2"/>
  <c r="AO41" i="2" s="1"/>
  <c r="O29" i="1"/>
  <c r="AB16" i="2"/>
  <c r="Z42" i="2" s="1"/>
  <c r="AE17" i="2"/>
  <c r="AC43" i="2" s="1"/>
  <c r="V43" i="2"/>
  <c r="AQ12" i="2"/>
  <c r="AO38" i="2" s="1"/>
  <c r="AQ13" i="2"/>
  <c r="AO39" i="2" s="1"/>
  <c r="AK18" i="2"/>
  <c r="AI44" i="2" s="1"/>
  <c r="AS12" i="2"/>
  <c r="AB17" i="2"/>
  <c r="Z43" i="2" s="1"/>
  <c r="AD17" i="2"/>
  <c r="AB43" i="2" s="1"/>
  <c r="O27" i="1"/>
  <c r="AG9" i="2"/>
  <c r="AE35" i="2" s="1"/>
  <c r="V44" i="2"/>
  <c r="AK9" i="2"/>
  <c r="AI35" i="2" s="1"/>
  <c r="AE22" i="2"/>
  <c r="AC48" i="2" s="1"/>
  <c r="AA15" i="2"/>
  <c r="Y41" i="2" s="1"/>
  <c r="O41" i="1"/>
  <c r="AS28" i="2"/>
  <c r="AQ9" i="2"/>
  <c r="AO35" i="2" s="1"/>
  <c r="AO13" i="2"/>
  <c r="AM39" i="2" s="1"/>
  <c r="AO17" i="2"/>
  <c r="AM43" i="2" s="1"/>
  <c r="O36" i="1"/>
  <c r="B31" i="1"/>
  <c r="I31" i="1" s="1"/>
  <c r="AP12" i="2"/>
  <c r="AN38" i="2" s="1"/>
  <c r="AB15" i="2"/>
  <c r="Z41" i="2" s="1"/>
  <c r="O35" i="1"/>
  <c r="AD26" i="2"/>
  <c r="AB52" i="2" s="1"/>
  <c r="AF26" i="2"/>
  <c r="AD52" i="2" s="1"/>
  <c r="AB12" i="2"/>
  <c r="Z38" i="2" s="1"/>
  <c r="V48" i="2"/>
  <c r="AA22" i="2"/>
  <c r="Y48" i="2" s="1"/>
  <c r="AI9" i="2"/>
  <c r="AG35" i="2" s="1"/>
  <c r="AP27" i="2"/>
  <c r="AN53" i="2" s="1"/>
  <c r="AK15" i="2"/>
  <c r="AI41" i="2" s="1"/>
  <c r="O34" i="1"/>
  <c r="AB8" i="2"/>
  <c r="V53" i="2"/>
  <c r="B40" i="1"/>
  <c r="I40" i="1" s="1"/>
  <c r="AP13" i="2"/>
  <c r="AN39" i="2" s="1"/>
  <c r="AQ26" i="2"/>
  <c r="AO52" i="2" s="1"/>
  <c r="AO12" i="2"/>
  <c r="AM38" i="2" s="1"/>
  <c r="AA12" i="2"/>
  <c r="Y38" i="2" s="1"/>
  <c r="AA16" i="2"/>
  <c r="Y42" i="2" s="1"/>
  <c r="O32" i="1"/>
  <c r="AA9" i="2"/>
  <c r="Y35" i="2" s="1"/>
  <c r="AE16" i="2"/>
  <c r="AC42" i="2" s="1"/>
  <c r="AS27" i="2"/>
  <c r="AP18" i="2"/>
  <c r="AN44" i="2" s="1"/>
  <c r="P27" i="1"/>
  <c r="AK13" i="2"/>
  <c r="AI39" i="2" s="1"/>
  <c r="AD12" i="2"/>
  <c r="AB38" i="2" s="1"/>
  <c r="AD16" i="2"/>
  <c r="AB42" i="2" s="1"/>
  <c r="AF10" i="2"/>
  <c r="AD36" i="2" s="1"/>
  <c r="AB10" i="2"/>
  <c r="Z36" i="2" s="1"/>
  <c r="AA10" i="2"/>
  <c r="Y36" i="2" s="1"/>
  <c r="AE10" i="2"/>
  <c r="AC36" i="2" s="1"/>
  <c r="AD10" i="2"/>
  <c r="AB36" i="2" s="1"/>
  <c r="AP10" i="2"/>
  <c r="AN36" i="2" s="1"/>
  <c r="AQ10" i="2"/>
  <c r="AO36" i="2" s="1"/>
  <c r="AK10" i="2"/>
  <c r="AI36" i="2" s="1"/>
  <c r="AL10" i="2"/>
  <c r="AJ36" i="2" s="1"/>
  <c r="AH10" i="2"/>
  <c r="AF36" i="2" s="1"/>
  <c r="Y8" i="2"/>
  <c r="R37" i="1"/>
  <c r="AP29" i="2"/>
  <c r="AN55" i="2" s="1"/>
  <c r="AO29" i="2"/>
  <c r="AM55" i="2" s="1"/>
  <c r="AK29" i="2"/>
  <c r="AI55" i="2" s="1"/>
  <c r="AG29" i="2"/>
  <c r="AE55" i="2" s="1"/>
  <c r="AM29" i="2"/>
  <c r="AK55" i="2" s="1"/>
  <c r="AQ29" i="2"/>
  <c r="AO55" i="2" s="1"/>
  <c r="AR8" i="2"/>
  <c r="AR23" i="2" s="1"/>
  <c r="AP49" i="2" s="1"/>
  <c r="AN29" i="2"/>
  <c r="AL55" i="2" s="1"/>
  <c r="AI29" i="2"/>
  <c r="AG55" i="2" s="1"/>
  <c r="AA29" i="2"/>
  <c r="Y55" i="2" s="1"/>
  <c r="AE29" i="2"/>
  <c r="AC55" i="2" s="1"/>
  <c r="AD29" i="2"/>
  <c r="AB55" i="2" s="1"/>
  <c r="Z29" i="2"/>
  <c r="X55" i="2" s="1"/>
  <c r="AF15" i="2"/>
  <c r="AD41" i="2" s="1"/>
  <c r="AF17" i="2"/>
  <c r="AD43" i="2" s="1"/>
  <c r="AF22" i="2"/>
  <c r="AD48" i="2" s="1"/>
  <c r="AC11" i="2"/>
  <c r="AA37" i="2" s="1"/>
  <c r="Z11" i="2"/>
  <c r="X37" i="2" s="1"/>
  <c r="AP11" i="2"/>
  <c r="AN37" i="2" s="1"/>
  <c r="AO11" i="2"/>
  <c r="AM37" i="2" s="1"/>
  <c r="AE11" i="2"/>
  <c r="AC37" i="2" s="1"/>
  <c r="AD11" i="2"/>
  <c r="AB37" i="2" s="1"/>
  <c r="AB11" i="2"/>
  <c r="Z37" i="2" s="1"/>
  <c r="AA11" i="2"/>
  <c r="Y37" i="2" s="1"/>
  <c r="AM11" i="2"/>
  <c r="AK37" i="2" s="1"/>
  <c r="Z8" i="2"/>
  <c r="Z25" i="2" s="1"/>
  <c r="X51" i="2" s="1"/>
  <c r="AQ11" i="2"/>
  <c r="AO37" i="2" s="1"/>
  <c r="AK11" i="2"/>
  <c r="AI37" i="2" s="1"/>
  <c r="V55" i="2"/>
  <c r="AS29" i="2"/>
  <c r="B42" i="1"/>
  <c r="I42" i="1" s="1"/>
  <c r="AR9" i="2"/>
  <c r="AP35" i="2" s="1"/>
  <c r="R27" i="1"/>
  <c r="AD13" i="2"/>
  <c r="AB39" i="2" s="1"/>
  <c r="P42" i="1"/>
  <c r="P33" i="1"/>
  <c r="AD28" i="2"/>
  <c r="AB54" i="2" s="1"/>
  <c r="AO22" i="2"/>
  <c r="AM48" i="2" s="1"/>
  <c r="AO16" i="2"/>
  <c r="AM42" i="2" s="1"/>
  <c r="AO28" i="2"/>
  <c r="AM54" i="2" s="1"/>
  <c r="AO27" i="2"/>
  <c r="AM53" i="2" s="1"/>
  <c r="B36" i="1"/>
  <c r="I36" i="1" s="1"/>
  <c r="V49" i="2"/>
  <c r="AL9" i="2"/>
  <c r="AJ35" i="2" s="1"/>
  <c r="AS23" i="2"/>
  <c r="B24" i="1"/>
  <c r="I24" i="1" s="1"/>
  <c r="Z9" i="2"/>
  <c r="X35" i="2" s="1"/>
  <c r="AS11" i="2"/>
  <c r="V37" i="2"/>
  <c r="AO18" i="2"/>
  <c r="AM44" i="2" s="1"/>
  <c r="AO15" i="2"/>
  <c r="AM41" i="2" s="1"/>
  <c r="AS10" i="2"/>
  <c r="B23" i="1"/>
  <c r="I23" i="1" s="1"/>
  <c r="Y9" i="2"/>
  <c r="W35" i="2" s="1"/>
  <c r="V36" i="2"/>
  <c r="R35" i="1"/>
  <c r="AD22" i="2"/>
  <c r="AB48" i="2" s="1"/>
  <c r="G47" i="1" a="1"/>
  <c r="G47" i="1" s="1"/>
  <c r="E47" i="1" a="1"/>
  <c r="E47" i="1" s="1"/>
  <c r="F47" i="1" a="1"/>
  <c r="F47" i="1" s="1"/>
  <c r="V51" i="2"/>
  <c r="AS25" i="2"/>
  <c r="AN9" i="2"/>
  <c r="AL35" i="2" s="1"/>
  <c r="B38" i="1"/>
  <c r="I38" i="1" s="1"/>
  <c r="AP19" i="2"/>
  <c r="AN45" i="2" s="1"/>
  <c r="AH8" i="2"/>
  <c r="AH19" i="2"/>
  <c r="AF45" i="2" s="1"/>
  <c r="AG19" i="2"/>
  <c r="AE45" i="2" s="1"/>
  <c r="AC19" i="2"/>
  <c r="AA45" i="2" s="1"/>
  <c r="AB19" i="2"/>
  <c r="Z45" i="2" s="1"/>
  <c r="AA19" i="2"/>
  <c r="Y45" i="2" s="1"/>
  <c r="Z19" i="2"/>
  <c r="X45" i="2" s="1"/>
  <c r="AQ19" i="2"/>
  <c r="AO45" i="2" s="1"/>
  <c r="AM19" i="2"/>
  <c r="AK45" i="2" s="1"/>
  <c r="AF19" i="2"/>
  <c r="AD45" i="2" s="1"/>
  <c r="AE19" i="2"/>
  <c r="AC45" i="2" s="1"/>
  <c r="AD19" i="2"/>
  <c r="AB45" i="2" s="1"/>
  <c r="AK19" i="2"/>
  <c r="AI45" i="2" s="1"/>
  <c r="P38" i="1"/>
  <c r="G46" i="1" a="1"/>
  <c r="G46" i="1" s="1"/>
  <c r="E46" i="1" a="1"/>
  <c r="E46" i="1" s="1"/>
  <c r="N43" i="1" a="1"/>
  <c r="N43" i="1" s="1"/>
  <c r="T42" i="1" s="1"/>
  <c r="S42" i="1"/>
  <c r="R36" i="1"/>
  <c r="R31" i="1"/>
  <c r="AF24" i="2"/>
  <c r="AD50" i="2" s="1"/>
  <c r="AE24" i="2"/>
  <c r="AC50" i="2" s="1"/>
  <c r="AB24" i="2"/>
  <c r="Z50" i="2" s="1"/>
  <c r="AR24" i="2"/>
  <c r="AP50" i="2" s="1"/>
  <c r="AQ24" i="2"/>
  <c r="AO50" i="2" s="1"/>
  <c r="AD24" i="2"/>
  <c r="AB50" i="2" s="1"/>
  <c r="AA24" i="2"/>
  <c r="Y50" i="2" s="1"/>
  <c r="Z24" i="2"/>
  <c r="X50" i="2" s="1"/>
  <c r="AM8" i="2"/>
  <c r="AM10" i="2" s="1"/>
  <c r="AK36" i="2" s="1"/>
  <c r="AP24" i="2"/>
  <c r="AN50" i="2" s="1"/>
  <c r="AM24" i="2"/>
  <c r="AK50" i="2" s="1"/>
  <c r="AK24" i="2"/>
  <c r="AI50" i="2" s="1"/>
  <c r="AH24" i="2"/>
  <c r="AF50" i="2" s="1"/>
  <c r="T35" i="1"/>
  <c r="P31" i="1"/>
  <c r="P41" i="1"/>
  <c r="AC9" i="2"/>
  <c r="AA35" i="2" s="1"/>
  <c r="B27" i="1"/>
  <c r="I27" i="1" s="1"/>
  <c r="AS14" i="2"/>
  <c r="V40" i="2"/>
  <c r="AD27" i="2"/>
  <c r="AB53" i="2" s="1"/>
  <c r="V45" i="2"/>
  <c r="AH9" i="2"/>
  <c r="AF35" i="2" s="1"/>
  <c r="B32" i="1"/>
  <c r="I32" i="1" s="1"/>
  <c r="AS19" i="2"/>
  <c r="AL23" i="2"/>
  <c r="AJ49" i="2" s="1"/>
  <c r="AK23" i="2"/>
  <c r="AI49" i="2" s="1"/>
  <c r="AD23" i="2"/>
  <c r="AB49" i="2" s="1"/>
  <c r="AC23" i="2"/>
  <c r="AA49" i="2" s="1"/>
  <c r="AE23" i="2"/>
  <c r="AC49" i="2" s="1"/>
  <c r="AB23" i="2"/>
  <c r="Z49" i="2" s="1"/>
  <c r="AA23" i="2"/>
  <c r="Y49" i="2" s="1"/>
  <c r="Z23" i="2"/>
  <c r="X49" i="2" s="1"/>
  <c r="AQ23" i="2"/>
  <c r="AO49" i="2" s="1"/>
  <c r="AO23" i="2"/>
  <c r="AM49" i="2" s="1"/>
  <c r="AP23" i="2"/>
  <c r="AN49" i="2" s="1"/>
  <c r="AG23" i="2"/>
  <c r="AE49" i="2" s="1"/>
  <c r="AL8" i="2"/>
  <c r="AL20" i="2" s="1"/>
  <c r="AJ46" i="2" s="1"/>
  <c r="AK22" i="2"/>
  <c r="AI48" i="2" s="1"/>
  <c r="AK16" i="2"/>
  <c r="AI42" i="2" s="1"/>
  <c r="AP25" i="2"/>
  <c r="AN51" i="2" s="1"/>
  <c r="AK25" i="2"/>
  <c r="AI51" i="2" s="1"/>
  <c r="AF25" i="2"/>
  <c r="AD51" i="2" s="1"/>
  <c r="AA25" i="2"/>
  <c r="Y51" i="2" s="1"/>
  <c r="AE25" i="2"/>
  <c r="AC51" i="2" s="1"/>
  <c r="AD25" i="2"/>
  <c r="AB51" i="2" s="1"/>
  <c r="AC25" i="2"/>
  <c r="AA51" i="2" s="1"/>
  <c r="AB25" i="2"/>
  <c r="Z51" i="2" s="1"/>
  <c r="AN8" i="2"/>
  <c r="AN24" i="2" s="1"/>
  <c r="AL50" i="2" s="1"/>
  <c r="AR25" i="2"/>
  <c r="AP51" i="2" s="1"/>
  <c r="AO25" i="2"/>
  <c r="AM51" i="2" s="1"/>
  <c r="AQ25" i="2"/>
  <c r="AO51" i="2" s="1"/>
  <c r="AF18" i="2"/>
  <c r="AD44" i="2" s="1"/>
  <c r="AK28" i="2"/>
  <c r="AI54" i="2" s="1"/>
  <c r="AD21" i="2"/>
  <c r="AB47" i="2" s="1"/>
  <c r="AP21" i="2"/>
  <c r="AN47" i="2" s="1"/>
  <c r="AF21" i="2"/>
  <c r="AD47" i="2" s="1"/>
  <c r="AE21" i="2"/>
  <c r="AC47" i="2" s="1"/>
  <c r="AB21" i="2"/>
  <c r="Z47" i="2" s="1"/>
  <c r="AA21" i="2"/>
  <c r="Y47" i="2" s="1"/>
  <c r="AQ21" i="2"/>
  <c r="AO47" i="2" s="1"/>
  <c r="AM21" i="2"/>
  <c r="AK47" i="2" s="1"/>
  <c r="AG21" i="2"/>
  <c r="AE47" i="2" s="1"/>
  <c r="AK21" i="2"/>
  <c r="AI47" i="2" s="1"/>
  <c r="AL21" i="2"/>
  <c r="AJ47" i="2" s="1"/>
  <c r="AJ8" i="2"/>
  <c r="AJ25" i="2" s="1"/>
  <c r="AH51" i="2" s="1"/>
  <c r="AF13" i="2"/>
  <c r="AD39" i="2" s="1"/>
  <c r="B34" i="1"/>
  <c r="I34" i="1" s="1"/>
  <c r="V47" i="2"/>
  <c r="AJ9" i="2"/>
  <c r="AH35" i="2" s="1"/>
  <c r="AS21" i="2"/>
  <c r="AF20" i="2"/>
  <c r="AD46" i="2" s="1"/>
  <c r="AB20" i="2"/>
  <c r="Z46" i="2" s="1"/>
  <c r="AA20" i="2"/>
  <c r="Y46" i="2" s="1"/>
  <c r="AD20" i="2"/>
  <c r="AB46" i="2" s="1"/>
  <c r="AP20" i="2"/>
  <c r="AN46" i="2" s="1"/>
  <c r="AI8" i="2"/>
  <c r="AI10" i="2" s="1"/>
  <c r="AG36" i="2" s="1"/>
  <c r="AO20" i="2"/>
  <c r="AM46" i="2" s="1"/>
  <c r="AQ20" i="2"/>
  <c r="AO46" i="2" s="1"/>
  <c r="AM20" i="2"/>
  <c r="AK46" i="2" s="1"/>
  <c r="AG20" i="2"/>
  <c r="AE46" i="2" s="1"/>
  <c r="AK20" i="2"/>
  <c r="AI46" i="2" s="1"/>
  <c r="AE20" i="2"/>
  <c r="AC46" i="2" s="1"/>
  <c r="AE14" i="2"/>
  <c r="AC40" i="2" s="1"/>
  <c r="AQ14" i="2"/>
  <c r="AO40" i="2" s="1"/>
  <c r="AC8" i="2"/>
  <c r="AC10" i="2" s="1"/>
  <c r="AA36" i="2" s="1"/>
  <c r="AC14" i="2"/>
  <c r="AA40" i="2" s="1"/>
  <c r="AA14" i="2"/>
  <c r="Y40" i="2" s="1"/>
  <c r="AM14" i="2"/>
  <c r="AK40" i="2" s="1"/>
  <c r="AG14" i="2"/>
  <c r="AE40" i="2" s="1"/>
  <c r="AD14" i="2"/>
  <c r="AB40" i="2" s="1"/>
  <c r="AP14" i="2"/>
  <c r="AN40" i="2" s="1"/>
  <c r="AL14" i="2"/>
  <c r="AJ40" i="2" s="1"/>
  <c r="AK14" i="2"/>
  <c r="AI40" i="2" s="1"/>
  <c r="AO14" i="2"/>
  <c r="AM40" i="2" s="1"/>
  <c r="AG27" i="2"/>
  <c r="AE53" i="2" s="1"/>
  <c r="R40" i="1"/>
  <c r="Q41" i="1"/>
  <c r="AD18" i="2"/>
  <c r="AB44" i="2" s="1"/>
  <c r="AD15" i="2"/>
  <c r="AB41" i="2" s="1"/>
  <c r="U24" i="1" l="1"/>
  <c r="AJ14" i="2"/>
  <c r="AH40" i="2" s="1"/>
  <c r="AG16" i="2"/>
  <c r="AE42" i="2" s="1"/>
  <c r="E48" i="1"/>
  <c r="AJ10" i="2"/>
  <c r="AH36" i="2" s="1"/>
  <c r="AG22" i="2"/>
  <c r="AE48" i="2" s="1"/>
  <c r="AB13" i="2"/>
  <c r="Z39" i="2" s="1"/>
  <c r="AB28" i="2"/>
  <c r="Z54" i="2" s="1"/>
  <c r="AB22" i="2"/>
  <c r="Z48" i="2" s="1"/>
  <c r="AB27" i="2"/>
  <c r="Z53" i="2" s="1"/>
  <c r="AB26" i="2"/>
  <c r="Z52" i="2" s="1"/>
  <c r="AB18" i="2"/>
  <c r="Z44" i="2" s="1"/>
  <c r="AG17" i="2"/>
  <c r="AE43" i="2" s="1"/>
  <c r="AI20" i="2"/>
  <c r="AG46" i="2" s="1"/>
  <c r="AO21" i="2"/>
  <c r="AM47" i="2" s="1"/>
  <c r="AO24" i="2"/>
  <c r="AM50" i="2" s="1"/>
  <c r="AO19" i="2"/>
  <c r="AM45" i="2" s="1"/>
  <c r="AG28" i="2"/>
  <c r="AE54" i="2" s="1"/>
  <c r="AG15" i="2"/>
  <c r="AE41" i="2" s="1"/>
  <c r="AJ21" i="2"/>
  <c r="AH47" i="2" s="1"/>
  <c r="AJ19" i="2"/>
  <c r="AH45" i="2" s="1"/>
  <c r="AJ20" i="2"/>
  <c r="AH46" i="2" s="1"/>
  <c r="AN21" i="2"/>
  <c r="AL47" i="2" s="1"/>
  <c r="R33" i="1"/>
  <c r="AM23" i="2"/>
  <c r="AK49" i="2" s="1"/>
  <c r="T36" i="1"/>
  <c r="AJ24" i="2"/>
  <c r="AH50" i="2" s="1"/>
  <c r="R26" i="1"/>
  <c r="T30" i="1"/>
  <c r="R39" i="1"/>
  <c r="AJ29" i="2"/>
  <c r="AH55" i="2" s="1"/>
  <c r="AG26" i="2"/>
  <c r="AE52" i="2" s="1"/>
  <c r="AO26" i="2"/>
  <c r="AM52" i="2" s="1"/>
  <c r="AI24" i="2"/>
  <c r="AG50" i="2" s="1"/>
  <c r="AR14" i="2"/>
  <c r="AP40" i="2" s="1"/>
  <c r="T27" i="1"/>
  <c r="AF27" i="2"/>
  <c r="AD53" i="2" s="1"/>
  <c r="AF12" i="2"/>
  <c r="AD38" i="2" s="1"/>
  <c r="AB14" i="2"/>
  <c r="Z40" i="2" s="1"/>
  <c r="AG13" i="2"/>
  <c r="AE39" i="2" s="1"/>
  <c r="AG10" i="2"/>
  <c r="AE36" i="2" s="1"/>
  <c r="R29" i="1"/>
  <c r="AJ11" i="2"/>
  <c r="AH37" i="2" s="1"/>
  <c r="AJ23" i="2"/>
  <c r="AH49" i="2" s="1"/>
  <c r="AG11" i="2"/>
  <c r="AE37" i="2" s="1"/>
  <c r="AM25" i="2"/>
  <c r="AK51" i="2" s="1"/>
  <c r="AN23" i="2"/>
  <c r="AL49" i="2" s="1"/>
  <c r="AC24" i="2"/>
  <c r="AA50" i="2" s="1"/>
  <c r="R24" i="1"/>
  <c r="AB29" i="2"/>
  <c r="Z55" i="2" s="1"/>
  <c r="AG25" i="2"/>
  <c r="AE51" i="2" s="1"/>
  <c r="AF23" i="2"/>
  <c r="AD49" i="2" s="1"/>
  <c r="S27" i="1"/>
  <c r="AF14" i="2"/>
  <c r="AD40" i="2" s="1"/>
  <c r="AG24" i="2"/>
  <c r="AE50" i="2" s="1"/>
  <c r="C49" i="1"/>
  <c r="AF11" i="2"/>
  <c r="AD37" i="2" s="1"/>
  <c r="AF29" i="2"/>
  <c r="AD55" i="2" s="1"/>
  <c r="AG18" i="2"/>
  <c r="AE44" i="2" s="1"/>
  <c r="AF16" i="2"/>
  <c r="AD42" i="2" s="1"/>
  <c r="AH22" i="2"/>
  <c r="AF48" i="2" s="1"/>
  <c r="AH16" i="2"/>
  <c r="AF42" i="2" s="1"/>
  <c r="AH28" i="2"/>
  <c r="AF54" i="2" s="1"/>
  <c r="AH27" i="2"/>
  <c r="AF53" i="2" s="1"/>
  <c r="AH13" i="2"/>
  <c r="AF39" i="2" s="1"/>
  <c r="AH26" i="2"/>
  <c r="AF52" i="2" s="1"/>
  <c r="AH17" i="2"/>
  <c r="AF43" i="2" s="1"/>
  <c r="AH15" i="2"/>
  <c r="AF41" i="2" s="1"/>
  <c r="AH12" i="2"/>
  <c r="AF38" i="2" s="1"/>
  <c r="AH18" i="2"/>
  <c r="AF44" i="2" s="1"/>
  <c r="AR10" i="2"/>
  <c r="AP36" i="2" s="1"/>
  <c r="AI23" i="2"/>
  <c r="AG49" i="2" s="1"/>
  <c r="S23" i="1"/>
  <c r="S31" i="1"/>
  <c r="Q42" i="1"/>
  <c r="T28" i="1"/>
  <c r="AL11" i="2"/>
  <c r="AJ37" i="2" s="1"/>
  <c r="Q35" i="1"/>
  <c r="R32" i="1"/>
  <c r="Y22" i="2"/>
  <c r="W48" i="2" s="1"/>
  <c r="Y28" i="2"/>
  <c r="W54" i="2" s="1"/>
  <c r="Y26" i="2"/>
  <c r="W52" i="2" s="1"/>
  <c r="Y16" i="2"/>
  <c r="W42" i="2" s="1"/>
  <c r="Y17" i="2"/>
  <c r="W43" i="2" s="1"/>
  <c r="Y27" i="2"/>
  <c r="W53" i="2" s="1"/>
  <c r="Y12" i="2"/>
  <c r="W38" i="2" s="1"/>
  <c r="Y18" i="2"/>
  <c r="W44" i="2" s="1"/>
  <c r="Y13" i="2"/>
  <c r="W39" i="2" s="1"/>
  <c r="Y15" i="2"/>
  <c r="W41" i="2" s="1"/>
  <c r="C48" i="1"/>
  <c r="Q38" i="1"/>
  <c r="Q36" i="1"/>
  <c r="AR20" i="2"/>
  <c r="AP46" i="2" s="1"/>
  <c r="Q29" i="1"/>
  <c r="Q34" i="1"/>
  <c r="Q37" i="1"/>
  <c r="AH20" i="2"/>
  <c r="AF46" i="2" s="1"/>
  <c r="AH14" i="2"/>
  <c r="AF40" i="2" s="1"/>
  <c r="Q33" i="1"/>
  <c r="P24" i="1"/>
  <c r="P32" i="1"/>
  <c r="P34" i="1"/>
  <c r="P40" i="1"/>
  <c r="P30" i="1"/>
  <c r="P35" i="1"/>
  <c r="P39" i="1"/>
  <c r="P29" i="1"/>
  <c r="P25" i="1"/>
  <c r="Q24" i="1"/>
  <c r="AH11" i="2"/>
  <c r="AF37" i="2" s="1"/>
  <c r="Y10" i="2"/>
  <c r="W36" i="2" s="1"/>
  <c r="P28" i="1"/>
  <c r="F48" i="1"/>
  <c r="Q40" i="1"/>
  <c r="Z10" i="2"/>
  <c r="X36" i="2" s="1"/>
  <c r="T40" i="1"/>
  <c r="P37" i="1"/>
  <c r="G48" i="1"/>
  <c r="AN27" i="2"/>
  <c r="AL53" i="2" s="1"/>
  <c r="AN18" i="2"/>
  <c r="AL44" i="2" s="1"/>
  <c r="AN16" i="2"/>
  <c r="AL42" i="2" s="1"/>
  <c r="AN12" i="2"/>
  <c r="AL38" i="2" s="1"/>
  <c r="AN13" i="2"/>
  <c r="AL39" i="2" s="1"/>
  <c r="AN15" i="2"/>
  <c r="AL41" i="2" s="1"/>
  <c r="AN22" i="2"/>
  <c r="AL48" i="2" s="1"/>
  <c r="AN17" i="2"/>
  <c r="AL43" i="2" s="1"/>
  <c r="AN28" i="2"/>
  <c r="AL54" i="2" s="1"/>
  <c r="AN26" i="2"/>
  <c r="AL52" i="2" s="1"/>
  <c r="Q27" i="1"/>
  <c r="AL16" i="2"/>
  <c r="AJ42" i="2" s="1"/>
  <c r="AL22" i="2"/>
  <c r="AJ48" i="2" s="1"/>
  <c r="AL27" i="2"/>
  <c r="AJ53" i="2" s="1"/>
  <c r="AL26" i="2"/>
  <c r="AJ52" i="2" s="1"/>
  <c r="AL18" i="2"/>
  <c r="AJ44" i="2" s="1"/>
  <c r="AL13" i="2"/>
  <c r="AJ39" i="2" s="1"/>
  <c r="AL28" i="2"/>
  <c r="AJ54" i="2" s="1"/>
  <c r="AL17" i="2"/>
  <c r="AJ43" i="2" s="1"/>
  <c r="AL12" i="2"/>
  <c r="AJ38" i="2" s="1"/>
  <c r="AL15" i="2"/>
  <c r="AJ41" i="2" s="1"/>
  <c r="AL24" i="2"/>
  <c r="AJ50" i="2" s="1"/>
  <c r="AL19" i="2"/>
  <c r="AJ45" i="2" s="1"/>
  <c r="S37" i="1"/>
  <c r="AH29" i="2"/>
  <c r="AF55" i="2" s="1"/>
  <c r="AL29" i="2"/>
  <c r="AJ55" i="2" s="1"/>
  <c r="AI14" i="2"/>
  <c r="AG40" i="2" s="1"/>
  <c r="Z21" i="2"/>
  <c r="X47" i="2" s="1"/>
  <c r="AR19" i="2"/>
  <c r="AP45" i="2" s="1"/>
  <c r="Q31" i="1"/>
  <c r="P36" i="1"/>
  <c r="AC21" i="2"/>
  <c r="AA47" i="2" s="1"/>
  <c r="AJ15" i="2"/>
  <c r="AH41" i="2" s="1"/>
  <c r="AJ12" i="2"/>
  <c r="AH38" i="2" s="1"/>
  <c r="AJ16" i="2"/>
  <c r="AH42" i="2" s="1"/>
  <c r="AJ26" i="2"/>
  <c r="AH52" i="2" s="1"/>
  <c r="AJ13" i="2"/>
  <c r="AH39" i="2" s="1"/>
  <c r="AJ18" i="2"/>
  <c r="AH44" i="2" s="1"/>
  <c r="AJ17" i="2"/>
  <c r="AH43" i="2" s="1"/>
  <c r="AJ28" i="2"/>
  <c r="AH54" i="2" s="1"/>
  <c r="AJ27" i="2"/>
  <c r="AH53" i="2" s="1"/>
  <c r="AJ22" i="2"/>
  <c r="AH48" i="2" s="1"/>
  <c r="AL25" i="2"/>
  <c r="AJ51" i="2" s="1"/>
  <c r="Y23" i="2"/>
  <c r="W49" i="2" s="1"/>
  <c r="AM22" i="2"/>
  <c r="AK48" i="2" s="1"/>
  <c r="AM27" i="2"/>
  <c r="AK53" i="2" s="1"/>
  <c r="AM16" i="2"/>
  <c r="AK42" i="2" s="1"/>
  <c r="AM18" i="2"/>
  <c r="AK44" i="2" s="1"/>
  <c r="AM15" i="2"/>
  <c r="AK41" i="2" s="1"/>
  <c r="AM28" i="2"/>
  <c r="AK54" i="2" s="1"/>
  <c r="AM26" i="2"/>
  <c r="AK52" i="2" s="1"/>
  <c r="AM12" i="2"/>
  <c r="AK38" i="2" s="1"/>
  <c r="AM17" i="2"/>
  <c r="AK43" i="2" s="1"/>
  <c r="AM13" i="2"/>
  <c r="AK39" i="2" s="1"/>
  <c r="AI11" i="2"/>
  <c r="AG37" i="2" s="1"/>
  <c r="AR29" i="2"/>
  <c r="AP55" i="2" s="1"/>
  <c r="Y25" i="2"/>
  <c r="W51" i="2" s="1"/>
  <c r="R28" i="1"/>
  <c r="R25" i="1"/>
  <c r="R34" i="1"/>
  <c r="R41" i="1"/>
  <c r="Q25" i="1"/>
  <c r="Q28" i="1"/>
  <c r="Q26" i="1"/>
  <c r="Q30" i="1"/>
  <c r="AR16" i="2"/>
  <c r="AP42" i="2" s="1"/>
  <c r="AR27" i="2"/>
  <c r="AP53" i="2" s="1"/>
  <c r="AR12" i="2"/>
  <c r="AP38" i="2" s="1"/>
  <c r="AR22" i="2"/>
  <c r="AP48" i="2" s="1"/>
  <c r="AR26" i="2"/>
  <c r="AP52" i="2" s="1"/>
  <c r="AR17" i="2"/>
  <c r="AP43" i="2" s="1"/>
  <c r="AR18" i="2"/>
  <c r="AP44" i="2" s="1"/>
  <c r="AR15" i="2"/>
  <c r="AP41" i="2" s="1"/>
  <c r="AR13" i="2"/>
  <c r="AP39" i="2" s="1"/>
  <c r="AR28" i="2"/>
  <c r="AP54" i="2" s="1"/>
  <c r="Y29" i="2"/>
  <c r="W55" i="2" s="1"/>
  <c r="Y20" i="2"/>
  <c r="W46" i="2" s="1"/>
  <c r="AN11" i="2"/>
  <c r="AL37" i="2" s="1"/>
  <c r="S36" i="1"/>
  <c r="Q39" i="1"/>
  <c r="AN14" i="2"/>
  <c r="AL40" i="2" s="1"/>
  <c r="Z14" i="2"/>
  <c r="X40" i="2" s="1"/>
  <c r="AN25" i="2"/>
  <c r="AL51" i="2" s="1"/>
  <c r="AN19" i="2"/>
  <c r="AL45" i="2" s="1"/>
  <c r="F49" i="1"/>
  <c r="Y11" i="2"/>
  <c r="W37" i="2" s="1"/>
  <c r="R42" i="1"/>
  <c r="Y21" i="2"/>
  <c r="W47" i="2" s="1"/>
  <c r="AN20" i="2"/>
  <c r="AL46" i="2" s="1"/>
  <c r="S32" i="1"/>
  <c r="S29" i="1"/>
  <c r="S24" i="1"/>
  <c r="S34" i="1"/>
  <c r="S35" i="1"/>
  <c r="S38" i="1"/>
  <c r="S26" i="1"/>
  <c r="S33" i="1"/>
  <c r="S28" i="1"/>
  <c r="S30" i="1"/>
  <c r="S39" i="1"/>
  <c r="S40" i="1"/>
  <c r="S25" i="1"/>
  <c r="AR11" i="2"/>
  <c r="AP37" i="2" s="1"/>
  <c r="Y14" i="2"/>
  <c r="W40" i="2" s="1"/>
  <c r="AI17" i="2"/>
  <c r="AG43" i="2" s="1"/>
  <c r="AI26" i="2"/>
  <c r="AG52" i="2" s="1"/>
  <c r="AI16" i="2"/>
  <c r="AG42" i="2" s="1"/>
  <c r="AI13" i="2"/>
  <c r="AG39" i="2" s="1"/>
  <c r="AI27" i="2"/>
  <c r="AG53" i="2" s="1"/>
  <c r="AI12" i="2"/>
  <c r="AG38" i="2" s="1"/>
  <c r="AI22" i="2"/>
  <c r="AG48" i="2" s="1"/>
  <c r="AI28" i="2"/>
  <c r="AG54" i="2" s="1"/>
  <c r="AI18" i="2"/>
  <c r="AG44" i="2" s="1"/>
  <c r="AI15" i="2"/>
  <c r="AG41" i="2" s="1"/>
  <c r="AR21" i="2"/>
  <c r="AP47" i="2" s="1"/>
  <c r="AI19" i="2"/>
  <c r="AG45" i="2" s="1"/>
  <c r="Z28" i="2"/>
  <c r="X54" i="2" s="1"/>
  <c r="Z17" i="2"/>
  <c r="X43" i="2" s="1"/>
  <c r="Z27" i="2"/>
  <c r="X53" i="2" s="1"/>
  <c r="Z13" i="2"/>
  <c r="X39" i="2" s="1"/>
  <c r="Z15" i="2"/>
  <c r="X41" i="2" s="1"/>
  <c r="Z18" i="2"/>
  <c r="X44" i="2" s="1"/>
  <c r="Z12" i="2"/>
  <c r="X38" i="2" s="1"/>
  <c r="Z26" i="2"/>
  <c r="X52" i="2" s="1"/>
  <c r="Z16" i="2"/>
  <c r="X42" i="2" s="1"/>
  <c r="Z22" i="2"/>
  <c r="X48" i="2" s="1"/>
  <c r="T34" i="1"/>
  <c r="T31" i="1"/>
  <c r="T39" i="1"/>
  <c r="T41" i="1"/>
  <c r="T25" i="1"/>
  <c r="T29" i="1"/>
  <c r="T24" i="1"/>
  <c r="T37" i="1"/>
  <c r="T32" i="1"/>
  <c r="T26" i="1"/>
  <c r="S41" i="1"/>
  <c r="Z20" i="2"/>
  <c r="X46" i="2" s="1"/>
  <c r="Y24" i="2"/>
  <c r="W50" i="2" s="1"/>
  <c r="AC16" i="2"/>
  <c r="AA42" i="2" s="1"/>
  <c r="AC15" i="2"/>
  <c r="AA41" i="2" s="1"/>
  <c r="AC18" i="2"/>
  <c r="AA44" i="2" s="1"/>
  <c r="AC26" i="2"/>
  <c r="AA52" i="2" s="1"/>
  <c r="AC17" i="2"/>
  <c r="AA43" i="2" s="1"/>
  <c r="AC27" i="2"/>
  <c r="AA53" i="2" s="1"/>
  <c r="AC12" i="2"/>
  <c r="AA38" i="2" s="1"/>
  <c r="AC22" i="2"/>
  <c r="AA48" i="2" s="1"/>
  <c r="AC13" i="2"/>
  <c r="AA39" i="2" s="1"/>
  <c r="AC28" i="2"/>
  <c r="AA54" i="2" s="1"/>
  <c r="AC20" i="2"/>
  <c r="AA46" i="2" s="1"/>
  <c r="AH21" i="2"/>
  <c r="AF47" i="2" s="1"/>
  <c r="AH25" i="2"/>
  <c r="AF51" i="2" s="1"/>
  <c r="T33" i="1"/>
  <c r="P26" i="1"/>
  <c r="E49" i="1"/>
  <c r="Q32" i="1"/>
  <c r="AI21" i="2"/>
  <c r="AG47" i="2" s="1"/>
  <c r="AI25" i="2"/>
  <c r="AG51" i="2" s="1"/>
  <c r="R30" i="1"/>
  <c r="AH23" i="2"/>
  <c r="AF49" i="2" s="1"/>
  <c r="T38" i="1"/>
  <c r="Y19" i="2"/>
  <c r="W45" i="2" s="1"/>
  <c r="G49" i="1"/>
  <c r="AC29" i="2"/>
  <c r="AA55" i="2" s="1"/>
  <c r="AN10" i="2"/>
  <c r="AL36" i="2" s="1"/>
  <c r="U27" i="1" l="1"/>
  <c r="E50" i="1"/>
  <c r="U37" i="1"/>
  <c r="U34" i="1"/>
  <c r="U38" i="1"/>
  <c r="U36" i="1"/>
  <c r="U29" i="1"/>
  <c r="U40" i="1"/>
  <c r="U28" i="1"/>
  <c r="U30" i="1"/>
  <c r="U41" i="1"/>
  <c r="U33" i="1"/>
  <c r="U42" i="1"/>
  <c r="U31" i="1"/>
  <c r="U39" i="1"/>
  <c r="U35" i="1"/>
  <c r="U32" i="1"/>
  <c r="U26" i="1"/>
  <c r="G50" i="1"/>
  <c r="D50" i="1"/>
  <c r="F50" i="1"/>
  <c r="V23" i="1" l="1" a="1"/>
  <c r="Y38" i="1" s="1"/>
  <c r="AE38" i="1" s="1"/>
  <c r="W25" i="1" l="1"/>
  <c r="AC25" i="1" s="1"/>
  <c r="AA37" i="1"/>
  <c r="AG37" i="1" s="1"/>
  <c r="AA28" i="1"/>
  <c r="AG28" i="1" s="1"/>
  <c r="W26" i="1"/>
  <c r="AC26" i="1" s="1"/>
  <c r="V35" i="1"/>
  <c r="AB35" i="1" s="1"/>
  <c r="AA27" i="1"/>
  <c r="AG27" i="1" s="1"/>
  <c r="AA39" i="1"/>
  <c r="AG39" i="1" s="1"/>
  <c r="V25" i="1"/>
  <c r="AB25" i="1" s="1"/>
  <c r="AA41" i="1"/>
  <c r="AG41" i="1" s="1"/>
  <c r="AA29" i="1"/>
  <c r="AG29" i="1" s="1"/>
  <c r="Z42" i="1"/>
  <c r="AF42" i="1" s="1"/>
  <c r="Y41" i="1"/>
  <c r="AE41" i="1" s="1"/>
  <c r="X31" i="1"/>
  <c r="AD31" i="1" s="1"/>
  <c r="V38" i="1"/>
  <c r="AB38" i="1" s="1"/>
  <c r="AA23" i="1"/>
  <c r="X26" i="1"/>
  <c r="AD26" i="1" s="1"/>
  <c r="V32" i="1"/>
  <c r="AB32" i="1" s="1"/>
  <c r="Y37" i="1"/>
  <c r="AE37" i="1" s="1"/>
  <c r="V23" i="1"/>
  <c r="AB23" i="1" s="1"/>
  <c r="V41" i="1"/>
  <c r="AB41" i="1" s="1"/>
  <c r="X33" i="1"/>
  <c r="AD33" i="1" s="1"/>
  <c r="AA25" i="1"/>
  <c r="AG25" i="1" s="1"/>
  <c r="V31" i="1"/>
  <c r="AB31" i="1" s="1"/>
  <c r="Z34" i="1"/>
  <c r="AF34" i="1" s="1"/>
  <c r="V29" i="1"/>
  <c r="AB29" i="1" s="1"/>
  <c r="X37" i="1"/>
  <c r="AD37" i="1" s="1"/>
  <c r="Z39" i="1"/>
  <c r="AF39" i="1" s="1"/>
  <c r="W39" i="1"/>
  <c r="AC39" i="1" s="1"/>
  <c r="V36" i="1"/>
  <c r="AB36" i="1" s="1"/>
  <c r="Z29" i="1"/>
  <c r="AF29" i="1" s="1"/>
  <c r="W29" i="1"/>
  <c r="AC29" i="1" s="1"/>
  <c r="AA30" i="1"/>
  <c r="AG30" i="1" s="1"/>
  <c r="V34" i="1"/>
  <c r="AB34" i="1" s="1"/>
  <c r="Z23" i="1"/>
  <c r="AF23" i="1" s="1"/>
  <c r="Y26" i="1"/>
  <c r="AE26" i="1" s="1"/>
  <c r="X39" i="1"/>
  <c r="AD39" i="1" s="1"/>
  <c r="W35" i="1"/>
  <c r="AC35" i="1" s="1"/>
  <c r="V30" i="1"/>
  <c r="AB30" i="1" s="1"/>
  <c r="Z33" i="1"/>
  <c r="AF33" i="1" s="1"/>
  <c r="X30" i="1"/>
  <c r="AD30" i="1" s="1"/>
  <c r="Z30" i="1"/>
  <c r="AF30" i="1" s="1"/>
  <c r="V28" i="1"/>
  <c r="AB28" i="1" s="1"/>
  <c r="Y25" i="1"/>
  <c r="AE25" i="1" s="1"/>
  <c r="X36" i="1"/>
  <c r="AD36" i="1" s="1"/>
  <c r="AA34" i="1"/>
  <c r="AG34" i="1" s="1"/>
  <c r="X27" i="1"/>
  <c r="AD27" i="1" s="1"/>
  <c r="V27" i="1"/>
  <c r="AB27" i="1" s="1"/>
  <c r="V40" i="1"/>
  <c r="AB40" i="1" s="1"/>
  <c r="X40" i="1"/>
  <c r="AD40" i="1" s="1"/>
  <c r="Z31" i="1"/>
  <c r="AF31" i="1" s="1"/>
  <c r="Z38" i="1"/>
  <c r="AF38" i="1" s="1"/>
  <c r="AA35" i="1"/>
  <c r="AG35" i="1" s="1"/>
  <c r="W42" i="1"/>
  <c r="AC42" i="1" s="1"/>
  <c r="Z25" i="1"/>
  <c r="AF25" i="1" s="1"/>
  <c r="Z27" i="1"/>
  <c r="AF27" i="1" s="1"/>
  <c r="Y24" i="1"/>
  <c r="AE24" i="1" s="1"/>
  <c r="AA32" i="1"/>
  <c r="AG32" i="1" s="1"/>
  <c r="Y29" i="1"/>
  <c r="AE29" i="1" s="1"/>
  <c r="AA26" i="1"/>
  <c r="AG26" i="1" s="1"/>
  <c r="AA40" i="1"/>
  <c r="AG40" i="1" s="1"/>
  <c r="Z41" i="1"/>
  <c r="AF41" i="1" s="1"/>
  <c r="Y36" i="1"/>
  <c r="AE36" i="1" s="1"/>
  <c r="Y31" i="1"/>
  <c r="AE31" i="1" s="1"/>
  <c r="Y23" i="1"/>
  <c r="AE23" i="1" s="1"/>
  <c r="V24" i="1"/>
  <c r="AB24" i="1" s="1"/>
  <c r="W40" i="1"/>
  <c r="AC40" i="1" s="1"/>
  <c r="Y34" i="1"/>
  <c r="AE34" i="1" s="1"/>
  <c r="X25" i="1"/>
  <c r="AD25" i="1" s="1"/>
  <c r="X32" i="1"/>
  <c r="AD32" i="1" s="1"/>
  <c r="AA33" i="1"/>
  <c r="AG33" i="1" s="1"/>
  <c r="Y40" i="1"/>
  <c r="AE40" i="1" s="1"/>
  <c r="AA31" i="1"/>
  <c r="AG31" i="1" s="1"/>
  <c r="Z26" i="1"/>
  <c r="AF26" i="1" s="1"/>
  <c r="Y33" i="1"/>
  <c r="AE33" i="1" s="1"/>
  <c r="Z32" i="1"/>
  <c r="AF32" i="1" s="1"/>
  <c r="W34" i="1"/>
  <c r="AC34" i="1" s="1"/>
  <c r="W24" i="1"/>
  <c r="AC24" i="1" s="1"/>
  <c r="Z24" i="1"/>
  <c r="AF24" i="1" s="1"/>
  <c r="AA42" i="1"/>
  <c r="AG42" i="1" s="1"/>
  <c r="Y39" i="1"/>
  <c r="AE39" i="1" s="1"/>
  <c r="W28" i="1"/>
  <c r="AC28" i="1" s="1"/>
  <c r="Z35" i="1"/>
  <c r="AF35" i="1" s="1"/>
  <c r="W37" i="1"/>
  <c r="AC37" i="1" s="1"/>
  <c r="Z36" i="1"/>
  <c r="AF36" i="1" s="1"/>
  <c r="X34" i="1"/>
  <c r="AD34" i="1" s="1"/>
  <c r="X28" i="1"/>
  <c r="AD28" i="1" s="1"/>
  <c r="V26" i="1"/>
  <c r="AB26" i="1" s="1"/>
  <c r="W27" i="1"/>
  <c r="AC27" i="1" s="1"/>
  <c r="Y35" i="1"/>
  <c r="AE35" i="1" s="1"/>
  <c r="V37" i="1"/>
  <c r="AB37" i="1" s="1"/>
  <c r="AA38" i="1"/>
  <c r="AG38" i="1" s="1"/>
  <c r="Z40" i="1"/>
  <c r="AF40" i="1" s="1"/>
  <c r="Y42" i="1"/>
  <c r="AE42" i="1" s="1"/>
  <c r="W38" i="1"/>
  <c r="AC38" i="1" s="1"/>
  <c r="V42" i="1"/>
  <c r="AB42" i="1" s="1"/>
  <c r="X35" i="1"/>
  <c r="AD35" i="1" s="1"/>
  <c r="X38" i="1"/>
  <c r="AD38" i="1" s="1"/>
  <c r="W33" i="1"/>
  <c r="AC33" i="1" s="1"/>
  <c r="AA24" i="1"/>
  <c r="AG24" i="1" s="1"/>
  <c r="W23" i="1"/>
  <c r="Y30" i="1"/>
  <c r="AE30" i="1" s="1"/>
  <c r="Z28" i="1"/>
  <c r="AF28" i="1" s="1"/>
  <c r="W31" i="1"/>
  <c r="AC31" i="1" s="1"/>
  <c r="X42" i="1"/>
  <c r="AD42" i="1" s="1"/>
  <c r="W30" i="1"/>
  <c r="AC30" i="1" s="1"/>
  <c r="V33" i="1"/>
  <c r="AB33" i="1" s="1"/>
  <c r="X24" i="1"/>
  <c r="AD24" i="1" s="1"/>
  <c r="Y28" i="1"/>
  <c r="AE28" i="1" s="1"/>
  <c r="X23" i="1"/>
  <c r="AD23" i="1" s="1"/>
  <c r="Y32" i="1"/>
  <c r="AE32" i="1" s="1"/>
  <c r="X41" i="1"/>
  <c r="AD41" i="1" s="1"/>
  <c r="Z37" i="1"/>
  <c r="AF37" i="1" s="1"/>
  <c r="X29" i="1"/>
  <c r="AD29" i="1" s="1"/>
  <c r="W41" i="1"/>
  <c r="AC41" i="1" s="1"/>
  <c r="AA36" i="1"/>
  <c r="AG36" i="1" s="1"/>
  <c r="Y27" i="1"/>
  <c r="AE27" i="1" s="1"/>
  <c r="V39" i="1"/>
  <c r="AB39" i="1" s="1"/>
  <c r="W32" i="1"/>
  <c r="AC32" i="1" s="1"/>
  <c r="W36" i="1"/>
  <c r="AC36" i="1" s="1"/>
  <c r="AC23" i="1" l="1"/>
  <c r="AH23" i="1" s="1" a="1"/>
  <c r="AL40" i="1" s="1"/>
  <c r="AR40" i="1" s="1"/>
  <c r="AJ24" i="1" l="1"/>
  <c r="AP24" i="1" s="1"/>
  <c r="AH39" i="1"/>
  <c r="AN39" i="1" s="1"/>
  <c r="AH23" i="1"/>
  <c r="AJ41" i="1"/>
  <c r="AP41" i="1" s="1"/>
  <c r="AM29" i="1"/>
  <c r="AS29" i="1" s="1"/>
  <c r="AJ29" i="1"/>
  <c r="AP29" i="1" s="1"/>
  <c r="AK24" i="1"/>
  <c r="AQ24" i="1" s="1"/>
  <c r="AM36" i="1"/>
  <c r="AS36" i="1" s="1"/>
  <c r="AK36" i="1"/>
  <c r="AQ36" i="1" s="1"/>
  <c r="AJ42" i="1"/>
  <c r="AP42" i="1" s="1"/>
  <c r="AH40" i="1"/>
  <c r="AN40" i="1" s="1"/>
  <c r="AK25" i="1"/>
  <c r="AQ25" i="1" s="1"/>
  <c r="AI25" i="1"/>
  <c r="AO25" i="1" s="1"/>
  <c r="AK34" i="1"/>
  <c r="AQ34" i="1" s="1"/>
  <c r="AK33" i="1"/>
  <c r="AQ33" i="1" s="1"/>
  <c r="AJ30" i="1"/>
  <c r="AP30" i="1" s="1"/>
  <c r="AM33" i="1"/>
  <c r="AS33" i="1" s="1"/>
  <c r="AJ31" i="1"/>
  <c r="AP31" i="1" s="1"/>
  <c r="AK39" i="1"/>
  <c r="AQ39" i="1" s="1"/>
  <c r="AI28" i="1"/>
  <c r="AO28" i="1" s="1"/>
  <c r="AK29" i="1"/>
  <c r="AQ29" i="1" s="1"/>
  <c r="AM37" i="1"/>
  <c r="AS37" i="1" s="1"/>
  <c r="AH26" i="1"/>
  <c r="AN26" i="1" s="1"/>
  <c r="AJ36" i="1"/>
  <c r="AP36" i="1" s="1"/>
  <c r="AI39" i="1"/>
  <c r="AO39" i="1" s="1"/>
  <c r="AH28" i="1"/>
  <c r="AN28" i="1" s="1"/>
  <c r="AL35" i="1"/>
  <c r="AR35" i="1" s="1"/>
  <c r="AK38" i="1"/>
  <c r="AQ38" i="1" s="1"/>
  <c r="AK27" i="1"/>
  <c r="AQ27" i="1" s="1"/>
  <c r="AJ39" i="1"/>
  <c r="AP39" i="1" s="1"/>
  <c r="AH31" i="1"/>
  <c r="AN31" i="1" s="1"/>
  <c r="AM27" i="1"/>
  <c r="AS27" i="1" s="1"/>
  <c r="AH29" i="1"/>
  <c r="AN29" i="1" s="1"/>
  <c r="AI23" i="1"/>
  <c r="AO23" i="1" s="1"/>
  <c r="AH38" i="1"/>
  <c r="AN38" i="1" s="1"/>
  <c r="AM24" i="1"/>
  <c r="AS24" i="1" s="1"/>
  <c r="AK41" i="1"/>
  <c r="AQ41" i="1" s="1"/>
  <c r="AJ28" i="1"/>
  <c r="AP28" i="1" s="1"/>
  <c r="AK37" i="1"/>
  <c r="AQ37" i="1" s="1"/>
  <c r="AM34" i="1"/>
  <c r="AS34" i="1" s="1"/>
  <c r="AL25" i="1"/>
  <c r="AR25" i="1" s="1"/>
  <c r="AL27" i="1"/>
  <c r="AR27" i="1" s="1"/>
  <c r="AK31" i="1"/>
  <c r="AQ31" i="1" s="1"/>
  <c r="AM40" i="1"/>
  <c r="AS40" i="1" s="1"/>
  <c r="AI29" i="1"/>
  <c r="AO29" i="1" s="1"/>
  <c r="AK23" i="1"/>
  <c r="AQ23" i="1" s="1"/>
  <c r="AK40" i="1"/>
  <c r="AQ40" i="1" s="1"/>
  <c r="AH25" i="1"/>
  <c r="AN25" i="1" s="1"/>
  <c r="AL32" i="1"/>
  <c r="AR32" i="1" s="1"/>
  <c r="AH27" i="1"/>
  <c r="AN27" i="1" s="1"/>
  <c r="AJ38" i="1"/>
  <c r="AP38" i="1" s="1"/>
  <c r="AI38" i="1"/>
  <c r="AO38" i="1" s="1"/>
  <c r="AJ25" i="1"/>
  <c r="AP25" i="1" s="1"/>
  <c r="AL39" i="1"/>
  <c r="AR39" i="1" s="1"/>
  <c r="AI34" i="1"/>
  <c r="AO34" i="1" s="1"/>
  <c r="AL42" i="1"/>
  <c r="AR42" i="1" s="1"/>
  <c r="AL28" i="1"/>
  <c r="AR28" i="1" s="1"/>
  <c r="AL37" i="1"/>
  <c r="AR37" i="1" s="1"/>
  <c r="AJ35" i="1"/>
  <c r="AP35" i="1" s="1"/>
  <c r="AM30" i="1"/>
  <c r="AS30" i="1" s="1"/>
  <c r="AM32" i="1"/>
  <c r="AS32" i="1" s="1"/>
  <c r="AJ33" i="1"/>
  <c r="AP33" i="1" s="1"/>
  <c r="AL26" i="1"/>
  <c r="AR26" i="1" s="1"/>
  <c r="AM23" i="1"/>
  <c r="AS23" i="1" s="1"/>
  <c r="AH33" i="1"/>
  <c r="AN33" i="1" s="1"/>
  <c r="AJ40" i="1"/>
  <c r="AP40" i="1" s="1"/>
  <c r="AL24" i="1"/>
  <c r="AR24" i="1" s="1"/>
  <c r="AJ23" i="1"/>
  <c r="AP23" i="1" s="1"/>
  <c r="AH37" i="1"/>
  <c r="AN37" i="1" s="1"/>
  <c r="AM26" i="1"/>
  <c r="AS26" i="1" s="1"/>
  <c r="AI30" i="1"/>
  <c r="AO30" i="1" s="1"/>
  <c r="AK32" i="1"/>
  <c r="AQ32" i="1" s="1"/>
  <c r="AM42" i="1"/>
  <c r="AS42" i="1" s="1"/>
  <c r="AM39" i="1"/>
  <c r="AS39" i="1" s="1"/>
  <c r="AH36" i="1"/>
  <c r="AN36" i="1" s="1"/>
  <c r="AI37" i="1"/>
  <c r="AO37" i="1" s="1"/>
  <c r="AI24" i="1"/>
  <c r="AO24" i="1" s="1"/>
  <c r="AH35" i="1"/>
  <c r="AN35" i="1" s="1"/>
  <c r="AH41" i="1"/>
  <c r="AN41" i="1" s="1"/>
  <c r="AM35" i="1"/>
  <c r="AS35" i="1" s="1"/>
  <c r="AI31" i="1"/>
  <c r="AO31" i="1" s="1"/>
  <c r="AK28" i="1"/>
  <c r="AQ28" i="1" s="1"/>
  <c r="AL34" i="1"/>
  <c r="AR34" i="1" s="1"/>
  <c r="AI35" i="1"/>
  <c r="AO35" i="1" s="1"/>
  <c r="AI36" i="1"/>
  <c r="AO36" i="1" s="1"/>
  <c r="AK30" i="1"/>
  <c r="AQ30" i="1" s="1"/>
  <c r="AK42" i="1"/>
  <c r="AQ42" i="1" s="1"/>
  <c r="AM41" i="1"/>
  <c r="AS41" i="1" s="1"/>
  <c r="AL41" i="1"/>
  <c r="AR41" i="1" s="1"/>
  <c r="AH32" i="1"/>
  <c r="AN32" i="1" s="1"/>
  <c r="AI26" i="1"/>
  <c r="AO26" i="1" s="1"/>
  <c r="AH24" i="1"/>
  <c r="AN24" i="1" s="1"/>
  <c r="AL31" i="1"/>
  <c r="AR31" i="1" s="1"/>
  <c r="AL38" i="1"/>
  <c r="AR38" i="1" s="1"/>
  <c r="AL29" i="1"/>
  <c r="AR29" i="1" s="1"/>
  <c r="AI41" i="1"/>
  <c r="AO41" i="1" s="1"/>
  <c r="AJ27" i="1"/>
  <c r="AP27" i="1" s="1"/>
  <c r="AM31" i="1"/>
  <c r="AS31" i="1" s="1"/>
  <c r="AM25" i="1"/>
  <c r="AS25" i="1" s="1"/>
  <c r="AH42" i="1"/>
  <c r="AN42" i="1" s="1"/>
  <c r="AI33" i="1"/>
  <c r="AO33" i="1" s="1"/>
  <c r="AL23" i="1"/>
  <c r="AR23" i="1" s="1"/>
  <c r="AL30" i="1"/>
  <c r="AR30" i="1" s="1"/>
  <c r="AJ32" i="1"/>
  <c r="AP32" i="1" s="1"/>
  <c r="AI32" i="1"/>
  <c r="AO32" i="1" s="1"/>
  <c r="AI42" i="1"/>
  <c r="AO42" i="1" s="1"/>
  <c r="AL36" i="1"/>
  <c r="AR36" i="1" s="1"/>
  <c r="AI27" i="1"/>
  <c r="AO27" i="1" s="1"/>
  <c r="AH34" i="1"/>
  <c r="AN34" i="1" s="1"/>
  <c r="AH30" i="1"/>
  <c r="AN30" i="1" s="1"/>
  <c r="AM38" i="1"/>
  <c r="AS38" i="1" s="1"/>
  <c r="AM28" i="1"/>
  <c r="AS28" i="1" s="1"/>
  <c r="AI40" i="1"/>
  <c r="AO40" i="1" s="1"/>
  <c r="AJ37" i="1"/>
  <c r="AP37" i="1" s="1"/>
  <c r="AL33" i="1"/>
  <c r="AR33" i="1" s="1"/>
  <c r="AK26" i="1"/>
  <c r="AQ26" i="1" s="1"/>
  <c r="AK35" i="1"/>
  <c r="AQ35" i="1" s="1"/>
  <c r="AJ26" i="1"/>
  <c r="AP26" i="1" s="1"/>
  <c r="AJ34" i="1"/>
  <c r="AP34" i="1" s="1"/>
  <c r="G52" i="1" a="1"/>
  <c r="F52" i="1" a="1"/>
  <c r="E52" i="1" a="1"/>
  <c r="E51" i="1" a="1"/>
  <c r="F51" i="1" a="1"/>
  <c r="G51" i="1" a="1"/>
  <c r="D51" i="1" l="1" a="1"/>
  <c r="D51" i="1" s="1"/>
  <c r="F52" i="1"/>
  <c r="G52" i="1"/>
  <c r="G51" i="1"/>
  <c r="E51" i="1"/>
  <c r="E52" i="1"/>
  <c r="F51" i="1"/>
  <c r="F22" i="1" l="1"/>
  <c r="E22" i="1"/>
  <c r="D22" i="1"/>
  <c r="G22" i="1"/>
  <c r="C9" i="1" a="1"/>
  <c r="C9" i="1" l="1"/>
  <c r="C17" i="1" l="1"/>
  <c r="E17" i="1"/>
  <c r="G17" i="1"/>
  <c r="F17" i="1"/>
  <c r="D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 Lira</author>
  </authors>
  <commentList>
    <comment ref="G21" authorId="0" shapeId="0" xr:uid="{E7265922-80AF-41CA-A2FE-33A8E51552B1}">
      <text>
        <r>
          <rPr>
            <sz val="8"/>
            <color indexed="81"/>
            <rFont val="Tahoma"/>
            <family val="2"/>
          </rPr>
          <t>Liquid phase mole fractions. Enter a very small number like 1E-20 or smaller for absent compounds - don't use zero.</t>
        </r>
      </text>
    </comment>
    <comment ref="G45" authorId="0" shapeId="0" xr:uid="{D5D48167-BDA3-4EAF-8726-F84E2133376A}">
      <text>
        <r>
          <rPr>
            <sz val="8"/>
            <color indexed="81"/>
            <rFont val="Tahoma"/>
            <family val="2"/>
          </rPr>
          <t>Note that columns H:AS are hidden. They contain intermediate calculations. Unprotect the sheet and unhide them to see the calculations.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<sst xmlns="http://schemas.openxmlformats.org/spreadsheetml/2006/main" count="110" uniqueCount="92">
  <si>
    <t>P=</t>
  </si>
  <si>
    <t>mmHg</t>
  </si>
  <si>
    <r>
      <t>T(</t>
    </r>
    <r>
      <rPr>
        <vertAlign val="superscript"/>
        <sz val="10"/>
        <rFont val="Arial"/>
        <family val="2"/>
      </rPr>
      <t>o</t>
    </r>
    <r>
      <rPr>
        <sz val="10"/>
        <rFont val="Arial"/>
        <family val="2"/>
      </rPr>
      <t>C)=</t>
    </r>
  </si>
  <si>
    <r>
      <t>o</t>
    </r>
    <r>
      <rPr>
        <sz val="10"/>
        <rFont val="Arial"/>
        <family val="2"/>
      </rPr>
      <t>C</t>
    </r>
  </si>
  <si>
    <r>
      <t>Table 1. Antoine Coefficients (mmHg) log10(P</t>
    </r>
    <r>
      <rPr>
        <b/>
        <vertAlign val="superscript"/>
        <sz val="10"/>
        <rFont val="Arial"/>
        <family val="2"/>
      </rPr>
      <t>sat</t>
    </r>
    <r>
      <rPr>
        <b/>
        <sz val="10"/>
        <rFont val="Arial"/>
        <family val="2"/>
      </rPr>
      <t xml:space="preserve">)=A-B/(T+C) where T[=] </t>
    </r>
    <r>
      <rPr>
        <b/>
        <vertAlign val="superscript"/>
        <sz val="10"/>
        <rFont val="Arial"/>
        <family val="2"/>
      </rPr>
      <t>o</t>
    </r>
    <r>
      <rPr>
        <b/>
        <sz val="10"/>
        <rFont val="Arial"/>
        <family val="2"/>
      </rPr>
      <t>C</t>
    </r>
  </si>
  <si>
    <t>comp1</t>
  </si>
  <si>
    <t>comp2</t>
  </si>
  <si>
    <t>comp3</t>
  </si>
  <si>
    <t>comp4</t>
  </si>
  <si>
    <t>comp5</t>
  </si>
  <si>
    <t xml:space="preserve">A </t>
  </si>
  <si>
    <t>B</t>
  </si>
  <si>
    <t>C</t>
  </si>
  <si>
    <r>
      <t>P</t>
    </r>
    <r>
      <rPr>
        <vertAlign val="superscript"/>
        <sz val="8"/>
        <rFont val="Arial"/>
        <family val="2"/>
      </rPr>
      <t>sat</t>
    </r>
    <r>
      <rPr>
        <sz val="8"/>
        <rFont val="Arial"/>
        <family val="2"/>
      </rPr>
      <t>[mmHg]</t>
    </r>
  </si>
  <si>
    <r>
      <t>y</t>
    </r>
    <r>
      <rPr>
        <vertAlign val="subscript"/>
        <sz val="8"/>
        <rFont val="Arial"/>
        <family val="2"/>
      </rPr>
      <t>i</t>
    </r>
  </si>
  <si>
    <t>Table 2. Component Structure Information and Activity Coefficient Calculation.</t>
  </si>
  <si>
    <t>IPA</t>
  </si>
  <si>
    <t>Water</t>
  </si>
  <si>
    <t>C2-COOH</t>
  </si>
  <si>
    <t>EtOH</t>
  </si>
  <si>
    <t>C5H12</t>
  </si>
  <si>
    <r>
      <t>x</t>
    </r>
    <r>
      <rPr>
        <vertAlign val="subscript"/>
        <sz val="8"/>
        <rFont val="Arial"/>
        <family val="2"/>
      </rPr>
      <t>i</t>
    </r>
  </si>
  <si>
    <r>
      <t>X</t>
    </r>
    <r>
      <rPr>
        <vertAlign val="subscript"/>
        <sz val="8"/>
        <rFont val="Arial"/>
        <family val="2"/>
      </rPr>
      <t>i</t>
    </r>
  </si>
  <si>
    <t>Q</t>
  </si>
  <si>
    <r>
      <t>S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(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i</t>
    </r>
    <r>
      <rPr>
        <sz val="10"/>
        <rFont val="Symbol"/>
        <family val="1"/>
        <charset val="2"/>
      </rPr>
      <t>Y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>)</t>
    </r>
  </si>
  <si>
    <r>
      <t>Q</t>
    </r>
    <r>
      <rPr>
        <sz val="10"/>
        <rFont val="Arial"/>
        <family val="2"/>
      </rPr>
      <t>j</t>
    </r>
    <r>
      <rPr>
        <sz val="10"/>
        <rFont val="Symbol"/>
        <family val="1"/>
        <charset val="2"/>
      </rPr>
      <t>/S</t>
    </r>
    <r>
      <rPr>
        <vertAlign val="subscript"/>
        <sz val="10"/>
        <rFont val="Arial"/>
        <family val="2"/>
      </rPr>
      <t>i</t>
    </r>
    <r>
      <rPr>
        <sz val="10"/>
        <rFont val="Arial"/>
        <family val="2"/>
      </rPr>
      <t>(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i</t>
    </r>
    <r>
      <rPr>
        <sz val="10"/>
        <rFont val="Symbol"/>
        <family val="1"/>
        <charset val="2"/>
      </rPr>
      <t>Y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>)</t>
    </r>
  </si>
  <si>
    <r>
      <t>S</t>
    </r>
    <r>
      <rPr>
        <vertAlign val="subscript"/>
        <sz val="10"/>
        <rFont val="Arial"/>
        <family val="2"/>
      </rPr>
      <t>j</t>
    </r>
    <r>
      <rPr>
        <sz val="10"/>
        <rFont val="Arial"/>
        <family val="2"/>
      </rPr>
      <t>{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j</t>
    </r>
    <r>
      <rPr>
        <sz val="10"/>
        <rFont val="Symbol"/>
        <family val="1"/>
        <charset val="2"/>
      </rPr>
      <t>Y</t>
    </r>
    <r>
      <rPr>
        <vertAlign val="subscript"/>
        <sz val="10"/>
        <rFont val="Arial"/>
        <family val="2"/>
      </rPr>
      <t>kj</t>
    </r>
    <r>
      <rPr>
        <sz val="10"/>
        <rFont val="Arial"/>
        <family val="2"/>
      </rPr>
      <t>/(</t>
    </r>
    <r>
      <rPr>
        <sz val="10"/>
        <rFont val="Symbol"/>
        <family val="1"/>
        <charset val="2"/>
      </rPr>
      <t>S</t>
    </r>
    <r>
      <rPr>
        <vertAlign val="subscript"/>
        <sz val="10"/>
        <rFont val="Arial"/>
        <family val="2"/>
      </rPr>
      <t>i</t>
    </r>
    <r>
      <rPr>
        <sz val="10"/>
        <rFont val="Symbol"/>
        <family val="1"/>
        <charset val="2"/>
      </rPr>
      <t>Q</t>
    </r>
    <r>
      <rPr>
        <vertAlign val="subscript"/>
        <sz val="10"/>
        <rFont val="Arial"/>
        <family val="2"/>
      </rPr>
      <t>i</t>
    </r>
    <r>
      <rPr>
        <sz val="10"/>
        <rFont val="Symbol"/>
        <family val="1"/>
        <charset val="2"/>
      </rPr>
      <t>Y</t>
    </r>
    <r>
      <rPr>
        <vertAlign val="subscript"/>
        <sz val="10"/>
        <rFont val="Arial"/>
        <family val="2"/>
      </rPr>
      <t>ij</t>
    </r>
    <r>
      <rPr>
        <sz val="10"/>
        <rFont val="Arial"/>
        <family val="2"/>
      </rPr>
      <t>)}</t>
    </r>
  </si>
  <si>
    <r>
      <t xml:space="preserve">ln </t>
    </r>
    <r>
      <rPr>
        <sz val="8"/>
        <rFont val="Symbol"/>
        <family val="1"/>
        <charset val="2"/>
      </rPr>
      <t>G</t>
    </r>
  </si>
  <si>
    <t>SubGroup</t>
  </si>
  <si>
    <r>
      <t>g</t>
    </r>
    <r>
      <rPr>
        <vertAlign val="subscript"/>
        <sz val="8"/>
        <rFont val="Arial"/>
        <family val="2"/>
      </rPr>
      <t>i</t>
    </r>
  </si>
  <si>
    <r>
      <t>S</t>
    </r>
    <r>
      <rPr>
        <vertAlign val="subscript"/>
        <sz val="8"/>
        <rFont val="Arial"/>
        <family val="2"/>
      </rPr>
      <t>i</t>
    </r>
    <r>
      <rPr>
        <sz val="8"/>
        <rFont val="Symbol"/>
        <family val="1"/>
        <charset val="2"/>
      </rPr>
      <t>n</t>
    </r>
    <r>
      <rPr>
        <vertAlign val="subscript"/>
        <sz val="8"/>
        <rFont val="Arial"/>
        <family val="2"/>
      </rPr>
      <t>j</t>
    </r>
    <r>
      <rPr>
        <vertAlign val="superscript"/>
        <sz val="8"/>
        <rFont val="Arial"/>
        <family val="2"/>
      </rPr>
      <t>(i)</t>
    </r>
    <r>
      <rPr>
        <sz val="8"/>
        <rFont val="Arial"/>
        <family val="2"/>
      </rPr>
      <t>x</t>
    </r>
    <r>
      <rPr>
        <vertAlign val="subscript"/>
        <sz val="8"/>
        <rFont val="Arial"/>
        <family val="2"/>
      </rPr>
      <t>i</t>
    </r>
  </si>
  <si>
    <t>mix</t>
  </si>
  <si>
    <r>
      <t>S</t>
    </r>
    <r>
      <rPr>
        <vertAlign val="subscript"/>
        <sz val="8"/>
        <rFont val="Arial"/>
        <family val="2"/>
      </rPr>
      <t>k</t>
    </r>
    <r>
      <rPr>
        <sz val="8"/>
        <rFont val="Symbol"/>
        <family val="1"/>
        <charset val="2"/>
      </rPr>
      <t>n</t>
    </r>
    <r>
      <rPr>
        <vertAlign val="subscript"/>
        <sz val="8"/>
        <rFont val="Arial"/>
        <family val="2"/>
      </rPr>
      <t>k</t>
    </r>
    <r>
      <rPr>
        <vertAlign val="superscript"/>
        <sz val="8"/>
        <rFont val="Arial"/>
        <family val="2"/>
      </rPr>
      <t>(i)</t>
    </r>
    <r>
      <rPr>
        <sz val="8"/>
        <rFont val="Arial"/>
        <family val="2"/>
      </rPr>
      <t>x</t>
    </r>
    <r>
      <rPr>
        <vertAlign val="subscript"/>
        <sz val="8"/>
        <rFont val="Arial"/>
        <family val="2"/>
      </rPr>
      <t>i</t>
    </r>
  </si>
  <si>
    <r>
      <t>S</t>
    </r>
    <r>
      <rPr>
        <vertAlign val="subscript"/>
        <sz val="8"/>
        <rFont val="Arial"/>
        <family val="2"/>
      </rPr>
      <t>i</t>
    </r>
    <r>
      <rPr>
        <sz val="8"/>
        <rFont val="Arial"/>
        <family val="2"/>
      </rPr>
      <t>X</t>
    </r>
    <r>
      <rPr>
        <vertAlign val="subscript"/>
        <sz val="8"/>
        <rFont val="Arial"/>
        <family val="2"/>
      </rPr>
      <t>i</t>
    </r>
    <r>
      <rPr>
        <sz val="8"/>
        <rFont val="Arial"/>
        <family val="2"/>
      </rPr>
      <t>Q</t>
    </r>
    <r>
      <rPr>
        <vertAlign val="subscript"/>
        <sz val="8"/>
        <rFont val="Arial"/>
        <family val="2"/>
      </rPr>
      <t>i</t>
    </r>
  </si>
  <si>
    <t>N groups</t>
  </si>
  <si>
    <t>q</t>
  </si>
  <si>
    <t>r</t>
  </si>
  <si>
    <r>
      <t>q</t>
    </r>
    <r>
      <rPr>
        <vertAlign val="subscript"/>
        <sz val="8"/>
        <rFont val="Arial"/>
        <family val="2"/>
      </rPr>
      <t>i</t>
    </r>
  </si>
  <si>
    <r>
      <t>F</t>
    </r>
    <r>
      <rPr>
        <vertAlign val="subscript"/>
        <sz val="8"/>
        <rFont val="Arial"/>
        <family val="2"/>
      </rPr>
      <t>i</t>
    </r>
  </si>
  <si>
    <r>
      <t>ln</t>
    </r>
    <r>
      <rPr>
        <sz val="8"/>
        <rFont val="Symbol"/>
        <family val="1"/>
        <charset val="2"/>
      </rPr>
      <t>g</t>
    </r>
    <r>
      <rPr>
        <vertAlign val="superscript"/>
        <sz val="8"/>
        <rFont val="Arial"/>
        <family val="2"/>
      </rPr>
      <t>C</t>
    </r>
  </si>
  <si>
    <r>
      <t>ln</t>
    </r>
    <r>
      <rPr>
        <sz val="8"/>
        <rFont val="Symbol"/>
        <family val="1"/>
        <charset val="2"/>
      </rPr>
      <t>g</t>
    </r>
    <r>
      <rPr>
        <vertAlign val="superscript"/>
        <sz val="8"/>
        <rFont val="Arial"/>
        <family val="2"/>
      </rPr>
      <t>Ro</t>
    </r>
  </si>
  <si>
    <r>
      <t>ln</t>
    </r>
    <r>
      <rPr>
        <sz val="8"/>
        <rFont val="Symbol"/>
        <family val="1"/>
        <charset val="2"/>
      </rPr>
      <t>g</t>
    </r>
    <r>
      <rPr>
        <vertAlign val="superscript"/>
        <sz val="8"/>
        <rFont val="Arial"/>
        <family val="2"/>
      </rPr>
      <t>R</t>
    </r>
  </si>
  <si>
    <t>Parameters from "Chemical Engineering Thermodynamics", Y.V.C. Rao,</t>
  </si>
  <si>
    <t>Sangam Books, London, 1997.</t>
  </si>
  <si>
    <t>Table 3. Interaction Parameters to be used in the calculations for the selected groups as indicated on sheet "UNIFAC (VLE)".</t>
  </si>
  <si>
    <t>Table 1. Residual Group Interaction Parameters for Main Groups.</t>
  </si>
  <si>
    <t>Do not edit this table unless you want to reprogram. Change values in Tables 1 and 2 unless you want to reprogram.</t>
  </si>
  <si>
    <t>For a new main group, carefully replace all entries for the row and column associated with the new group. You must unprotect</t>
  </si>
  <si>
    <t>the sheet, and then change only the values in blue. See Table 2 on this sheet for subgroup parameters.</t>
  </si>
  <si>
    <t>T=</t>
  </si>
  <si>
    <t>(The chemical structures for the main groups listed here are shown in Table 2 below).</t>
  </si>
  <si>
    <r>
      <t>a</t>
    </r>
    <r>
      <rPr>
        <i/>
        <vertAlign val="subscript"/>
        <sz val="10"/>
        <rFont val="Arial"/>
        <family val="2"/>
      </rPr>
      <t>ij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(i=column, j=row)</t>
    </r>
  </si>
  <si>
    <t>NOTE: BLANK CELLS MEAN THE VALUE IS UNAVAILABLE AND A VALUE OF ZERO IS USED IN CALCULATIONS.</t>
  </si>
  <si>
    <t>Sub</t>
  </si>
  <si>
    <t>Main</t>
  </si>
  <si>
    <t>Group</t>
  </si>
  <si>
    <t>R</t>
  </si>
  <si>
    <t xml:space="preserve">Table 2. Sub-group Surface and Volume Parameters. </t>
  </si>
  <si>
    <t>All sub-groups within a main group use the same residual group interaction parameters from Table 1.</t>
  </si>
  <si>
    <t>To add a new sub-group, unprotect the sheet and overwrite one of the existing rows unless you want to reprogram. If the new</t>
  </si>
  <si>
    <t>sub-group belongs to a main group that is not already listed, a row and column in Table 1 will also need to be changed.</t>
  </si>
  <si>
    <r>
      <t xml:space="preserve">Table 4. Matrix of </t>
    </r>
    <r>
      <rPr>
        <sz val="10"/>
        <rFont val="Symbol"/>
        <family val="1"/>
        <charset val="2"/>
      </rPr>
      <t>Y</t>
    </r>
    <r>
      <rPr>
        <sz val="10"/>
        <rFont val="Arial"/>
        <family val="2"/>
      </rPr>
      <t xml:space="preserve"> values used in calculations on sheet "UNIFAC (VLE). </t>
    </r>
  </si>
  <si>
    <t>MainGroup</t>
  </si>
  <si>
    <r>
      <t>Y</t>
    </r>
    <r>
      <rPr>
        <sz val="10"/>
        <rFont val="Arial"/>
        <family val="2"/>
      </rPr>
      <t xml:space="preserve"> </t>
    </r>
  </si>
  <si>
    <t>CH3</t>
  </si>
  <si>
    <t>CH2</t>
  </si>
  <si>
    <t>CH</t>
  </si>
  <si>
    <t>CH2=CH</t>
  </si>
  <si>
    <t>CH=CH</t>
  </si>
  <si>
    <t>CH2=C</t>
  </si>
  <si>
    <t>CH=C</t>
  </si>
  <si>
    <t>C=C</t>
  </si>
  <si>
    <t>ACH</t>
  </si>
  <si>
    <t>AC</t>
  </si>
  <si>
    <t>ACCH3</t>
  </si>
  <si>
    <t>ACCH2</t>
  </si>
  <si>
    <t>ACCH</t>
  </si>
  <si>
    <t>OH</t>
  </si>
  <si>
    <t>CH3OH</t>
  </si>
  <si>
    <t>H2O</t>
  </si>
  <si>
    <t>ACOH</t>
  </si>
  <si>
    <t>CH3CO</t>
  </si>
  <si>
    <t>CH2CO</t>
  </si>
  <si>
    <t>CHO</t>
  </si>
  <si>
    <t>CH3COO</t>
  </si>
  <si>
    <t>CH2COO</t>
  </si>
  <si>
    <t>CH2NH2</t>
  </si>
  <si>
    <t>ACNH2</t>
  </si>
  <si>
    <t>COOH</t>
  </si>
  <si>
    <t>CCL2</t>
  </si>
  <si>
    <t>CCL3</t>
  </si>
  <si>
    <t>CON(CH2)2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</si>
</sst>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General_)"/>
    <numFmt numFmtId="165" formatCode="0.00000"/>
    <numFmt numFmtId="166" formatCode="0.000"/>
    <numFmt numFmtId="167" formatCode="0.0000"/>
    <numFmt numFmtId="168" formatCode="0;0;"/>
    <numFmt numFmtId="169" formatCode="0.000000"/>
  </numFmts>
  <fonts count="20" x14ac:knownFonts="1">
    <font>
      <sz val="11"/>
      <color theme="1"/>
      <name val="Aptos Narrow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Courier"/>
    </font>
    <font>
      <vertAlign val="superscript"/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vertAlign val="subscript"/>
      <sz val="8"/>
      <name val="Arial"/>
      <family val="2"/>
    </font>
    <font>
      <sz val="8"/>
      <name val="Courier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sz val="8"/>
      <name val="Symbol"/>
      <family val="1"/>
      <charset val="2"/>
    </font>
    <font>
      <sz val="8"/>
      <color indexed="81"/>
      <name val="Tahoma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164" fontId="4" fillId="0" borderId="0"/>
    <xf numFmtId="0" fontId="2" fillId="0" borderId="0"/>
    <xf numFmtId="0" fontId="1" fillId="0" borderId="0"/>
  </cellStyleXfs>
  <cellXfs count="96">
    <xf numFmtId="0" fontId="0" fillId="0" borderId="0" xfId="0"/>
    <xf numFmtId="0" fontId="2" fillId="0" borderId="0" xfId="2"/>
    <xf numFmtId="164" fontId="4" fillId="0" borderId="0" xfId="3"/>
    <xf numFmtId="164" fontId="2" fillId="0" borderId="0" xfId="3" applyFont="1"/>
    <xf numFmtId="0" fontId="2" fillId="0" borderId="0" xfId="5" applyFont="1"/>
    <xf numFmtId="0" fontId="7" fillId="0" borderId="0" xfId="5" applyFont="1"/>
    <xf numFmtId="0" fontId="16" fillId="0" borderId="0" xfId="5" applyFont="1"/>
    <xf numFmtId="164" fontId="7" fillId="0" borderId="0" xfId="3" applyFont="1"/>
    <xf numFmtId="168" fontId="2" fillId="0" borderId="0" xfId="5" applyNumberFormat="1" applyFont="1"/>
    <xf numFmtId="168" fontId="2" fillId="0" borderId="0" xfId="3" applyNumberFormat="1" applyFont="1"/>
    <xf numFmtId="0" fontId="2" fillId="0" borderId="1" xfId="5" applyFont="1" applyBorder="1" applyAlignment="1">
      <alignment horizontal="center"/>
    </xf>
    <xf numFmtId="0" fontId="2" fillId="0" borderId="10" xfId="5" applyFont="1" applyBorder="1" applyAlignment="1">
      <alignment horizontal="center"/>
    </xf>
    <xf numFmtId="0" fontId="2" fillId="0" borderId="0" xfId="5" applyFont="1" applyAlignment="1">
      <alignment horizontal="center"/>
    </xf>
    <xf numFmtId="164" fontId="6" fillId="0" borderId="0" xfId="3" applyFont="1"/>
    <xf numFmtId="0" fontId="6" fillId="0" borderId="2" xfId="5" applyFont="1" applyBorder="1"/>
    <xf numFmtId="0" fontId="6" fillId="0" borderId="3" xfId="5" applyFont="1" applyBorder="1"/>
    <xf numFmtId="0" fontId="6" fillId="0" borderId="4" xfId="5" applyFont="1" applyBorder="1"/>
    <xf numFmtId="0" fontId="2" fillId="0" borderId="1" xfId="5" applyFont="1" applyBorder="1"/>
    <xf numFmtId="0" fontId="2" fillId="0" borderId="2" xfId="5" applyFont="1" applyBorder="1"/>
    <xf numFmtId="0" fontId="2" fillId="0" borderId="3" xfId="5" applyFont="1" applyBorder="1"/>
    <xf numFmtId="0" fontId="6" fillId="0" borderId="5" xfId="5" applyFont="1" applyBorder="1"/>
    <xf numFmtId="0" fontId="6" fillId="0" borderId="0" xfId="5" applyFont="1"/>
    <xf numFmtId="0" fontId="6" fillId="0" borderId="6" xfId="5" applyFont="1" applyBorder="1"/>
    <xf numFmtId="0" fontId="2" fillId="0" borderId="5" xfId="5" applyFont="1" applyBorder="1"/>
    <xf numFmtId="0" fontId="2" fillId="0" borderId="6" xfId="5" applyFont="1" applyBorder="1"/>
    <xf numFmtId="0" fontId="6" fillId="0" borderId="7" xfId="5" applyFont="1" applyBorder="1"/>
    <xf numFmtId="0" fontId="6" fillId="0" borderId="8" xfId="5" applyFont="1" applyBorder="1"/>
    <xf numFmtId="0" fontId="6" fillId="0" borderId="9" xfId="5" applyFont="1" applyBorder="1"/>
    <xf numFmtId="0" fontId="2" fillId="0" borderId="7" xfId="5" applyFont="1" applyBorder="1"/>
    <xf numFmtId="0" fontId="2" fillId="0" borderId="9" xfId="5" applyFont="1" applyBorder="1"/>
    <xf numFmtId="0" fontId="2" fillId="0" borderId="8" xfId="5" applyFont="1" applyBorder="1"/>
    <xf numFmtId="0" fontId="2" fillId="0" borderId="0" xfId="5" applyFont="1" applyAlignment="1">
      <alignment horizontal="left"/>
    </xf>
    <xf numFmtId="0" fontId="12" fillId="0" borderId="0" xfId="5" applyFont="1"/>
    <xf numFmtId="166" fontId="2" fillId="0" borderId="0" xfId="5" applyNumberFormat="1" applyFont="1"/>
    <xf numFmtId="0" fontId="1" fillId="0" borderId="0" xfId="1" applyFill="1"/>
    <xf numFmtId="0" fontId="2" fillId="0" borderId="1" xfId="1" applyFont="1" applyFill="1" applyBorder="1"/>
    <xf numFmtId="0" fontId="2" fillId="0" borderId="0" xfId="2" applyFill="1"/>
    <xf numFmtId="0" fontId="3" fillId="0" borderId="0" xfId="1" applyFont="1" applyFill="1" applyAlignment="1">
      <alignment horizontal="center"/>
    </xf>
    <xf numFmtId="0" fontId="3" fillId="0" borderId="0" xfId="1" applyFont="1" applyFill="1"/>
    <xf numFmtId="164" fontId="4" fillId="0" borderId="0" xfId="3" applyFill="1"/>
    <xf numFmtId="0" fontId="5" fillId="0" borderId="1" xfId="1" applyFont="1" applyFill="1" applyBorder="1"/>
    <xf numFmtId="0" fontId="1" fillId="0" borderId="0" xfId="1" applyFill="1" applyAlignment="1">
      <alignment horizontal="center"/>
    </xf>
    <xf numFmtId="0" fontId="7" fillId="0" borderId="0" xfId="1" applyFont="1" applyFill="1"/>
    <xf numFmtId="0" fontId="2" fillId="0" borderId="0" xfId="1" applyFont="1" applyFill="1"/>
    <xf numFmtId="0" fontId="3" fillId="0" borderId="1" xfId="1" applyFont="1" applyFill="1" applyBorder="1" applyProtection="1">
      <protection locked="0"/>
    </xf>
    <xf numFmtId="0" fontId="3" fillId="0" borderId="0" xfId="1" applyFont="1" applyFill="1" applyProtection="1">
      <protection locked="0"/>
    </xf>
    <xf numFmtId="164" fontId="3" fillId="0" borderId="1" xfId="3" applyFont="1" applyFill="1" applyBorder="1" applyProtection="1">
      <protection locked="0"/>
    </xf>
    <xf numFmtId="165" fontId="3" fillId="0" borderId="1" xfId="1" applyNumberFormat="1" applyFont="1" applyFill="1" applyBorder="1" applyProtection="1">
      <protection locked="0"/>
    </xf>
    <xf numFmtId="164" fontId="3" fillId="0" borderId="0" xfId="3" applyFont="1" applyFill="1" applyAlignment="1">
      <alignment horizontal="center"/>
    </xf>
    <xf numFmtId="0" fontId="3" fillId="0" borderId="1" xfId="1" applyFont="1" applyFill="1" applyBorder="1" applyAlignment="1" applyProtection="1">
      <alignment horizontal="center"/>
      <protection locked="0"/>
    </xf>
    <xf numFmtId="165" fontId="3" fillId="0" borderId="1" xfId="1" applyNumberFormat="1" applyFont="1" applyFill="1" applyBorder="1" applyAlignment="1" applyProtection="1">
      <alignment horizontal="center"/>
      <protection locked="0"/>
    </xf>
    <xf numFmtId="0" fontId="3" fillId="0" borderId="0" xfId="1" applyFont="1" applyFill="1" applyAlignment="1" applyProtection="1">
      <alignment horizontal="center"/>
      <protection locked="0"/>
    </xf>
    <xf numFmtId="166" fontId="3" fillId="0" borderId="1" xfId="1" applyNumberFormat="1" applyFont="1" applyFill="1" applyBorder="1" applyProtection="1">
      <protection locked="0"/>
    </xf>
    <xf numFmtId="166" fontId="3" fillId="0" borderId="0" xfId="1" applyNumberFormat="1" applyFont="1" applyFill="1" applyProtection="1">
      <protection locked="0"/>
    </xf>
    <xf numFmtId="0" fontId="12" fillId="0" borderId="0" xfId="4" applyFont="1" applyFill="1" applyAlignment="1">
      <alignment horizontal="center"/>
    </xf>
    <xf numFmtId="0" fontId="12" fillId="0" borderId="0" xfId="4" applyFont="1" applyFill="1"/>
    <xf numFmtId="0" fontId="14" fillId="0" borderId="0" xfId="1" applyFont="1" applyFill="1"/>
    <xf numFmtId="166" fontId="3" fillId="0" borderId="1" xfId="1" applyNumberFormat="1" applyFont="1" applyFill="1" applyBorder="1"/>
    <xf numFmtId="169" fontId="3" fillId="0" borderId="1" xfId="1" applyNumberFormat="1" applyFont="1" applyFill="1" applyBorder="1"/>
    <xf numFmtId="165" fontId="3" fillId="0" borderId="1" xfId="1" applyNumberFormat="1" applyFont="1" applyFill="1" applyBorder="1"/>
    <xf numFmtId="0" fontId="3" fillId="0" borderId="2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164" fontId="3" fillId="0" borderId="4" xfId="3" applyFont="1" applyFill="1" applyBorder="1"/>
    <xf numFmtId="164" fontId="3" fillId="0" borderId="4" xfId="1" applyNumberFormat="1" applyFont="1" applyFill="1" applyBorder="1" applyAlignment="1">
      <alignment horizontal="center"/>
    </xf>
    <xf numFmtId="0" fontId="3" fillId="0" borderId="3" xfId="1" applyFont="1" applyFill="1" applyBorder="1"/>
    <xf numFmtId="0" fontId="3" fillId="0" borderId="4" xfId="1" applyFont="1" applyFill="1" applyBorder="1"/>
    <xf numFmtId="164" fontId="3" fillId="0" borderId="2" xfId="3" applyFont="1" applyFill="1" applyBorder="1"/>
    <xf numFmtId="164" fontId="3" fillId="0" borderId="3" xfId="3" applyFont="1" applyFill="1" applyBorder="1"/>
    <xf numFmtId="0" fontId="3" fillId="0" borderId="2" xfId="1" applyFont="1" applyFill="1" applyBorder="1"/>
    <xf numFmtId="0" fontId="3" fillId="0" borderId="5" xfId="1" applyFont="1" applyFill="1" applyBorder="1" applyAlignment="1">
      <alignment horizontal="center"/>
    </xf>
    <xf numFmtId="164" fontId="3" fillId="0" borderId="6" xfId="3" applyFont="1" applyFill="1" applyBorder="1"/>
    <xf numFmtId="164" fontId="3" fillId="0" borderId="6" xfId="1" applyNumberFormat="1" applyFont="1" applyFill="1" applyBorder="1" applyAlignment="1">
      <alignment horizontal="center"/>
    </xf>
    <xf numFmtId="0" fontId="3" fillId="0" borderId="6" xfId="1" applyFont="1" applyFill="1" applyBorder="1"/>
    <xf numFmtId="164" fontId="3" fillId="0" borderId="5" xfId="3" applyFont="1" applyFill="1" applyBorder="1"/>
    <xf numFmtId="164" fontId="3" fillId="0" borderId="0" xfId="3" applyFont="1" applyFill="1"/>
    <xf numFmtId="0" fontId="3" fillId="0" borderId="5" xfId="1" applyFont="1" applyFill="1" applyBorder="1"/>
    <xf numFmtId="0" fontId="3" fillId="0" borderId="6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3" fillId="0" borderId="8" xfId="1" applyFont="1" applyFill="1" applyBorder="1" applyAlignment="1">
      <alignment horizontal="center"/>
    </xf>
    <xf numFmtId="164" fontId="3" fillId="0" borderId="9" xfId="3" applyFont="1" applyFill="1" applyBorder="1"/>
    <xf numFmtId="0" fontId="3" fillId="0" borderId="9" xfId="1" applyFont="1" applyFill="1" applyBorder="1" applyAlignment="1">
      <alignment horizontal="center"/>
    </xf>
    <xf numFmtId="164" fontId="3" fillId="0" borderId="7" xfId="3" applyFont="1" applyFill="1" applyBorder="1"/>
    <xf numFmtId="164" fontId="3" fillId="0" borderId="8" xfId="3" applyFont="1" applyFill="1" applyBorder="1"/>
    <xf numFmtId="0" fontId="3" fillId="0" borderId="7" xfId="1" applyFont="1" applyFill="1" applyBorder="1"/>
    <xf numFmtId="0" fontId="3" fillId="0" borderId="8" xfId="1" applyFont="1" applyFill="1" applyBorder="1"/>
    <xf numFmtId="0" fontId="3" fillId="0" borderId="9" xfId="1" applyFont="1" applyFill="1" applyBorder="1"/>
    <xf numFmtId="0" fontId="14" fillId="0" borderId="0" xfId="1" applyFont="1" applyFill="1" applyAlignment="1">
      <alignment horizontal="center"/>
    </xf>
    <xf numFmtId="164" fontId="3" fillId="0" borderId="0" xfId="1" applyNumberFormat="1" applyFont="1" applyFill="1" applyAlignment="1">
      <alignment horizontal="center"/>
    </xf>
    <xf numFmtId="164" fontId="2" fillId="0" borderId="0" xfId="3" applyFont="1" applyFill="1"/>
    <xf numFmtId="166" fontId="18" fillId="0" borderId="1" xfId="1" applyNumberFormat="1" applyFont="1" applyFill="1" applyBorder="1" applyProtection="1">
      <protection locked="0"/>
    </xf>
    <xf numFmtId="0" fontId="19" fillId="0" borderId="1" xfId="1" applyFont="1" applyFill="1" applyBorder="1" applyProtection="1">
      <protection locked="0"/>
    </xf>
    <xf numFmtId="0" fontId="2" fillId="0" borderId="0" xfId="1" applyFont="1" applyFill="1" applyAlignment="1">
      <alignment horizontal="center"/>
    </xf>
    <xf numFmtId="164" fontId="11" fillId="0" borderId="0" xfId="3" applyFont="1" applyFill="1"/>
    <xf numFmtId="167" fontId="3" fillId="0" borderId="0" xfId="1" applyNumberFormat="1" applyFont="1" applyFill="1"/>
    <xf numFmtId="167" fontId="3" fillId="0" borderId="1" xfId="1" applyNumberFormat="1" applyFont="1" applyFill="1" applyBorder="1"/>
    <xf numFmtId="167" fontId="3" fillId="0" borderId="0" xfId="1" applyNumberFormat="1" applyFont="1" applyFill="1" applyAlignment="1">
      <alignment horizontal="center"/>
    </xf>
  </cellXfs>
  <cellStyles count="6">
    <cellStyle name="Normal" xfId="0" builtinId="0"/>
    <cellStyle name="Normal_Actcoeff" xfId="3" xr:uid="{D6D70B90-6E8C-41C7-8CBC-5ED27B4AB8E1}"/>
    <cellStyle name="Normal_aij-unifac" xfId="5" xr:uid="{EF900B7B-EAF0-4490-A26E-E011EBA1A827}"/>
    <cellStyle name="Normal_unifac" xfId="1" xr:uid="{2A71971F-1FF1-45E5-80A5-B68DD72803F5}"/>
    <cellStyle name="Normal_unifac_1" xfId="2" xr:uid="{BB58649D-713F-4BD5-92D0-2829F7ADB853}"/>
    <cellStyle name="Normal_UNIQUAC5" xfId="4" xr:uid="{CB98A4C7-3108-40E0-963D-57F73DCB8E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yome\Downloads\ACTCOEFF.XLS" TargetMode="External"/><Relationship Id="rId1" Type="http://schemas.openxmlformats.org/officeDocument/2006/relationships/externalLinkPath" Target="file:///C:\Users\vyome\Downloads\ACTCOEF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Margules"/>
      <sheetName val="Regular"/>
      <sheetName val="UNIQUAC"/>
      <sheetName val="UNIQUAC5"/>
      <sheetName val="Antoine"/>
      <sheetName val="UNIFAC (VLE)"/>
      <sheetName val="aij-UNIFAC (VLE)"/>
      <sheetName val="UNIFAC (LLEa)"/>
      <sheetName val="UNIFAC (LLEb)"/>
      <sheetName val="aij-UNIFAC (LLE)"/>
      <sheetName val="LLE"/>
    </sheetNames>
    <sheetDataSet>
      <sheetData sheetId="0" refreshError="1"/>
      <sheetData sheetId="1">
        <row r="5">
          <cell r="D5">
            <v>1.861</v>
          </cell>
          <cell r="E5">
            <v>1.6365000000000001</v>
          </cell>
        </row>
      </sheetData>
      <sheetData sheetId="2">
        <row r="10">
          <cell r="H10">
            <v>40</v>
          </cell>
          <cell r="J10">
            <v>14.5</v>
          </cell>
        </row>
        <row r="11">
          <cell r="H11">
            <v>88</v>
          </cell>
          <cell r="J11">
            <v>9.1999999999999993</v>
          </cell>
        </row>
        <row r="13">
          <cell r="I13">
            <v>760</v>
          </cell>
        </row>
        <row r="19">
          <cell r="B19">
            <v>0</v>
          </cell>
          <cell r="C19">
            <v>1.1988196237550718E-2</v>
          </cell>
          <cell r="D19">
            <v>2.3364485981308414E-2</v>
          </cell>
          <cell r="E19">
            <v>4.2016806722689072E-2</v>
          </cell>
          <cell r="F19">
            <v>8.1869009584664545E-2</v>
          </cell>
          <cell r="G19">
            <v>0.15288717440751348</v>
          </cell>
          <cell r="H19">
            <v>0.18495889802266163</v>
          </cell>
          <cell r="I19">
            <v>0.35621593563457049</v>
          </cell>
          <cell r="J19">
            <v>0.51351748457243607</v>
          </cell>
          <cell r="K19">
            <v>0.61984781230183894</v>
          </cell>
          <cell r="L19">
            <v>0.80007127583749116</v>
          </cell>
          <cell r="M19">
            <v>0.94253152013423314</v>
          </cell>
          <cell r="N19">
            <v>0.94246416117783793</v>
          </cell>
          <cell r="O19">
            <v>1</v>
          </cell>
        </row>
        <row r="54">
          <cell r="H54">
            <v>1.9847477282664872</v>
          </cell>
        </row>
        <row r="55">
          <cell r="H55">
            <v>1.7424010368337413</v>
          </cell>
        </row>
      </sheetData>
      <sheetData sheetId="3">
        <row r="6">
          <cell r="H6">
            <v>-32.78</v>
          </cell>
          <cell r="I6">
            <v>529.57000000000005</v>
          </cell>
        </row>
      </sheetData>
      <sheetData sheetId="4">
        <row r="12">
          <cell r="B12">
            <v>298.14999999999998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0">
          <cell r="C10">
            <v>0.90110000000000001</v>
          </cell>
          <cell r="D10">
            <v>0.84799999999999998</v>
          </cell>
        </row>
        <row r="11">
          <cell r="C11">
            <v>0.6744</v>
          </cell>
          <cell r="D11">
            <v>0.54</v>
          </cell>
        </row>
        <row r="12">
          <cell r="C12">
            <v>0.44690000000000002</v>
          </cell>
          <cell r="D12">
            <v>0.22800000000000001</v>
          </cell>
        </row>
        <row r="13">
          <cell r="C13">
            <v>0.53129999999999999</v>
          </cell>
          <cell r="D13">
            <v>0.4</v>
          </cell>
        </row>
        <row r="14">
          <cell r="C14">
            <v>1.0396000000000001</v>
          </cell>
          <cell r="D14">
            <v>0.66</v>
          </cell>
        </row>
        <row r="15">
          <cell r="C15">
            <v>1.2663</v>
          </cell>
          <cell r="D15">
            <v>0.96799999999999997</v>
          </cell>
        </row>
        <row r="16">
          <cell r="C16">
            <v>1</v>
          </cell>
          <cell r="D16">
            <v>1.2</v>
          </cell>
        </row>
        <row r="17">
          <cell r="C17">
            <v>3.2490999999999999</v>
          </cell>
          <cell r="D17">
            <v>3.1240000000000001</v>
          </cell>
        </row>
        <row r="18">
          <cell r="C18">
            <v>0.92</v>
          </cell>
          <cell r="D18">
            <v>1.4</v>
          </cell>
        </row>
        <row r="19">
          <cell r="C19">
            <v>0.8952</v>
          </cell>
          <cell r="D19">
            <v>0.68</v>
          </cell>
        </row>
        <row r="20">
          <cell r="C20">
            <v>1.6724000000000001</v>
          </cell>
          <cell r="D20">
            <v>1.488</v>
          </cell>
        </row>
        <row r="21">
          <cell r="C21">
            <v>0.998</v>
          </cell>
          <cell r="D21">
            <v>0.94799999999999995</v>
          </cell>
        </row>
        <row r="22">
          <cell r="C22">
            <v>1.3012999999999999</v>
          </cell>
          <cell r="D22">
            <v>1.224</v>
          </cell>
        </row>
        <row r="23">
          <cell r="C23">
            <v>1.9031</v>
          </cell>
          <cell r="D23">
            <v>1.728</v>
          </cell>
        </row>
        <row r="24">
          <cell r="C24">
            <v>0.91830000000000001</v>
          </cell>
          <cell r="D24">
            <v>0.78</v>
          </cell>
        </row>
        <row r="25">
          <cell r="C25">
            <v>2.0606</v>
          </cell>
          <cell r="D25">
            <v>1.6839999999999999</v>
          </cell>
        </row>
        <row r="26">
          <cell r="C26">
            <v>2.6400999999999999</v>
          </cell>
          <cell r="D26">
            <v>2.1840000000000002</v>
          </cell>
        </row>
        <row r="27">
          <cell r="C27">
            <v>1.06</v>
          </cell>
          <cell r="D27">
            <v>0.81599999999999995</v>
          </cell>
        </row>
        <row r="31">
          <cell r="E31">
            <v>1</v>
          </cell>
          <cell r="F31">
            <v>1</v>
          </cell>
          <cell r="G31">
            <v>1</v>
          </cell>
          <cell r="H31">
            <v>1.4696747042862897</v>
          </cell>
          <cell r="I31">
            <v>1.4741177886932793</v>
          </cell>
          <cell r="J31">
            <v>1.4741177886932793</v>
          </cell>
          <cell r="K31">
            <v>0.11509481710145264</v>
          </cell>
          <cell r="L31">
            <v>0.35271570801530017</v>
          </cell>
          <cell r="M31">
            <v>1.2775559273734912E-2</v>
          </cell>
          <cell r="N31">
            <v>5.1915552327153427E-4</v>
          </cell>
          <cell r="O31">
            <v>0.20492562572161924</v>
          </cell>
          <cell r="P31">
            <v>0.58844606877609129</v>
          </cell>
          <cell r="Q31">
            <v>0.62653546945671312</v>
          </cell>
          <cell r="R31">
            <v>3.8332944566444621E-2</v>
          </cell>
          <cell r="S31">
            <v>0.10853372971080172</v>
          </cell>
          <cell r="T31">
            <v>2.2660644591285211</v>
          </cell>
          <cell r="U31">
            <v>0.97515863050911167</v>
          </cell>
          <cell r="V31">
            <v>4.8509596852346293E-2</v>
          </cell>
        </row>
        <row r="32">
          <cell r="E32">
            <v>1</v>
          </cell>
          <cell r="F32">
            <v>1</v>
          </cell>
          <cell r="G32">
            <v>1</v>
          </cell>
          <cell r="H32">
            <v>1.4696747042862897</v>
          </cell>
          <cell r="I32">
            <v>1.4741177886932793</v>
          </cell>
          <cell r="J32">
            <v>1.4741177886932793</v>
          </cell>
          <cell r="K32">
            <v>0.11509481710145264</v>
          </cell>
          <cell r="L32">
            <v>0.35271570801530017</v>
          </cell>
          <cell r="M32">
            <v>1.2775559273734912E-2</v>
          </cell>
          <cell r="N32">
            <v>5.1915552327153427E-4</v>
          </cell>
          <cell r="O32">
            <v>0.20492562572161924</v>
          </cell>
          <cell r="P32">
            <v>0.58844606877609129</v>
          </cell>
          <cell r="Q32">
            <v>0.62653546945671312</v>
          </cell>
          <cell r="R32">
            <v>3.8332944566444621E-2</v>
          </cell>
          <cell r="S32">
            <v>0.10853372971080172</v>
          </cell>
          <cell r="T32">
            <v>2.2660644591285211</v>
          </cell>
          <cell r="U32">
            <v>0.97515863050911167</v>
          </cell>
          <cell r="V32">
            <v>4.8509596852346293E-2</v>
          </cell>
        </row>
        <row r="33">
          <cell r="E33">
            <v>1</v>
          </cell>
          <cell r="F33">
            <v>1</v>
          </cell>
          <cell r="G33">
            <v>1</v>
          </cell>
          <cell r="H33">
            <v>1.4696747042862897</v>
          </cell>
          <cell r="I33">
            <v>1.4741177886932793</v>
          </cell>
          <cell r="J33">
            <v>1.4741177886932793</v>
          </cell>
          <cell r="K33">
            <v>0.11509481710145264</v>
          </cell>
          <cell r="L33">
            <v>0.35271570801530017</v>
          </cell>
          <cell r="M33">
            <v>1.2775559273734912E-2</v>
          </cell>
          <cell r="N33">
            <v>5.1915552327153427E-4</v>
          </cell>
          <cell r="O33">
            <v>0.20492562572161924</v>
          </cell>
          <cell r="P33">
            <v>0.58844606877609129</v>
          </cell>
          <cell r="Q33">
            <v>0.62653546945671312</v>
          </cell>
          <cell r="R33">
            <v>3.8332944566444621E-2</v>
          </cell>
          <cell r="S33">
            <v>0.10853372971080172</v>
          </cell>
          <cell r="T33">
            <v>2.2660644591285211</v>
          </cell>
          <cell r="U33">
            <v>0.97515863050911167</v>
          </cell>
          <cell r="V33">
            <v>4.8509596852346293E-2</v>
          </cell>
        </row>
        <row r="34">
          <cell r="E34">
            <v>0.5916124096015547</v>
          </cell>
          <cell r="F34">
            <v>0.5916124096015547</v>
          </cell>
          <cell r="G34">
            <v>0.5916124096015547</v>
          </cell>
          <cell r="H34">
            <v>1</v>
          </cell>
          <cell r="I34">
            <v>0.5711400976073886</v>
          </cell>
          <cell r="J34">
            <v>0.5711400976073886</v>
          </cell>
          <cell r="K34">
            <v>9.4336022025920424E-2</v>
          </cell>
          <cell r="L34">
            <v>0.14424043450144222</v>
          </cell>
          <cell r="M34">
            <v>5.5997864440543062E-2</v>
          </cell>
          <cell r="N34">
            <v>3.9629241647007041E-3</v>
          </cell>
          <cell r="O34">
            <v>0.13652062767587006</v>
          </cell>
          <cell r="P34">
            <v>0.29666249871893907</v>
          </cell>
          <cell r="Q34">
            <v>0.21248480702311395</v>
          </cell>
          <cell r="R34">
            <v>0.98007703956319814</v>
          </cell>
          <cell r="S34">
            <v>0.89780885632325491</v>
          </cell>
          <cell r="T34">
            <v>1</v>
          </cell>
          <cell r="U34">
            <v>2.176670490163914</v>
          </cell>
          <cell r="V34">
            <v>0.99451451357559373</v>
          </cell>
        </row>
        <row r="35">
          <cell r="E35">
            <v>0.70457583072813879</v>
          </cell>
          <cell r="F35">
            <v>0.70457583072813879</v>
          </cell>
          <cell r="G35">
            <v>0.70457583072813879</v>
          </cell>
          <cell r="H35">
            <v>1.6361887634574031</v>
          </cell>
          <cell r="I35">
            <v>1</v>
          </cell>
          <cell r="J35">
            <v>1</v>
          </cell>
          <cell r="K35">
            <v>1.4909966951418539E-6</v>
          </cell>
          <cell r="L35">
            <v>4.7766911703025834E-2</v>
          </cell>
          <cell r="M35">
            <v>5.0639268591451167E-9</v>
          </cell>
          <cell r="N35">
            <v>0.37479157452711731</v>
          </cell>
          <cell r="O35">
            <v>4.6206866533516501E-2</v>
          </cell>
          <cell r="P35">
            <v>1.6819909289924884E-2</v>
          </cell>
          <cell r="Q35">
            <v>0.32066863684370772</v>
          </cell>
          <cell r="R35">
            <v>5.184224977177369E-9</v>
          </cell>
          <cell r="S35">
            <v>0.48931887680294972</v>
          </cell>
          <cell r="T35">
            <v>1</v>
          </cell>
          <cell r="U35">
            <v>1.0415580941969227</v>
          </cell>
          <cell r="V35">
            <v>9.8970868140722534E-2</v>
          </cell>
        </row>
        <row r="36">
          <cell r="E36">
            <v>0.70457583072813879</v>
          </cell>
          <cell r="F36">
            <v>0.70457583072813879</v>
          </cell>
          <cell r="G36">
            <v>0.70457583072813879</v>
          </cell>
          <cell r="H36">
            <v>1.6361887634574031</v>
          </cell>
          <cell r="I36">
            <v>1</v>
          </cell>
          <cell r="J36">
            <v>1</v>
          </cell>
          <cell r="K36">
            <v>1.4909966951418539E-6</v>
          </cell>
          <cell r="L36">
            <v>4.7766911703025834E-2</v>
          </cell>
          <cell r="M36">
            <v>5.0639268591451167E-9</v>
          </cell>
          <cell r="N36">
            <v>0.37479157452711731</v>
          </cell>
          <cell r="O36">
            <v>4.6206866533516501E-2</v>
          </cell>
          <cell r="P36">
            <v>1.6819909289924884E-2</v>
          </cell>
          <cell r="Q36">
            <v>0.32066863684370772</v>
          </cell>
          <cell r="R36">
            <v>5.184224977177369E-9</v>
          </cell>
          <cell r="S36">
            <v>0.48931887680294972</v>
          </cell>
          <cell r="T36">
            <v>1</v>
          </cell>
          <cell r="U36">
            <v>1.0415580941969227</v>
          </cell>
          <cell r="V36">
            <v>9.8970868140722534E-2</v>
          </cell>
        </row>
        <row r="37">
          <cell r="E37">
            <v>0.33260882012386883</v>
          </cell>
          <cell r="F37">
            <v>0.33260882012386883</v>
          </cell>
          <cell r="G37">
            <v>0.33260882012386883</v>
          </cell>
          <cell r="H37">
            <v>1.0313725534999616</v>
          </cell>
          <cell r="I37">
            <v>0.99574945836028106</v>
          </cell>
          <cell r="J37">
            <v>0.99574945836028106</v>
          </cell>
          <cell r="K37">
            <v>1</v>
          </cell>
          <cell r="L37">
            <v>3.5978401039748788E-2</v>
          </cell>
          <cell r="M37">
            <v>0.90813621767355412</v>
          </cell>
          <cell r="N37">
            <v>1.9265102642189265</v>
          </cell>
          <cell r="O37">
            <v>0.79855304536071492</v>
          </cell>
          <cell r="P37">
            <v>8.8635390176167745E-3</v>
          </cell>
          <cell r="Q37">
            <v>1.417390789499327</v>
          </cell>
          <cell r="R37">
            <v>0.51889921022698193</v>
          </cell>
          <cell r="S37">
            <v>0.41460487774662197</v>
          </cell>
          <cell r="T37">
            <v>0.40133320019561342</v>
          </cell>
          <cell r="U37">
            <v>1.2293760839675769</v>
          </cell>
          <cell r="V37">
            <v>3.2151323477687823</v>
          </cell>
        </row>
        <row r="38">
          <cell r="E38">
            <v>1.5564300475353767</v>
          </cell>
          <cell r="F38">
            <v>1.5564300475353767</v>
          </cell>
          <cell r="G38">
            <v>1.5564300475353767</v>
          </cell>
          <cell r="H38">
            <v>2.3284717277556242</v>
          </cell>
          <cell r="I38">
            <v>2.503422752546709</v>
          </cell>
          <cell r="J38">
            <v>2.503422752546709</v>
          </cell>
          <cell r="K38">
            <v>2.4634421444956272</v>
          </cell>
          <cell r="L38">
            <v>1</v>
          </cell>
          <cell r="M38">
            <v>0.98043869766926783</v>
          </cell>
          <cell r="N38">
            <v>1.6716903795055331</v>
          </cell>
          <cell r="O38">
            <v>0.30524180457528083</v>
          </cell>
          <cell r="P38">
            <v>3.1132586179975883</v>
          </cell>
          <cell r="Q38">
            <v>1.2146620292642423</v>
          </cell>
          <cell r="R38">
            <v>0.19519789178701921</v>
          </cell>
          <cell r="S38">
            <v>1.3503217571225403E-3</v>
          </cell>
          <cell r="T38">
            <v>0.1821054169578796</v>
          </cell>
          <cell r="U38">
            <v>5.6358833912332961E-3</v>
          </cell>
          <cell r="V38">
            <v>1</v>
          </cell>
        </row>
        <row r="39">
          <cell r="E39">
            <v>0.31713896453518281</v>
          </cell>
          <cell r="F39">
            <v>0.31713896453518281</v>
          </cell>
          <cell r="G39">
            <v>0.31713896453518281</v>
          </cell>
          <cell r="H39">
            <v>0.2863967113010697</v>
          </cell>
          <cell r="I39">
            <v>0.50499176955805858</v>
          </cell>
          <cell r="J39">
            <v>0.50499176955805858</v>
          </cell>
          <cell r="K39">
            <v>1.5076190398931841</v>
          </cell>
          <cell r="L39">
            <v>0.7033952414758935</v>
          </cell>
          <cell r="M39">
            <v>1</v>
          </cell>
          <cell r="N39">
            <v>0.31491306519734752</v>
          </cell>
          <cell r="O39">
            <v>1.7792999910100182</v>
          </cell>
          <cell r="P39">
            <v>3.233516842020296</v>
          </cell>
          <cell r="Q39">
            <v>4.7681836853391824</v>
          </cell>
          <cell r="R39">
            <v>1.0214236442902456</v>
          </cell>
          <cell r="S39">
            <v>0.80568233560535418</v>
          </cell>
          <cell r="T39">
            <v>0.28842104855631745</v>
          </cell>
          <cell r="U39">
            <v>0.30218584686982602</v>
          </cell>
          <cell r="V39">
            <v>1.4452336507704617</v>
          </cell>
        </row>
        <row r="40">
          <cell r="E40">
            <v>1.7091083918547825</v>
          </cell>
          <cell r="F40">
            <v>1.7091083918547825</v>
          </cell>
          <cell r="G40">
            <v>1.7091083918547825</v>
          </cell>
          <cell r="H40">
            <v>4.8896492695242877</v>
          </cell>
          <cell r="I40">
            <v>4.8439443194258684</v>
          </cell>
          <cell r="J40">
            <v>4.8439443194258684</v>
          </cell>
          <cell r="K40">
            <v>1.2359082660191609</v>
          </cell>
          <cell r="L40">
            <v>6.2671254779685421</v>
          </cell>
          <cell r="M40">
            <v>7.37914953953213</v>
          </cell>
          <cell r="N40">
            <v>1</v>
          </cell>
          <cell r="O40">
            <v>15.949243045075869</v>
          </cell>
          <cell r="P40">
            <v>1</v>
          </cell>
          <cell r="Q40">
            <v>1</v>
          </cell>
          <cell r="R40">
            <v>20.346582532670528</v>
          </cell>
          <cell r="S40">
            <v>1</v>
          </cell>
          <cell r="T40">
            <v>1</v>
          </cell>
          <cell r="U40">
            <v>1</v>
          </cell>
          <cell r="V40">
            <v>17.396697611653959</v>
          </cell>
        </row>
        <row r="41">
          <cell r="E41">
            <v>0.79992017791999159</v>
          </cell>
          <cell r="F41">
            <v>0.79992017791999159</v>
          </cell>
          <cell r="G41">
            <v>0.79992017791999159</v>
          </cell>
          <cell r="H41">
            <v>1.3003754454967311</v>
          </cell>
          <cell r="I41">
            <v>1.281153948448533</v>
          </cell>
          <cell r="J41">
            <v>1.281153948448533</v>
          </cell>
          <cell r="K41">
            <v>0.4845825162908462</v>
          </cell>
          <cell r="L41">
            <v>1.534143886928111</v>
          </cell>
          <cell r="M41">
            <v>0.11894077096783076</v>
          </cell>
          <cell r="N41">
            <v>6.7199541721988698</v>
          </cell>
          <cell r="O41">
            <v>1</v>
          </cell>
          <cell r="P41">
            <v>1.1334953107589858</v>
          </cell>
          <cell r="Q41">
            <v>1.5260942472651492E-2</v>
          </cell>
          <cell r="R41">
            <v>0.41992294381170836</v>
          </cell>
          <cell r="S41">
            <v>0.9827037343855578</v>
          </cell>
          <cell r="T41">
            <v>2.744390326018689</v>
          </cell>
          <cell r="U41">
            <v>0.96051878698071891</v>
          </cell>
          <cell r="V41">
            <v>3.3791141419412529E-2</v>
          </cell>
        </row>
        <row r="42">
          <cell r="E42">
            <v>0.61261303839653836</v>
          </cell>
          <cell r="F42">
            <v>0.61261303839653836</v>
          </cell>
          <cell r="G42">
            <v>0.61261303839653836</v>
          </cell>
          <cell r="H42">
            <v>1.2873134341372185</v>
          </cell>
          <cell r="I42">
            <v>0.47302053917940379</v>
          </cell>
          <cell r="J42">
            <v>0.47302053917940379</v>
          </cell>
          <cell r="K42">
            <v>4.24859053147041</v>
          </cell>
          <cell r="L42">
            <v>0.46018835634904781</v>
          </cell>
          <cell r="M42">
            <v>0.12345234716243569</v>
          </cell>
          <cell r="N42">
            <v>1</v>
          </cell>
          <cell r="O42">
            <v>0.65095542959634878</v>
          </cell>
          <cell r="P42">
            <v>1</v>
          </cell>
          <cell r="Q42">
            <v>0.99748764892384423</v>
          </cell>
          <cell r="R42">
            <v>2.2805513630823193</v>
          </cell>
          <cell r="S42">
            <v>1</v>
          </cell>
          <cell r="T42">
            <v>1</v>
          </cell>
          <cell r="U42">
            <v>1</v>
          </cell>
          <cell r="V42">
            <v>1</v>
          </cell>
        </row>
        <row r="43">
          <cell r="E43">
            <v>2.8816141817132788E-3</v>
          </cell>
          <cell r="F43">
            <v>2.8816141817132788E-3</v>
          </cell>
          <cell r="G43">
            <v>2.8816141817132788E-3</v>
          </cell>
          <cell r="H43">
            <v>0.77631671773566191</v>
          </cell>
          <cell r="I43">
            <v>0.61015233662017676</v>
          </cell>
          <cell r="J43">
            <v>0.61015233662017676</v>
          </cell>
          <cell r="K43">
            <v>0.67225634470324835</v>
          </cell>
          <cell r="L43">
            <v>0.31009172525587275</v>
          </cell>
          <cell r="M43">
            <v>0.11216044139014483</v>
          </cell>
          <cell r="N43">
            <v>1</v>
          </cell>
          <cell r="O43">
            <v>1.4046130629676554</v>
          </cell>
          <cell r="P43">
            <v>2.9449708329684059E-2</v>
          </cell>
          <cell r="Q43">
            <v>1</v>
          </cell>
          <cell r="R43">
            <v>1.4835417937057391</v>
          </cell>
          <cell r="S43">
            <v>1.3827372760292467</v>
          </cell>
          <cell r="T43">
            <v>3.6934014405593033E-3</v>
          </cell>
          <cell r="U43">
            <v>0.85087002740245976</v>
          </cell>
          <cell r="V43">
            <v>4.2419195940321508E-2</v>
          </cell>
        </row>
        <row r="44">
          <cell r="E44">
            <v>2.9259542322852581</v>
          </cell>
          <cell r="F44">
            <v>2.9259542322852581</v>
          </cell>
          <cell r="G44">
            <v>2.9259542322852581</v>
          </cell>
          <cell r="H44">
            <v>0.68042267930686384</v>
          </cell>
          <cell r="I44">
            <v>1.7685903094005786</v>
          </cell>
          <cell r="J44">
            <v>1.7685903094005786</v>
          </cell>
          <cell r="K44">
            <v>0.54567300853745238</v>
          </cell>
          <cell r="L44">
            <v>1.6694491324749547</v>
          </cell>
          <cell r="M44">
            <v>0.27408556450075916</v>
          </cell>
          <cell r="N44">
            <v>3.0997136721965686</v>
          </cell>
          <cell r="O44">
            <v>0.82090299843410386</v>
          </cell>
          <cell r="P44">
            <v>2.5838803280824833E-2</v>
          </cell>
          <cell r="Q44">
            <v>8.6288737371991026E-3</v>
          </cell>
          <cell r="R44">
            <v>1</v>
          </cell>
          <cell r="S44">
            <v>2.2045902713578287</v>
          </cell>
          <cell r="T44">
            <v>0.69402146487654326</v>
          </cell>
          <cell r="U44">
            <v>2.0204843226297839</v>
          </cell>
          <cell r="V44">
            <v>1</v>
          </cell>
        </row>
        <row r="45">
          <cell r="E45">
            <v>5.1479339534634396E-3</v>
          </cell>
          <cell r="F45">
            <v>5.1479339534634396E-3</v>
          </cell>
          <cell r="G45">
            <v>5.1479339534634396E-3</v>
          </cell>
          <cell r="H45">
            <v>0.8395872501795304</v>
          </cell>
          <cell r="I45">
            <v>0.80225774928947757</v>
          </cell>
          <cell r="J45">
            <v>0.80225774928947757</v>
          </cell>
          <cell r="K45">
            <v>0.6313874034832152</v>
          </cell>
          <cell r="L45">
            <v>2.0782183920836648</v>
          </cell>
          <cell r="M45">
            <v>0.4898114796574779</v>
          </cell>
          <cell r="N45">
            <v>1</v>
          </cell>
          <cell r="O45">
            <v>0.83888354789052855</v>
          </cell>
          <cell r="P45">
            <v>1</v>
          </cell>
          <cell r="Q45">
            <v>9.0741003255865229E-3</v>
          </cell>
          <cell r="R45">
            <v>0.21284144474916758</v>
          </cell>
          <cell r="S45">
            <v>1</v>
          </cell>
          <cell r="T45">
            <v>0.6299067636853718</v>
          </cell>
          <cell r="U45">
            <v>1.6778693355799765</v>
          </cell>
          <cell r="V45">
            <v>1</v>
          </cell>
        </row>
        <row r="46">
          <cell r="E46">
            <v>0.91066783999947831</v>
          </cell>
          <cell r="F46">
            <v>0.91066783999947831</v>
          </cell>
          <cell r="G46">
            <v>0.91066783999947831</v>
          </cell>
          <cell r="H46">
            <v>1</v>
          </cell>
          <cell r="I46">
            <v>1</v>
          </cell>
          <cell r="J46">
            <v>1</v>
          </cell>
          <cell r="K46">
            <v>0.10597969094468089</v>
          </cell>
          <cell r="L46">
            <v>3.8457667587150439</v>
          </cell>
          <cell r="M46">
            <v>8.3466179238351382E-2</v>
          </cell>
          <cell r="N46">
            <v>1</v>
          </cell>
          <cell r="O46">
            <v>0.15775352238003126</v>
          </cell>
          <cell r="P46">
            <v>1</v>
          </cell>
          <cell r="Q46">
            <v>0.2303735876978745</v>
          </cell>
          <cell r="R46">
            <v>1.5616591037625136</v>
          </cell>
          <cell r="S46">
            <v>1.9407782436155514</v>
          </cell>
          <cell r="T46">
            <v>1</v>
          </cell>
          <cell r="U46">
            <v>1</v>
          </cell>
          <cell r="V46">
            <v>1</v>
          </cell>
        </row>
        <row r="47">
          <cell r="E47">
            <v>0.93127024594904473</v>
          </cell>
          <cell r="F47">
            <v>0.93127024594904473</v>
          </cell>
          <cell r="G47">
            <v>0.93127024594904473</v>
          </cell>
          <cell r="H47">
            <v>0.37998110871501695</v>
          </cell>
          <cell r="I47">
            <v>0.89339319025822472</v>
          </cell>
          <cell r="J47">
            <v>0.89339319025822472</v>
          </cell>
          <cell r="K47">
            <v>0.24577950250623196</v>
          </cell>
          <cell r="L47">
            <v>4.7681836853391824</v>
          </cell>
          <cell r="M47">
            <v>6.9919839998489608E-2</v>
          </cell>
          <cell r="N47">
            <v>1</v>
          </cell>
          <cell r="O47">
            <v>15.949243045075869</v>
          </cell>
          <cell r="P47">
            <v>1</v>
          </cell>
          <cell r="Q47">
            <v>0.28871140529209915</v>
          </cell>
          <cell r="R47">
            <v>20.346582532670528</v>
          </cell>
          <cell r="S47">
            <v>1.0727222366113176</v>
          </cell>
          <cell r="T47">
            <v>1</v>
          </cell>
          <cell r="U47">
            <v>1</v>
          </cell>
          <cell r="V47">
            <v>1.2881772579156781</v>
          </cell>
        </row>
        <row r="48">
          <cell r="E48">
            <v>0.55452904712035056</v>
          </cell>
          <cell r="F48">
            <v>0.55452904712035056</v>
          </cell>
          <cell r="G48">
            <v>0.55452904712035056</v>
          </cell>
          <cell r="H48">
            <v>2.0838021828975481</v>
          </cell>
          <cell r="I48">
            <v>1.0530443955280913</v>
          </cell>
          <cell r="J48">
            <v>1.0530443955280913</v>
          </cell>
          <cell r="K48">
            <v>0.16960642146220831</v>
          </cell>
          <cell r="L48">
            <v>1</v>
          </cell>
          <cell r="M48">
            <v>2.2351160285015359</v>
          </cell>
          <cell r="N48">
            <v>17.911811198828339</v>
          </cell>
          <cell r="O48">
            <v>5.6318066629923731E-2</v>
          </cell>
          <cell r="P48">
            <v>1</v>
          </cell>
          <cell r="Q48">
            <v>0.10173063434805679</v>
          </cell>
          <cell r="R48">
            <v>1</v>
          </cell>
          <cell r="S48">
            <v>1</v>
          </cell>
          <cell r="T48">
            <v>1</v>
          </cell>
          <cell r="U48">
            <v>2.0657095080244554</v>
          </cell>
          <cell r="V48">
            <v>1</v>
          </cell>
        </row>
      </sheetData>
      <sheetData sheetId="1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0C5E-A8D8-496F-B814-2E6BAA68BF35}">
  <sheetPr>
    <pageSetUpPr fitToPage="1"/>
  </sheetPr>
  <dimension ref="A1:AW56"/>
  <sheetViews>
    <sheetView showGridLines="0" tabSelected="1" topLeftCell="A10" workbookViewId="0">
      <selection activeCell="I14" sqref="I14"/>
    </sheetView>
  </sheetViews>
  <sheetFormatPr defaultColWidth="9.90625" defaultRowHeight="15.5" x14ac:dyDescent="0.35"/>
  <cols>
    <col min="1" max="1" width="9.90625" style="34" customWidth="1"/>
    <col min="2" max="2" width="10.08984375" style="34" customWidth="1"/>
    <col min="3" max="4" width="8.7265625" style="38" customWidth="1"/>
    <col min="5" max="5" width="8" style="38" customWidth="1"/>
    <col min="6" max="6" width="7.1796875" style="38" customWidth="1"/>
    <col min="7" max="8" width="8.26953125" style="38" customWidth="1"/>
    <col min="9" max="9" width="9.6328125" style="37" customWidth="1"/>
    <col min="10" max="10" width="8.54296875" style="37" customWidth="1"/>
    <col min="11" max="12" width="8.26953125" style="37" customWidth="1"/>
    <col min="13" max="13" width="8.81640625" style="37" customWidth="1"/>
    <col min="14" max="17" width="7.36328125" style="37" customWidth="1"/>
    <col min="18" max="18" width="9.08984375" style="37" customWidth="1"/>
    <col min="19" max="23" width="7.36328125" style="37" customWidth="1"/>
    <col min="24" max="24" width="9.81640625" style="37" customWidth="1"/>
    <col min="25" max="25" width="7.36328125" style="37" customWidth="1"/>
    <col min="26" max="26" width="5.81640625" style="37" customWidth="1"/>
    <col min="27" max="28" width="7.36328125" style="34" customWidth="1"/>
    <col min="29" max="30" width="6.90625" style="34" customWidth="1"/>
    <col min="31" max="31" width="5.81640625" style="37" customWidth="1"/>
    <col min="32" max="33" width="7.36328125" style="34" customWidth="1"/>
    <col min="34" max="34" width="7.7265625" style="34" customWidth="1"/>
    <col min="35" max="35" width="7.36328125" style="34" customWidth="1"/>
    <col min="36" max="36" width="7.6328125" style="37" customWidth="1"/>
    <col min="37" max="38" width="7.36328125" style="34" customWidth="1"/>
    <col min="39" max="40" width="6.90625" style="34" customWidth="1"/>
    <col min="41" max="45" width="9.90625" style="34" customWidth="1"/>
    <col min="46" max="257" width="9.90625" style="34"/>
    <col min="258" max="258" width="10.08984375" style="34" customWidth="1"/>
    <col min="259" max="260" width="8.7265625" style="34" customWidth="1"/>
    <col min="261" max="261" width="8" style="34" customWidth="1"/>
    <col min="262" max="262" width="7.1796875" style="34" customWidth="1"/>
    <col min="263" max="263" width="8.26953125" style="34" customWidth="1"/>
    <col min="264" max="301" width="0" style="34" hidden="1" customWidth="1"/>
    <col min="302" max="513" width="9.90625" style="34"/>
    <col min="514" max="514" width="10.08984375" style="34" customWidth="1"/>
    <col min="515" max="516" width="8.7265625" style="34" customWidth="1"/>
    <col min="517" max="517" width="8" style="34" customWidth="1"/>
    <col min="518" max="518" width="7.1796875" style="34" customWidth="1"/>
    <col min="519" max="519" width="8.26953125" style="34" customWidth="1"/>
    <col min="520" max="557" width="0" style="34" hidden="1" customWidth="1"/>
    <col min="558" max="769" width="9.90625" style="34"/>
    <col min="770" max="770" width="10.08984375" style="34" customWidth="1"/>
    <col min="771" max="772" width="8.7265625" style="34" customWidth="1"/>
    <col min="773" max="773" width="8" style="34" customWidth="1"/>
    <col min="774" max="774" width="7.1796875" style="34" customWidth="1"/>
    <col min="775" max="775" width="8.26953125" style="34" customWidth="1"/>
    <col min="776" max="813" width="0" style="34" hidden="1" customWidth="1"/>
    <col min="814" max="1025" width="9.90625" style="34"/>
    <col min="1026" max="1026" width="10.08984375" style="34" customWidth="1"/>
    <col min="1027" max="1028" width="8.7265625" style="34" customWidth="1"/>
    <col min="1029" max="1029" width="8" style="34" customWidth="1"/>
    <col min="1030" max="1030" width="7.1796875" style="34" customWidth="1"/>
    <col min="1031" max="1031" width="8.26953125" style="34" customWidth="1"/>
    <col min="1032" max="1069" width="0" style="34" hidden="1" customWidth="1"/>
    <col min="1070" max="1281" width="9.90625" style="34"/>
    <col min="1282" max="1282" width="10.08984375" style="34" customWidth="1"/>
    <col min="1283" max="1284" width="8.7265625" style="34" customWidth="1"/>
    <col min="1285" max="1285" width="8" style="34" customWidth="1"/>
    <col min="1286" max="1286" width="7.1796875" style="34" customWidth="1"/>
    <col min="1287" max="1287" width="8.26953125" style="34" customWidth="1"/>
    <col min="1288" max="1325" width="0" style="34" hidden="1" customWidth="1"/>
    <col min="1326" max="1537" width="9.90625" style="34"/>
    <col min="1538" max="1538" width="10.08984375" style="34" customWidth="1"/>
    <col min="1539" max="1540" width="8.7265625" style="34" customWidth="1"/>
    <col min="1541" max="1541" width="8" style="34" customWidth="1"/>
    <col min="1542" max="1542" width="7.1796875" style="34" customWidth="1"/>
    <col min="1543" max="1543" width="8.26953125" style="34" customWidth="1"/>
    <col min="1544" max="1581" width="0" style="34" hidden="1" customWidth="1"/>
    <col min="1582" max="1793" width="9.90625" style="34"/>
    <col min="1794" max="1794" width="10.08984375" style="34" customWidth="1"/>
    <col min="1795" max="1796" width="8.7265625" style="34" customWidth="1"/>
    <col min="1797" max="1797" width="8" style="34" customWidth="1"/>
    <col min="1798" max="1798" width="7.1796875" style="34" customWidth="1"/>
    <col min="1799" max="1799" width="8.26953125" style="34" customWidth="1"/>
    <col min="1800" max="1837" width="0" style="34" hidden="1" customWidth="1"/>
    <col min="1838" max="2049" width="9.90625" style="34"/>
    <col min="2050" max="2050" width="10.08984375" style="34" customWidth="1"/>
    <col min="2051" max="2052" width="8.7265625" style="34" customWidth="1"/>
    <col min="2053" max="2053" width="8" style="34" customWidth="1"/>
    <col min="2054" max="2054" width="7.1796875" style="34" customWidth="1"/>
    <col min="2055" max="2055" width="8.26953125" style="34" customWidth="1"/>
    <col min="2056" max="2093" width="0" style="34" hidden="1" customWidth="1"/>
    <col min="2094" max="2305" width="9.90625" style="34"/>
    <col min="2306" max="2306" width="10.08984375" style="34" customWidth="1"/>
    <col min="2307" max="2308" width="8.7265625" style="34" customWidth="1"/>
    <col min="2309" max="2309" width="8" style="34" customWidth="1"/>
    <col min="2310" max="2310" width="7.1796875" style="34" customWidth="1"/>
    <col min="2311" max="2311" width="8.26953125" style="34" customWidth="1"/>
    <col min="2312" max="2349" width="0" style="34" hidden="1" customWidth="1"/>
    <col min="2350" max="2561" width="9.90625" style="34"/>
    <col min="2562" max="2562" width="10.08984375" style="34" customWidth="1"/>
    <col min="2563" max="2564" width="8.7265625" style="34" customWidth="1"/>
    <col min="2565" max="2565" width="8" style="34" customWidth="1"/>
    <col min="2566" max="2566" width="7.1796875" style="34" customWidth="1"/>
    <col min="2567" max="2567" width="8.26953125" style="34" customWidth="1"/>
    <col min="2568" max="2605" width="0" style="34" hidden="1" customWidth="1"/>
    <col min="2606" max="2817" width="9.90625" style="34"/>
    <col min="2818" max="2818" width="10.08984375" style="34" customWidth="1"/>
    <col min="2819" max="2820" width="8.7265625" style="34" customWidth="1"/>
    <col min="2821" max="2821" width="8" style="34" customWidth="1"/>
    <col min="2822" max="2822" width="7.1796875" style="34" customWidth="1"/>
    <col min="2823" max="2823" width="8.26953125" style="34" customWidth="1"/>
    <col min="2824" max="2861" width="0" style="34" hidden="1" customWidth="1"/>
    <col min="2862" max="3073" width="9.90625" style="34"/>
    <col min="3074" max="3074" width="10.08984375" style="34" customWidth="1"/>
    <col min="3075" max="3076" width="8.7265625" style="34" customWidth="1"/>
    <col min="3077" max="3077" width="8" style="34" customWidth="1"/>
    <col min="3078" max="3078" width="7.1796875" style="34" customWidth="1"/>
    <col min="3079" max="3079" width="8.26953125" style="34" customWidth="1"/>
    <col min="3080" max="3117" width="0" style="34" hidden="1" customWidth="1"/>
    <col min="3118" max="3329" width="9.90625" style="34"/>
    <col min="3330" max="3330" width="10.08984375" style="34" customWidth="1"/>
    <col min="3331" max="3332" width="8.7265625" style="34" customWidth="1"/>
    <col min="3333" max="3333" width="8" style="34" customWidth="1"/>
    <col min="3334" max="3334" width="7.1796875" style="34" customWidth="1"/>
    <col min="3335" max="3335" width="8.26953125" style="34" customWidth="1"/>
    <col min="3336" max="3373" width="0" style="34" hidden="1" customWidth="1"/>
    <col min="3374" max="3585" width="9.90625" style="34"/>
    <col min="3586" max="3586" width="10.08984375" style="34" customWidth="1"/>
    <col min="3587" max="3588" width="8.7265625" style="34" customWidth="1"/>
    <col min="3589" max="3589" width="8" style="34" customWidth="1"/>
    <col min="3590" max="3590" width="7.1796875" style="34" customWidth="1"/>
    <col min="3591" max="3591" width="8.26953125" style="34" customWidth="1"/>
    <col min="3592" max="3629" width="0" style="34" hidden="1" customWidth="1"/>
    <col min="3630" max="3841" width="9.90625" style="34"/>
    <col min="3842" max="3842" width="10.08984375" style="34" customWidth="1"/>
    <col min="3843" max="3844" width="8.7265625" style="34" customWidth="1"/>
    <col min="3845" max="3845" width="8" style="34" customWidth="1"/>
    <col min="3846" max="3846" width="7.1796875" style="34" customWidth="1"/>
    <col min="3847" max="3847" width="8.26953125" style="34" customWidth="1"/>
    <col min="3848" max="3885" width="0" style="34" hidden="1" customWidth="1"/>
    <col min="3886" max="4097" width="9.90625" style="34"/>
    <col min="4098" max="4098" width="10.08984375" style="34" customWidth="1"/>
    <col min="4099" max="4100" width="8.7265625" style="34" customWidth="1"/>
    <col min="4101" max="4101" width="8" style="34" customWidth="1"/>
    <col min="4102" max="4102" width="7.1796875" style="34" customWidth="1"/>
    <col min="4103" max="4103" width="8.26953125" style="34" customWidth="1"/>
    <col min="4104" max="4141" width="0" style="34" hidden="1" customWidth="1"/>
    <col min="4142" max="4353" width="9.90625" style="34"/>
    <col min="4354" max="4354" width="10.08984375" style="34" customWidth="1"/>
    <col min="4355" max="4356" width="8.7265625" style="34" customWidth="1"/>
    <col min="4357" max="4357" width="8" style="34" customWidth="1"/>
    <col min="4358" max="4358" width="7.1796875" style="34" customWidth="1"/>
    <col min="4359" max="4359" width="8.26953125" style="34" customWidth="1"/>
    <col min="4360" max="4397" width="0" style="34" hidden="1" customWidth="1"/>
    <col min="4398" max="4609" width="9.90625" style="34"/>
    <col min="4610" max="4610" width="10.08984375" style="34" customWidth="1"/>
    <col min="4611" max="4612" width="8.7265625" style="34" customWidth="1"/>
    <col min="4613" max="4613" width="8" style="34" customWidth="1"/>
    <col min="4614" max="4614" width="7.1796875" style="34" customWidth="1"/>
    <col min="4615" max="4615" width="8.26953125" style="34" customWidth="1"/>
    <col min="4616" max="4653" width="0" style="34" hidden="1" customWidth="1"/>
    <col min="4654" max="4865" width="9.90625" style="34"/>
    <col min="4866" max="4866" width="10.08984375" style="34" customWidth="1"/>
    <col min="4867" max="4868" width="8.7265625" style="34" customWidth="1"/>
    <col min="4869" max="4869" width="8" style="34" customWidth="1"/>
    <col min="4870" max="4870" width="7.1796875" style="34" customWidth="1"/>
    <col min="4871" max="4871" width="8.26953125" style="34" customWidth="1"/>
    <col min="4872" max="4909" width="0" style="34" hidden="1" customWidth="1"/>
    <col min="4910" max="5121" width="9.90625" style="34"/>
    <col min="5122" max="5122" width="10.08984375" style="34" customWidth="1"/>
    <col min="5123" max="5124" width="8.7265625" style="34" customWidth="1"/>
    <col min="5125" max="5125" width="8" style="34" customWidth="1"/>
    <col min="5126" max="5126" width="7.1796875" style="34" customWidth="1"/>
    <col min="5127" max="5127" width="8.26953125" style="34" customWidth="1"/>
    <col min="5128" max="5165" width="0" style="34" hidden="1" customWidth="1"/>
    <col min="5166" max="5377" width="9.90625" style="34"/>
    <col min="5378" max="5378" width="10.08984375" style="34" customWidth="1"/>
    <col min="5379" max="5380" width="8.7265625" style="34" customWidth="1"/>
    <col min="5381" max="5381" width="8" style="34" customWidth="1"/>
    <col min="5382" max="5382" width="7.1796875" style="34" customWidth="1"/>
    <col min="5383" max="5383" width="8.26953125" style="34" customWidth="1"/>
    <col min="5384" max="5421" width="0" style="34" hidden="1" customWidth="1"/>
    <col min="5422" max="5633" width="9.90625" style="34"/>
    <col min="5634" max="5634" width="10.08984375" style="34" customWidth="1"/>
    <col min="5635" max="5636" width="8.7265625" style="34" customWidth="1"/>
    <col min="5637" max="5637" width="8" style="34" customWidth="1"/>
    <col min="5638" max="5638" width="7.1796875" style="34" customWidth="1"/>
    <col min="5639" max="5639" width="8.26953125" style="34" customWidth="1"/>
    <col min="5640" max="5677" width="0" style="34" hidden="1" customWidth="1"/>
    <col min="5678" max="5889" width="9.90625" style="34"/>
    <col min="5890" max="5890" width="10.08984375" style="34" customWidth="1"/>
    <col min="5891" max="5892" width="8.7265625" style="34" customWidth="1"/>
    <col min="5893" max="5893" width="8" style="34" customWidth="1"/>
    <col min="5894" max="5894" width="7.1796875" style="34" customWidth="1"/>
    <col min="5895" max="5895" width="8.26953125" style="34" customWidth="1"/>
    <col min="5896" max="5933" width="0" style="34" hidden="1" customWidth="1"/>
    <col min="5934" max="6145" width="9.90625" style="34"/>
    <col min="6146" max="6146" width="10.08984375" style="34" customWidth="1"/>
    <col min="6147" max="6148" width="8.7265625" style="34" customWidth="1"/>
    <col min="6149" max="6149" width="8" style="34" customWidth="1"/>
    <col min="6150" max="6150" width="7.1796875" style="34" customWidth="1"/>
    <col min="6151" max="6151" width="8.26953125" style="34" customWidth="1"/>
    <col min="6152" max="6189" width="0" style="34" hidden="1" customWidth="1"/>
    <col min="6190" max="6401" width="9.90625" style="34"/>
    <col min="6402" max="6402" width="10.08984375" style="34" customWidth="1"/>
    <col min="6403" max="6404" width="8.7265625" style="34" customWidth="1"/>
    <col min="6405" max="6405" width="8" style="34" customWidth="1"/>
    <col min="6406" max="6406" width="7.1796875" style="34" customWidth="1"/>
    <col min="6407" max="6407" width="8.26953125" style="34" customWidth="1"/>
    <col min="6408" max="6445" width="0" style="34" hidden="1" customWidth="1"/>
    <col min="6446" max="6657" width="9.90625" style="34"/>
    <col min="6658" max="6658" width="10.08984375" style="34" customWidth="1"/>
    <col min="6659" max="6660" width="8.7265625" style="34" customWidth="1"/>
    <col min="6661" max="6661" width="8" style="34" customWidth="1"/>
    <col min="6662" max="6662" width="7.1796875" style="34" customWidth="1"/>
    <col min="6663" max="6663" width="8.26953125" style="34" customWidth="1"/>
    <col min="6664" max="6701" width="0" style="34" hidden="1" customWidth="1"/>
    <col min="6702" max="6913" width="9.90625" style="34"/>
    <col min="6914" max="6914" width="10.08984375" style="34" customWidth="1"/>
    <col min="6915" max="6916" width="8.7265625" style="34" customWidth="1"/>
    <col min="6917" max="6917" width="8" style="34" customWidth="1"/>
    <col min="6918" max="6918" width="7.1796875" style="34" customWidth="1"/>
    <col min="6919" max="6919" width="8.26953125" style="34" customWidth="1"/>
    <col min="6920" max="6957" width="0" style="34" hidden="1" customWidth="1"/>
    <col min="6958" max="7169" width="9.90625" style="34"/>
    <col min="7170" max="7170" width="10.08984375" style="34" customWidth="1"/>
    <col min="7171" max="7172" width="8.7265625" style="34" customWidth="1"/>
    <col min="7173" max="7173" width="8" style="34" customWidth="1"/>
    <col min="7174" max="7174" width="7.1796875" style="34" customWidth="1"/>
    <col min="7175" max="7175" width="8.26953125" style="34" customWidth="1"/>
    <col min="7176" max="7213" width="0" style="34" hidden="1" customWidth="1"/>
    <col min="7214" max="7425" width="9.90625" style="34"/>
    <col min="7426" max="7426" width="10.08984375" style="34" customWidth="1"/>
    <col min="7427" max="7428" width="8.7265625" style="34" customWidth="1"/>
    <col min="7429" max="7429" width="8" style="34" customWidth="1"/>
    <col min="7430" max="7430" width="7.1796875" style="34" customWidth="1"/>
    <col min="7431" max="7431" width="8.26953125" style="34" customWidth="1"/>
    <col min="7432" max="7469" width="0" style="34" hidden="1" customWidth="1"/>
    <col min="7470" max="7681" width="9.90625" style="34"/>
    <col min="7682" max="7682" width="10.08984375" style="34" customWidth="1"/>
    <col min="7683" max="7684" width="8.7265625" style="34" customWidth="1"/>
    <col min="7685" max="7685" width="8" style="34" customWidth="1"/>
    <col min="7686" max="7686" width="7.1796875" style="34" customWidth="1"/>
    <col min="7687" max="7687" width="8.26953125" style="34" customWidth="1"/>
    <col min="7688" max="7725" width="0" style="34" hidden="1" customWidth="1"/>
    <col min="7726" max="7937" width="9.90625" style="34"/>
    <col min="7938" max="7938" width="10.08984375" style="34" customWidth="1"/>
    <col min="7939" max="7940" width="8.7265625" style="34" customWidth="1"/>
    <col min="7941" max="7941" width="8" style="34" customWidth="1"/>
    <col min="7942" max="7942" width="7.1796875" style="34" customWidth="1"/>
    <col min="7943" max="7943" width="8.26953125" style="34" customWidth="1"/>
    <col min="7944" max="7981" width="0" style="34" hidden="1" customWidth="1"/>
    <col min="7982" max="8193" width="9.90625" style="34"/>
    <col min="8194" max="8194" width="10.08984375" style="34" customWidth="1"/>
    <col min="8195" max="8196" width="8.7265625" style="34" customWidth="1"/>
    <col min="8197" max="8197" width="8" style="34" customWidth="1"/>
    <col min="8198" max="8198" width="7.1796875" style="34" customWidth="1"/>
    <col min="8199" max="8199" width="8.26953125" style="34" customWidth="1"/>
    <col min="8200" max="8237" width="0" style="34" hidden="1" customWidth="1"/>
    <col min="8238" max="8449" width="9.90625" style="34"/>
    <col min="8450" max="8450" width="10.08984375" style="34" customWidth="1"/>
    <col min="8451" max="8452" width="8.7265625" style="34" customWidth="1"/>
    <col min="8453" max="8453" width="8" style="34" customWidth="1"/>
    <col min="8454" max="8454" width="7.1796875" style="34" customWidth="1"/>
    <col min="8455" max="8455" width="8.26953125" style="34" customWidth="1"/>
    <col min="8456" max="8493" width="0" style="34" hidden="1" customWidth="1"/>
    <col min="8494" max="8705" width="9.90625" style="34"/>
    <col min="8706" max="8706" width="10.08984375" style="34" customWidth="1"/>
    <col min="8707" max="8708" width="8.7265625" style="34" customWidth="1"/>
    <col min="8709" max="8709" width="8" style="34" customWidth="1"/>
    <col min="8710" max="8710" width="7.1796875" style="34" customWidth="1"/>
    <col min="8711" max="8711" width="8.26953125" style="34" customWidth="1"/>
    <col min="8712" max="8749" width="0" style="34" hidden="1" customWidth="1"/>
    <col min="8750" max="8961" width="9.90625" style="34"/>
    <col min="8962" max="8962" width="10.08984375" style="34" customWidth="1"/>
    <col min="8963" max="8964" width="8.7265625" style="34" customWidth="1"/>
    <col min="8965" max="8965" width="8" style="34" customWidth="1"/>
    <col min="8966" max="8966" width="7.1796875" style="34" customWidth="1"/>
    <col min="8967" max="8967" width="8.26953125" style="34" customWidth="1"/>
    <col min="8968" max="9005" width="0" style="34" hidden="1" customWidth="1"/>
    <col min="9006" max="9217" width="9.90625" style="34"/>
    <col min="9218" max="9218" width="10.08984375" style="34" customWidth="1"/>
    <col min="9219" max="9220" width="8.7265625" style="34" customWidth="1"/>
    <col min="9221" max="9221" width="8" style="34" customWidth="1"/>
    <col min="9222" max="9222" width="7.1796875" style="34" customWidth="1"/>
    <col min="9223" max="9223" width="8.26953125" style="34" customWidth="1"/>
    <col min="9224" max="9261" width="0" style="34" hidden="1" customWidth="1"/>
    <col min="9262" max="9473" width="9.90625" style="34"/>
    <col min="9474" max="9474" width="10.08984375" style="34" customWidth="1"/>
    <col min="9475" max="9476" width="8.7265625" style="34" customWidth="1"/>
    <col min="9477" max="9477" width="8" style="34" customWidth="1"/>
    <col min="9478" max="9478" width="7.1796875" style="34" customWidth="1"/>
    <col min="9479" max="9479" width="8.26953125" style="34" customWidth="1"/>
    <col min="9480" max="9517" width="0" style="34" hidden="1" customWidth="1"/>
    <col min="9518" max="9729" width="9.90625" style="34"/>
    <col min="9730" max="9730" width="10.08984375" style="34" customWidth="1"/>
    <col min="9731" max="9732" width="8.7265625" style="34" customWidth="1"/>
    <col min="9733" max="9733" width="8" style="34" customWidth="1"/>
    <col min="9734" max="9734" width="7.1796875" style="34" customWidth="1"/>
    <col min="9735" max="9735" width="8.26953125" style="34" customWidth="1"/>
    <col min="9736" max="9773" width="0" style="34" hidden="1" customWidth="1"/>
    <col min="9774" max="9985" width="9.90625" style="34"/>
    <col min="9986" max="9986" width="10.08984375" style="34" customWidth="1"/>
    <col min="9987" max="9988" width="8.7265625" style="34" customWidth="1"/>
    <col min="9989" max="9989" width="8" style="34" customWidth="1"/>
    <col min="9990" max="9990" width="7.1796875" style="34" customWidth="1"/>
    <col min="9991" max="9991" width="8.26953125" style="34" customWidth="1"/>
    <col min="9992" max="10029" width="0" style="34" hidden="1" customWidth="1"/>
    <col min="10030" max="10241" width="9.90625" style="34"/>
    <col min="10242" max="10242" width="10.08984375" style="34" customWidth="1"/>
    <col min="10243" max="10244" width="8.7265625" style="34" customWidth="1"/>
    <col min="10245" max="10245" width="8" style="34" customWidth="1"/>
    <col min="10246" max="10246" width="7.1796875" style="34" customWidth="1"/>
    <col min="10247" max="10247" width="8.26953125" style="34" customWidth="1"/>
    <col min="10248" max="10285" width="0" style="34" hidden="1" customWidth="1"/>
    <col min="10286" max="10497" width="9.90625" style="34"/>
    <col min="10498" max="10498" width="10.08984375" style="34" customWidth="1"/>
    <col min="10499" max="10500" width="8.7265625" style="34" customWidth="1"/>
    <col min="10501" max="10501" width="8" style="34" customWidth="1"/>
    <col min="10502" max="10502" width="7.1796875" style="34" customWidth="1"/>
    <col min="10503" max="10503" width="8.26953125" style="34" customWidth="1"/>
    <col min="10504" max="10541" width="0" style="34" hidden="1" customWidth="1"/>
    <col min="10542" max="10753" width="9.90625" style="34"/>
    <col min="10754" max="10754" width="10.08984375" style="34" customWidth="1"/>
    <col min="10755" max="10756" width="8.7265625" style="34" customWidth="1"/>
    <col min="10757" max="10757" width="8" style="34" customWidth="1"/>
    <col min="10758" max="10758" width="7.1796875" style="34" customWidth="1"/>
    <col min="10759" max="10759" width="8.26953125" style="34" customWidth="1"/>
    <col min="10760" max="10797" width="0" style="34" hidden="1" customWidth="1"/>
    <col min="10798" max="11009" width="9.90625" style="34"/>
    <col min="11010" max="11010" width="10.08984375" style="34" customWidth="1"/>
    <col min="11011" max="11012" width="8.7265625" style="34" customWidth="1"/>
    <col min="11013" max="11013" width="8" style="34" customWidth="1"/>
    <col min="11014" max="11014" width="7.1796875" style="34" customWidth="1"/>
    <col min="11015" max="11015" width="8.26953125" style="34" customWidth="1"/>
    <col min="11016" max="11053" width="0" style="34" hidden="1" customWidth="1"/>
    <col min="11054" max="11265" width="9.90625" style="34"/>
    <col min="11266" max="11266" width="10.08984375" style="34" customWidth="1"/>
    <col min="11267" max="11268" width="8.7265625" style="34" customWidth="1"/>
    <col min="11269" max="11269" width="8" style="34" customWidth="1"/>
    <col min="11270" max="11270" width="7.1796875" style="34" customWidth="1"/>
    <col min="11271" max="11271" width="8.26953125" style="34" customWidth="1"/>
    <col min="11272" max="11309" width="0" style="34" hidden="1" customWidth="1"/>
    <col min="11310" max="11521" width="9.90625" style="34"/>
    <col min="11522" max="11522" width="10.08984375" style="34" customWidth="1"/>
    <col min="11523" max="11524" width="8.7265625" style="34" customWidth="1"/>
    <col min="11525" max="11525" width="8" style="34" customWidth="1"/>
    <col min="11526" max="11526" width="7.1796875" style="34" customWidth="1"/>
    <col min="11527" max="11527" width="8.26953125" style="34" customWidth="1"/>
    <col min="11528" max="11565" width="0" style="34" hidden="1" customWidth="1"/>
    <col min="11566" max="11777" width="9.90625" style="34"/>
    <col min="11778" max="11778" width="10.08984375" style="34" customWidth="1"/>
    <col min="11779" max="11780" width="8.7265625" style="34" customWidth="1"/>
    <col min="11781" max="11781" width="8" style="34" customWidth="1"/>
    <col min="11782" max="11782" width="7.1796875" style="34" customWidth="1"/>
    <col min="11783" max="11783" width="8.26953125" style="34" customWidth="1"/>
    <col min="11784" max="11821" width="0" style="34" hidden="1" customWidth="1"/>
    <col min="11822" max="12033" width="9.90625" style="34"/>
    <col min="12034" max="12034" width="10.08984375" style="34" customWidth="1"/>
    <col min="12035" max="12036" width="8.7265625" style="34" customWidth="1"/>
    <col min="12037" max="12037" width="8" style="34" customWidth="1"/>
    <col min="12038" max="12038" width="7.1796875" style="34" customWidth="1"/>
    <col min="12039" max="12039" width="8.26953125" style="34" customWidth="1"/>
    <col min="12040" max="12077" width="0" style="34" hidden="1" customWidth="1"/>
    <col min="12078" max="12289" width="9.90625" style="34"/>
    <col min="12290" max="12290" width="10.08984375" style="34" customWidth="1"/>
    <col min="12291" max="12292" width="8.7265625" style="34" customWidth="1"/>
    <col min="12293" max="12293" width="8" style="34" customWidth="1"/>
    <col min="12294" max="12294" width="7.1796875" style="34" customWidth="1"/>
    <col min="12295" max="12295" width="8.26953125" style="34" customWidth="1"/>
    <col min="12296" max="12333" width="0" style="34" hidden="1" customWidth="1"/>
    <col min="12334" max="12545" width="9.90625" style="34"/>
    <col min="12546" max="12546" width="10.08984375" style="34" customWidth="1"/>
    <col min="12547" max="12548" width="8.7265625" style="34" customWidth="1"/>
    <col min="12549" max="12549" width="8" style="34" customWidth="1"/>
    <col min="12550" max="12550" width="7.1796875" style="34" customWidth="1"/>
    <col min="12551" max="12551" width="8.26953125" style="34" customWidth="1"/>
    <col min="12552" max="12589" width="0" style="34" hidden="1" customWidth="1"/>
    <col min="12590" max="12801" width="9.90625" style="34"/>
    <col min="12802" max="12802" width="10.08984375" style="34" customWidth="1"/>
    <col min="12803" max="12804" width="8.7265625" style="34" customWidth="1"/>
    <col min="12805" max="12805" width="8" style="34" customWidth="1"/>
    <col min="12806" max="12806" width="7.1796875" style="34" customWidth="1"/>
    <col min="12807" max="12807" width="8.26953125" style="34" customWidth="1"/>
    <col min="12808" max="12845" width="0" style="34" hidden="1" customWidth="1"/>
    <col min="12846" max="13057" width="9.90625" style="34"/>
    <col min="13058" max="13058" width="10.08984375" style="34" customWidth="1"/>
    <col min="13059" max="13060" width="8.7265625" style="34" customWidth="1"/>
    <col min="13061" max="13061" width="8" style="34" customWidth="1"/>
    <col min="13062" max="13062" width="7.1796875" style="34" customWidth="1"/>
    <col min="13063" max="13063" width="8.26953125" style="34" customWidth="1"/>
    <col min="13064" max="13101" width="0" style="34" hidden="1" customWidth="1"/>
    <col min="13102" max="13313" width="9.90625" style="34"/>
    <col min="13314" max="13314" width="10.08984375" style="34" customWidth="1"/>
    <col min="13315" max="13316" width="8.7265625" style="34" customWidth="1"/>
    <col min="13317" max="13317" width="8" style="34" customWidth="1"/>
    <col min="13318" max="13318" width="7.1796875" style="34" customWidth="1"/>
    <col min="13319" max="13319" width="8.26953125" style="34" customWidth="1"/>
    <col min="13320" max="13357" width="0" style="34" hidden="1" customWidth="1"/>
    <col min="13358" max="13569" width="9.90625" style="34"/>
    <col min="13570" max="13570" width="10.08984375" style="34" customWidth="1"/>
    <col min="13571" max="13572" width="8.7265625" style="34" customWidth="1"/>
    <col min="13573" max="13573" width="8" style="34" customWidth="1"/>
    <col min="13574" max="13574" width="7.1796875" style="34" customWidth="1"/>
    <col min="13575" max="13575" width="8.26953125" style="34" customWidth="1"/>
    <col min="13576" max="13613" width="0" style="34" hidden="1" customWidth="1"/>
    <col min="13614" max="13825" width="9.90625" style="34"/>
    <col min="13826" max="13826" width="10.08984375" style="34" customWidth="1"/>
    <col min="13827" max="13828" width="8.7265625" style="34" customWidth="1"/>
    <col min="13829" max="13829" width="8" style="34" customWidth="1"/>
    <col min="13830" max="13830" width="7.1796875" style="34" customWidth="1"/>
    <col min="13831" max="13831" width="8.26953125" style="34" customWidth="1"/>
    <col min="13832" max="13869" width="0" style="34" hidden="1" customWidth="1"/>
    <col min="13870" max="14081" width="9.90625" style="34"/>
    <col min="14082" max="14082" width="10.08984375" style="34" customWidth="1"/>
    <col min="14083" max="14084" width="8.7265625" style="34" customWidth="1"/>
    <col min="14085" max="14085" width="8" style="34" customWidth="1"/>
    <col min="14086" max="14086" width="7.1796875" style="34" customWidth="1"/>
    <col min="14087" max="14087" width="8.26953125" style="34" customWidth="1"/>
    <col min="14088" max="14125" width="0" style="34" hidden="1" customWidth="1"/>
    <col min="14126" max="14337" width="9.90625" style="34"/>
    <col min="14338" max="14338" width="10.08984375" style="34" customWidth="1"/>
    <col min="14339" max="14340" width="8.7265625" style="34" customWidth="1"/>
    <col min="14341" max="14341" width="8" style="34" customWidth="1"/>
    <col min="14342" max="14342" width="7.1796875" style="34" customWidth="1"/>
    <col min="14343" max="14343" width="8.26953125" style="34" customWidth="1"/>
    <col min="14344" max="14381" width="0" style="34" hidden="1" customWidth="1"/>
    <col min="14382" max="14593" width="9.90625" style="34"/>
    <col min="14594" max="14594" width="10.08984375" style="34" customWidth="1"/>
    <col min="14595" max="14596" width="8.7265625" style="34" customWidth="1"/>
    <col min="14597" max="14597" width="8" style="34" customWidth="1"/>
    <col min="14598" max="14598" width="7.1796875" style="34" customWidth="1"/>
    <col min="14599" max="14599" width="8.26953125" style="34" customWidth="1"/>
    <col min="14600" max="14637" width="0" style="34" hidden="1" customWidth="1"/>
    <col min="14638" max="14849" width="9.90625" style="34"/>
    <col min="14850" max="14850" width="10.08984375" style="34" customWidth="1"/>
    <col min="14851" max="14852" width="8.7265625" style="34" customWidth="1"/>
    <col min="14853" max="14853" width="8" style="34" customWidth="1"/>
    <col min="14854" max="14854" width="7.1796875" style="34" customWidth="1"/>
    <col min="14855" max="14855" width="8.26953125" style="34" customWidth="1"/>
    <col min="14856" max="14893" width="0" style="34" hidden="1" customWidth="1"/>
    <col min="14894" max="15105" width="9.90625" style="34"/>
    <col min="15106" max="15106" width="10.08984375" style="34" customWidth="1"/>
    <col min="15107" max="15108" width="8.7265625" style="34" customWidth="1"/>
    <col min="15109" max="15109" width="8" style="34" customWidth="1"/>
    <col min="15110" max="15110" width="7.1796875" style="34" customWidth="1"/>
    <col min="15111" max="15111" width="8.26953125" style="34" customWidth="1"/>
    <col min="15112" max="15149" width="0" style="34" hidden="1" customWidth="1"/>
    <col min="15150" max="15361" width="9.90625" style="34"/>
    <col min="15362" max="15362" width="10.08984375" style="34" customWidth="1"/>
    <col min="15363" max="15364" width="8.7265625" style="34" customWidth="1"/>
    <col min="15365" max="15365" width="8" style="34" customWidth="1"/>
    <col min="15366" max="15366" width="7.1796875" style="34" customWidth="1"/>
    <col min="15367" max="15367" width="8.26953125" style="34" customWidth="1"/>
    <col min="15368" max="15405" width="0" style="34" hidden="1" customWidth="1"/>
    <col min="15406" max="15617" width="9.90625" style="34"/>
    <col min="15618" max="15618" width="10.08984375" style="34" customWidth="1"/>
    <col min="15619" max="15620" width="8.7265625" style="34" customWidth="1"/>
    <col min="15621" max="15621" width="8" style="34" customWidth="1"/>
    <col min="15622" max="15622" width="7.1796875" style="34" customWidth="1"/>
    <col min="15623" max="15623" width="8.26953125" style="34" customWidth="1"/>
    <col min="15624" max="15661" width="0" style="34" hidden="1" customWidth="1"/>
    <col min="15662" max="15873" width="9.90625" style="34"/>
    <col min="15874" max="15874" width="10.08984375" style="34" customWidth="1"/>
    <col min="15875" max="15876" width="8.7265625" style="34" customWidth="1"/>
    <col min="15877" max="15877" width="8" style="34" customWidth="1"/>
    <col min="15878" max="15878" width="7.1796875" style="34" customWidth="1"/>
    <col min="15879" max="15879" width="8.26953125" style="34" customWidth="1"/>
    <col min="15880" max="15917" width="0" style="34" hidden="1" customWidth="1"/>
    <col min="15918" max="16129" width="9.90625" style="34"/>
    <col min="16130" max="16130" width="10.08984375" style="34" customWidth="1"/>
    <col min="16131" max="16132" width="8.7265625" style="34" customWidth="1"/>
    <col min="16133" max="16133" width="8" style="34" customWidth="1"/>
    <col min="16134" max="16134" width="7.1796875" style="34" customWidth="1"/>
    <col min="16135" max="16135" width="8.26953125" style="34" customWidth="1"/>
    <col min="16136" max="16173" width="0" style="34" hidden="1" customWidth="1"/>
    <col min="16174" max="16384" width="9.90625" style="34"/>
  </cols>
  <sheetData>
    <row r="1" spans="1:46" x14ac:dyDescent="0.35">
      <c r="A1" s="43"/>
      <c r="C1" s="43"/>
      <c r="D1" s="43"/>
    </row>
    <row r="2" spans="1:46" x14ac:dyDescent="0.35">
      <c r="A2" s="43"/>
      <c r="C2" s="43"/>
      <c r="D2" s="43"/>
    </row>
    <row r="3" spans="1:46" s="43" customFormat="1" ht="12.5" x14ac:dyDescent="0.25"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E3" s="91"/>
      <c r="AJ3" s="91"/>
    </row>
    <row r="4" spans="1:46" x14ac:dyDescent="0.35">
      <c r="A4" s="43"/>
      <c r="C4" s="43"/>
      <c r="D4" s="43"/>
    </row>
    <row r="5" spans="1:46" x14ac:dyDescent="0.35">
      <c r="A5" s="43"/>
      <c r="C5" s="43"/>
      <c r="D5" s="43"/>
    </row>
    <row r="6" spans="1:46" x14ac:dyDescent="0.35">
      <c r="C6" s="43"/>
      <c r="D6" s="43"/>
    </row>
    <row r="7" spans="1:46" x14ac:dyDescent="0.35">
      <c r="B7" s="43"/>
      <c r="C7" s="43"/>
      <c r="D7" s="43"/>
    </row>
    <row r="8" spans="1:46" x14ac:dyDescent="0.35">
      <c r="B8" s="43"/>
      <c r="C8" s="43"/>
      <c r="D8" s="43"/>
      <c r="E8" s="36"/>
      <c r="F8" s="36"/>
      <c r="G8" s="36"/>
      <c r="H8" s="34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E8" s="41"/>
      <c r="AJ8" s="41"/>
      <c r="AO8" s="39"/>
      <c r="AT8" s="36"/>
    </row>
    <row r="9" spans="1:46" x14ac:dyDescent="0.35">
      <c r="B9" s="35" t="s">
        <v>0</v>
      </c>
      <c r="C9" s="35">
        <f t="array" ref="C9">SUM(C21:G21*C22:G22*C16:G16)</f>
        <v>161.7878524389954</v>
      </c>
      <c r="D9" s="35" t="s">
        <v>1</v>
      </c>
      <c r="E9" s="36"/>
      <c r="F9" s="36"/>
      <c r="G9" s="36"/>
      <c r="H9" s="34"/>
      <c r="Y9" s="38"/>
      <c r="AO9" s="39"/>
      <c r="AT9" s="36"/>
    </row>
    <row r="10" spans="1:46" x14ac:dyDescent="0.35">
      <c r="B10" s="35" t="s">
        <v>2</v>
      </c>
      <c r="C10" s="90">
        <f>323.15-273.15</f>
        <v>50</v>
      </c>
      <c r="D10" s="40" t="s">
        <v>3</v>
      </c>
      <c r="E10" s="36"/>
      <c r="F10" s="36"/>
      <c r="G10" s="36"/>
      <c r="H10" s="34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E10" s="41"/>
      <c r="AJ10" s="41"/>
      <c r="AO10" s="39"/>
      <c r="AT10" s="36"/>
    </row>
    <row r="11" spans="1:46" x14ac:dyDescent="0.35">
      <c r="A11" s="42" t="s">
        <v>4</v>
      </c>
      <c r="C11" s="43"/>
      <c r="D11" s="43"/>
      <c r="E11" s="34"/>
      <c r="F11" s="34"/>
      <c r="G11" s="34"/>
      <c r="H11" s="34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E11" s="41"/>
      <c r="AJ11" s="41"/>
      <c r="AT11" s="39"/>
    </row>
    <row r="12" spans="1:46" s="38" customFormat="1" ht="10" x14ac:dyDescent="0.2">
      <c r="C12" s="37" t="s">
        <v>5</v>
      </c>
      <c r="D12" s="37" t="s">
        <v>6</v>
      </c>
      <c r="E12" s="37" t="s">
        <v>7</v>
      </c>
      <c r="F12" s="37" t="s">
        <v>8</v>
      </c>
      <c r="G12" s="37" t="s">
        <v>9</v>
      </c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46" s="38" customFormat="1" ht="10" x14ac:dyDescent="0.2">
      <c r="B13" s="38" t="s">
        <v>10</v>
      </c>
      <c r="C13" s="44">
        <v>8.8782899999999998</v>
      </c>
      <c r="D13" s="44">
        <v>8.0713100000000004</v>
      </c>
      <c r="E13" s="44"/>
      <c r="F13" s="44">
        <v>8.1121999999999996</v>
      </c>
      <c r="G13" s="44">
        <v>6.8763199999999998</v>
      </c>
      <c r="H13" s="45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E13" s="37"/>
      <c r="AJ13" s="37"/>
    </row>
    <row r="14" spans="1:46" s="38" customFormat="1" ht="10" x14ac:dyDescent="0.2">
      <c r="B14" s="38" t="s">
        <v>11</v>
      </c>
      <c r="C14" s="44">
        <v>2010.33</v>
      </c>
      <c r="D14" s="44">
        <v>1730.63</v>
      </c>
      <c r="E14" s="46"/>
      <c r="F14" s="44">
        <v>1592.864</v>
      </c>
      <c r="G14" s="44">
        <v>1075.78</v>
      </c>
      <c r="H14" s="45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E14" s="37"/>
      <c r="AJ14" s="37"/>
    </row>
    <row r="15" spans="1:46" s="38" customFormat="1" ht="10" x14ac:dyDescent="0.2">
      <c r="B15" s="38" t="s">
        <v>12</v>
      </c>
      <c r="C15" s="44">
        <v>252.636</v>
      </c>
      <c r="D15" s="44">
        <v>233.42599999999999</v>
      </c>
      <c r="E15" s="44"/>
      <c r="F15" s="44">
        <v>226.184</v>
      </c>
      <c r="G15" s="44">
        <v>233.20500000000001</v>
      </c>
      <c r="H15" s="45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E15" s="37"/>
      <c r="AJ15" s="37"/>
    </row>
    <row r="16" spans="1:46" s="38" customFormat="1" ht="12" x14ac:dyDescent="0.2">
      <c r="B16" s="38" t="s">
        <v>13</v>
      </c>
      <c r="C16" s="44">
        <f>10^(C13-C14/(C15+T))</f>
        <v>172.01149737500378</v>
      </c>
      <c r="D16" s="44">
        <f>10^(D13-D14/(D15+T))</f>
        <v>92.299888080376377</v>
      </c>
      <c r="E16" s="44">
        <f>10^(E13-E14/(E15+T))</f>
        <v>1</v>
      </c>
      <c r="F16" s="44">
        <f>10^(F13-F14/(F15+T))</f>
        <v>221.20684290286289</v>
      </c>
      <c r="G16" s="44">
        <f>10^(G13-G14/(G15+T))</f>
        <v>1195.9936489324941</v>
      </c>
      <c r="H16" s="45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E16" s="37"/>
      <c r="AJ16" s="37"/>
    </row>
    <row r="17" spans="1:49" s="38" customFormat="1" ht="13" x14ac:dyDescent="0.35">
      <c r="B17" s="38" t="s">
        <v>14</v>
      </c>
      <c r="C17" s="47">
        <f>C21*C22*C16/$C$9</f>
        <v>7.027744957837052E-20</v>
      </c>
      <c r="D17" s="47">
        <f>D21*D22*D16/$C$9</f>
        <v>0.53265765133426146</v>
      </c>
      <c r="E17" s="47">
        <f>E21*E22*E16/$C$9</f>
        <v>2.3630733816757781E-22</v>
      </c>
      <c r="F17" s="47">
        <f>F21*F22*F16/$C$9</f>
        <v>0.46734234866573848</v>
      </c>
      <c r="G17" s="47">
        <f>G21*G22*G16/$C$9</f>
        <v>3.309740709124073E-17</v>
      </c>
      <c r="H17" s="45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E17" s="37"/>
      <c r="AJ17" s="37"/>
    </row>
    <row r="18" spans="1:49" s="38" customFormat="1" ht="13" x14ac:dyDescent="0.3">
      <c r="A18" s="42" t="s">
        <v>15</v>
      </c>
      <c r="C18" s="45"/>
      <c r="D18" s="45"/>
      <c r="E18" s="45"/>
      <c r="F18" s="45"/>
      <c r="G18" s="45"/>
      <c r="H18" s="45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E18" s="37"/>
      <c r="AJ18" s="37"/>
    </row>
    <row r="19" spans="1:49" s="38" customFormat="1" ht="10" x14ac:dyDescent="0.2">
      <c r="C19" s="37" t="s">
        <v>5</v>
      </c>
      <c r="D19" s="37" t="s">
        <v>6</v>
      </c>
      <c r="E19" s="37" t="s">
        <v>7</v>
      </c>
      <c r="F19" s="37" t="s">
        <v>8</v>
      </c>
      <c r="G19" s="37" t="s">
        <v>9</v>
      </c>
      <c r="H19" s="37"/>
      <c r="I19" s="37"/>
      <c r="J19" s="48"/>
      <c r="K19" s="48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49" s="38" customFormat="1" ht="12.5" x14ac:dyDescent="0.25">
      <c r="C20" s="49" t="s">
        <v>16</v>
      </c>
      <c r="D20" s="49" t="s">
        <v>17</v>
      </c>
      <c r="E20" s="49" t="s">
        <v>18</v>
      </c>
      <c r="F20" s="50" t="s">
        <v>19</v>
      </c>
      <c r="G20" s="49" t="s">
        <v>20</v>
      </c>
      <c r="H20" s="51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92"/>
      <c r="AU20" s="39"/>
      <c r="AV20" s="43"/>
      <c r="AW20" s="43"/>
    </row>
    <row r="21" spans="1:49" s="38" customFormat="1" x14ac:dyDescent="0.4">
      <c r="B21" s="38" t="s">
        <v>21</v>
      </c>
      <c r="C21" s="52">
        <v>9.9999999999999995E-21</v>
      </c>
      <c r="D21" s="89">
        <v>0.9</v>
      </c>
      <c r="E21" s="52">
        <v>9.9999999999999995E-21</v>
      </c>
      <c r="F21" s="89">
        <v>0.1</v>
      </c>
      <c r="G21" s="52">
        <v>9.9999999999999995E-21</v>
      </c>
      <c r="H21" s="53"/>
      <c r="I21" s="37"/>
      <c r="J21" s="39"/>
      <c r="K21" s="39"/>
      <c r="L21" s="37" t="s">
        <v>22</v>
      </c>
      <c r="M21" s="37"/>
      <c r="N21" s="39"/>
      <c r="O21" s="39"/>
      <c r="P21" s="39"/>
      <c r="Q21" s="39"/>
      <c r="R21" s="54" t="s">
        <v>23</v>
      </c>
      <c r="S21" s="37"/>
      <c r="T21" s="37"/>
      <c r="U21" s="37"/>
      <c r="V21" s="39"/>
      <c r="X21" s="55" t="s">
        <v>24</v>
      </c>
      <c r="Y21" s="37"/>
      <c r="AB21" s="39"/>
      <c r="AC21" s="37"/>
      <c r="AD21" s="55" t="s">
        <v>25</v>
      </c>
      <c r="AH21" s="37"/>
      <c r="AI21" s="37"/>
      <c r="AJ21" s="55" t="s">
        <v>26</v>
      </c>
      <c r="AN21" s="39"/>
      <c r="AP21" s="38" t="s">
        <v>27</v>
      </c>
      <c r="AU21" s="88"/>
      <c r="AV21" s="88"/>
      <c r="AW21" s="88"/>
    </row>
    <row r="22" spans="1:49" s="38" customFormat="1" ht="13.5" x14ac:dyDescent="0.35">
      <c r="A22" s="38" t="s">
        <v>28</v>
      </c>
      <c r="B22" s="56" t="s">
        <v>29</v>
      </c>
      <c r="C22" s="57">
        <f>EXP(C52-C51+C50)</f>
        <v>6.6100451514507954</v>
      </c>
      <c r="D22" s="58">
        <f>EXP(D52-D51+D50)</f>
        <v>1.0374099192300985</v>
      </c>
      <c r="E22" s="57">
        <f>EXP(E52-E51+E50)</f>
        <v>3.8231656757707868</v>
      </c>
      <c r="F22" s="59">
        <f>EXP(F52-F51+F50)</f>
        <v>3.4180820969280905</v>
      </c>
      <c r="G22" s="57">
        <f>EXP(G52-G51+G50)</f>
        <v>447.72465300049902</v>
      </c>
      <c r="H22" s="56" t="s">
        <v>30</v>
      </c>
      <c r="I22" s="37"/>
      <c r="J22" s="48">
        <v>1</v>
      </c>
      <c r="K22" s="48">
        <v>2</v>
      </c>
      <c r="L22" s="48">
        <v>3</v>
      </c>
      <c r="M22" s="37">
        <v>4</v>
      </c>
      <c r="N22" s="48">
        <v>5</v>
      </c>
      <c r="O22" s="48" t="s">
        <v>31</v>
      </c>
      <c r="P22" s="48">
        <v>1</v>
      </c>
      <c r="Q22" s="48">
        <v>2</v>
      </c>
      <c r="R22" s="48">
        <v>3</v>
      </c>
      <c r="S22" s="37">
        <v>4</v>
      </c>
      <c r="T22" s="48">
        <v>5</v>
      </c>
      <c r="U22" s="48" t="s">
        <v>31</v>
      </c>
      <c r="V22" s="48">
        <v>1</v>
      </c>
      <c r="W22" s="48">
        <v>2</v>
      </c>
      <c r="X22" s="48">
        <v>3</v>
      </c>
      <c r="Y22" s="37">
        <v>4</v>
      </c>
      <c r="Z22" s="48">
        <v>5</v>
      </c>
      <c r="AA22" s="48" t="s">
        <v>31</v>
      </c>
      <c r="AB22" s="48">
        <v>1</v>
      </c>
      <c r="AC22" s="48">
        <v>2</v>
      </c>
      <c r="AD22" s="48">
        <v>3</v>
      </c>
      <c r="AE22" s="37">
        <v>4</v>
      </c>
      <c r="AF22" s="48">
        <v>5</v>
      </c>
      <c r="AG22" s="48" t="s">
        <v>31</v>
      </c>
      <c r="AH22" s="48">
        <v>1</v>
      </c>
      <c r="AI22" s="48">
        <v>2</v>
      </c>
      <c r="AJ22" s="48">
        <v>3</v>
      </c>
      <c r="AK22" s="37">
        <v>4</v>
      </c>
      <c r="AL22" s="48">
        <v>5</v>
      </c>
      <c r="AM22" s="48" t="s">
        <v>31</v>
      </c>
      <c r="AN22" s="48">
        <v>1</v>
      </c>
      <c r="AO22" s="48">
        <v>2</v>
      </c>
      <c r="AP22" s="48">
        <v>3</v>
      </c>
      <c r="AQ22" s="37">
        <v>4</v>
      </c>
      <c r="AR22" s="48">
        <v>5</v>
      </c>
      <c r="AS22" s="48" t="s">
        <v>31</v>
      </c>
      <c r="AU22" s="43"/>
      <c r="AV22" s="43"/>
      <c r="AW22" s="43"/>
    </row>
    <row r="23" spans="1:49" s="38" customFormat="1" ht="12.5" x14ac:dyDescent="0.25">
      <c r="A23" s="51">
        <v>1</v>
      </c>
      <c r="B23" s="38" t="str">
        <f>'aij-UNIFAC (VLE)'!V10</f>
        <v>CH3</v>
      </c>
      <c r="C23" s="44">
        <v>2</v>
      </c>
      <c r="D23" s="44"/>
      <c r="E23" s="44">
        <v>1</v>
      </c>
      <c r="F23" s="44">
        <v>1</v>
      </c>
      <c r="G23" s="44">
        <v>2</v>
      </c>
      <c r="H23" s="38" cm="1">
        <f t="array" ref="H23">SUM(C23:G23*$C$21:$G$21)</f>
        <v>0.1</v>
      </c>
      <c r="I23" s="37" t="str">
        <f t="shared" ref="I23:I42" si="0">B23</f>
        <v>CH3</v>
      </c>
      <c r="J23" s="60">
        <f>C23/C$44</f>
        <v>0.5</v>
      </c>
      <c r="K23" s="61">
        <f t="shared" ref="J23:N42" si="1">D23/D$44</f>
        <v>0</v>
      </c>
      <c r="L23" s="61">
        <f t="shared" si="1"/>
        <v>0.33333333333333331</v>
      </c>
      <c r="M23" s="61">
        <f t="shared" si="1"/>
        <v>0.33333333333333331</v>
      </c>
      <c r="N23" s="61">
        <f t="shared" si="1"/>
        <v>0.4</v>
      </c>
      <c r="O23" s="62">
        <f>H23/$H$43</f>
        <v>8.3333333333333329E-2</v>
      </c>
      <c r="P23" s="60">
        <f>J23*'aij-UNIFAC (VLE)'!$X10/J$43</f>
        <v>0.54289372599231756</v>
      </c>
      <c r="Q23" s="61">
        <f>K23*'aij-UNIFAC (VLE)'!$X10/K$43</f>
        <v>0</v>
      </c>
      <c r="R23" s="61">
        <f>L23*'aij-UNIFAC (VLE)'!$X10/L$43</f>
        <v>0.32465543644716688</v>
      </c>
      <c r="S23" s="61">
        <f>M23*'aij-UNIFAC (VLE)'!$X10/M$43</f>
        <v>0.32766615146831529</v>
      </c>
      <c r="T23" s="61">
        <f>N23*'aij-UNIFAC (VLE)'!$X10/N$43</f>
        <v>0.51145958986730999</v>
      </c>
      <c r="U23" s="63">
        <f>O23*'aij-UNIFAC (VLE)'!$X10/O$43</f>
        <v>5.5833552804845928E-2</v>
      </c>
      <c r="V23" s="60">
        <f t="array" ref="V23:AA42">MMULT(TRANSPOSE(tau),P23:U42)</f>
        <v>0.85262047699733534</v>
      </c>
      <c r="W23" s="64">
        <v>0.39520073944109457</v>
      </c>
      <c r="X23" s="61">
        <v>0.70802325496307839</v>
      </c>
      <c r="Y23" s="61">
        <v>0.82209674271239408</v>
      </c>
      <c r="Z23" s="64">
        <v>1</v>
      </c>
      <c r="AA23" s="65">
        <v>0.46794282901616191</v>
      </c>
      <c r="AB23" s="66">
        <f t="shared" ref="AB23:AG42" si="2">P23/V23</f>
        <v>0.63673550030632708</v>
      </c>
      <c r="AC23" s="67">
        <f t="shared" si="2"/>
        <v>0</v>
      </c>
      <c r="AD23" s="67">
        <f t="shared" si="2"/>
        <v>0.45853781520791548</v>
      </c>
      <c r="AE23" s="67">
        <f t="shared" si="2"/>
        <v>0.39857371334087316</v>
      </c>
      <c r="AF23" s="67">
        <f t="shared" si="2"/>
        <v>0.51145958986730999</v>
      </c>
      <c r="AG23" s="62">
        <f>U23/AA23</f>
        <v>0.11931703905418227</v>
      </c>
      <c r="AH23" s="60">
        <f t="array" ref="AH23:AM42">MMULT(tau,AB23:AG42)</f>
        <v>0.766238167615791</v>
      </c>
      <c r="AI23" s="61">
        <v>1.6931131200104015E-2</v>
      </c>
      <c r="AJ23" s="64">
        <v>0.86255109901246751</v>
      </c>
      <c r="AK23" s="64">
        <v>0.69716442776886978</v>
      </c>
      <c r="AL23" s="64">
        <v>1</v>
      </c>
      <c r="AM23" s="65">
        <v>0.21378483784278723</v>
      </c>
      <c r="AN23" s="68">
        <f>'aij-UNIFAC (VLE)'!$X10*(1-LN(V23)-AH23)</f>
        <v>0.33343579649186988</v>
      </c>
      <c r="AO23" s="64">
        <f>'aij-UNIFAC (VLE)'!$X10*(1-LN(W23)-AI23)</f>
        <v>1.6208929036047597</v>
      </c>
      <c r="AP23" s="64">
        <f>'aij-UNIFAC (VLE)'!$X10*(1-LN(X23)-AJ23)</f>
        <v>0.4093527002173265</v>
      </c>
      <c r="AQ23" s="64">
        <f>'aij-UNIFAC (VLE)'!$X10*(1-LN(Y23)-AK23)</f>
        <v>0.42292538999286838</v>
      </c>
      <c r="AR23" s="64">
        <f>'aij-UNIFAC (VLE)'!$X10*(1-LN(Z23)-AL23)</f>
        <v>0</v>
      </c>
      <c r="AS23" s="65">
        <f>'aij-UNIFAC (VLE)'!$X10*(1-LN(AA23)-AM23)</f>
        <v>1.3106894173440735</v>
      </c>
      <c r="AU23" s="43"/>
      <c r="AV23" s="43"/>
      <c r="AW23" s="43"/>
    </row>
    <row r="24" spans="1:49" s="38" customFormat="1" ht="12.5" x14ac:dyDescent="0.25">
      <c r="A24" s="51">
        <v>2</v>
      </c>
      <c r="B24" s="38" t="str">
        <f>'aij-UNIFAC (VLE)'!V11</f>
        <v>CH2</v>
      </c>
      <c r="C24" s="44"/>
      <c r="D24" s="44"/>
      <c r="E24" s="44">
        <v>1</v>
      </c>
      <c r="F24" s="44">
        <v>1</v>
      </c>
      <c r="G24" s="44">
        <v>3</v>
      </c>
      <c r="H24" s="38">
        <f t="array" ref="H24">SUM(C24:G24*$C$21:$G$21)</f>
        <v>0.1</v>
      </c>
      <c r="I24" s="37" t="str">
        <f t="shared" si="0"/>
        <v>CH2</v>
      </c>
      <c r="J24" s="69">
        <f>C24/C$44</f>
        <v>0</v>
      </c>
      <c r="K24" s="37">
        <f>D24/D$44</f>
        <v>0</v>
      </c>
      <c r="L24" s="37">
        <f t="shared" si="1"/>
        <v>0.33333333333333331</v>
      </c>
      <c r="M24" s="37">
        <f t="shared" si="1"/>
        <v>0.33333333333333331</v>
      </c>
      <c r="N24" s="37">
        <f t="shared" si="1"/>
        <v>0.6</v>
      </c>
      <c r="O24" s="70">
        <f>H24/$H$43</f>
        <v>8.3333333333333329E-2</v>
      </c>
      <c r="P24" s="69">
        <f>J24*'aij-UNIFAC (VLE)'!$X11/J$43</f>
        <v>0</v>
      </c>
      <c r="Q24" s="37">
        <f>K24*'aij-UNIFAC (VLE)'!$X11/K$43</f>
        <v>0</v>
      </c>
      <c r="R24" s="37">
        <f>L24*'aij-UNIFAC (VLE)'!$X11/L$43</f>
        <v>0.20673813169984687</v>
      </c>
      <c r="S24" s="37">
        <f>M24*'aij-UNIFAC (VLE)'!$X11/M$43</f>
        <v>0.20865533230293665</v>
      </c>
      <c r="T24" s="37">
        <f>N24*'aij-UNIFAC (VLE)'!$X11/N$43</f>
        <v>0.48854041013269001</v>
      </c>
      <c r="U24" s="71">
        <f>O24*'aij-UNIFAC (VLE)'!$X11/O$43</f>
        <v>3.5554385040821708E-2</v>
      </c>
      <c r="V24" s="69">
        <v>0.85262047699733534</v>
      </c>
      <c r="W24" s="38">
        <v>0.39520073944109457</v>
      </c>
      <c r="X24" s="37">
        <v>0.70802325496307839</v>
      </c>
      <c r="Y24" s="37">
        <v>0.82209674271239408</v>
      </c>
      <c r="Z24" s="38">
        <v>1</v>
      </c>
      <c r="AA24" s="72">
        <v>0.46794282901616191</v>
      </c>
      <c r="AB24" s="73">
        <f t="shared" si="2"/>
        <v>0</v>
      </c>
      <c r="AC24" s="74">
        <f t="shared" si="2"/>
        <v>0</v>
      </c>
      <c r="AD24" s="74">
        <f t="shared" si="2"/>
        <v>0.29199342006164436</v>
      </c>
      <c r="AE24" s="74">
        <f t="shared" si="2"/>
        <v>0.25380873255197112</v>
      </c>
      <c r="AF24" s="74">
        <f t="shared" si="2"/>
        <v>0.48854041013269001</v>
      </c>
      <c r="AG24" s="70">
        <f t="shared" si="2"/>
        <v>7.5980189963748168E-2</v>
      </c>
      <c r="AH24" s="69">
        <v>0.766238167615791</v>
      </c>
      <c r="AI24" s="37">
        <v>1.6931131200104015E-2</v>
      </c>
      <c r="AJ24" s="38">
        <v>0.86255109901246751</v>
      </c>
      <c r="AK24" s="38">
        <v>0.69716442776886978</v>
      </c>
      <c r="AL24" s="38">
        <v>1</v>
      </c>
      <c r="AM24" s="72">
        <v>0.21378483784278723</v>
      </c>
      <c r="AN24" s="75">
        <f>'aij-UNIFAC (VLE)'!$X11*(1-LN(V24)-AH24)</f>
        <v>0.21232939870944548</v>
      </c>
      <c r="AO24" s="38">
        <f>'aij-UNIFAC (VLE)'!$X11*(1-LN(W24)-AI24)</f>
        <v>1.0321723678615216</v>
      </c>
      <c r="AP24" s="38">
        <f>'aij-UNIFAC (VLE)'!$X11*(1-LN(X24)-AJ24)</f>
        <v>0.26067271004405229</v>
      </c>
      <c r="AQ24" s="38">
        <f>'aij-UNIFAC (VLE)'!$X11*(1-LN(Y24)-AK24)</f>
        <v>0.2693156964577228</v>
      </c>
      <c r="AR24" s="38">
        <f>'aij-UNIFAC (VLE)'!$X11*(1-LN(Z24)-AL24)</f>
        <v>0</v>
      </c>
      <c r="AS24" s="72">
        <f>'aij-UNIFAC (VLE)'!$X11*(1-LN(AA24)-AM24)</f>
        <v>0.83463712896910358</v>
      </c>
      <c r="AU24" s="43"/>
      <c r="AV24" s="43"/>
      <c r="AW24" s="43"/>
    </row>
    <row r="25" spans="1:49" s="38" customFormat="1" ht="10" x14ac:dyDescent="0.2">
      <c r="A25" s="51">
        <v>3</v>
      </c>
      <c r="B25" s="38" t="str">
        <f>'aij-UNIFAC (VLE)'!V12</f>
        <v>CH</v>
      </c>
      <c r="C25" s="44">
        <v>1</v>
      </c>
      <c r="D25" s="44"/>
      <c r="E25" s="44"/>
      <c r="F25" s="44"/>
      <c r="G25" s="44"/>
      <c r="H25" s="38">
        <f t="array" ref="H25">SUM(C25:G25*$C$21:$G$21)</f>
        <v>9.9999999999999995E-21</v>
      </c>
      <c r="I25" s="37" t="str">
        <f t="shared" si="0"/>
        <v>CH</v>
      </c>
      <c r="J25" s="69">
        <f>C25/C$44</f>
        <v>0.25</v>
      </c>
      <c r="K25" s="37">
        <f t="shared" si="1"/>
        <v>0</v>
      </c>
      <c r="L25" s="37">
        <f t="shared" si="1"/>
        <v>0</v>
      </c>
      <c r="M25" s="37">
        <f t="shared" si="1"/>
        <v>0</v>
      </c>
      <c r="N25" s="37">
        <f t="shared" si="1"/>
        <v>0</v>
      </c>
      <c r="O25" s="70">
        <f t="shared" ref="O23:O42" si="3">H25/$H$43</f>
        <v>8.3333333333333311E-21</v>
      </c>
      <c r="P25" s="69">
        <f>J25*'aij-UNIFAC (VLE)'!$X12/J$43</f>
        <v>7.2983354673495524E-2</v>
      </c>
      <c r="Q25" s="37">
        <f>K25*'aij-UNIFAC (VLE)'!$X12/K$43</f>
        <v>0</v>
      </c>
      <c r="R25" s="37">
        <f>L25*'aij-UNIFAC (VLE)'!$X12/L$43</f>
        <v>0</v>
      </c>
      <c r="S25" s="37">
        <f>M25*'aij-UNIFAC (VLE)'!$X12/M$43</f>
        <v>0</v>
      </c>
      <c r="T25" s="37">
        <f>N25*'aij-UNIFAC (VLE)'!$X12/N$43</f>
        <v>0</v>
      </c>
      <c r="U25" s="71">
        <f>O25*'aij-UNIFAC (VLE)'!$X12/O$43</f>
        <v>1.5011851461680272E-21</v>
      </c>
      <c r="V25" s="69">
        <v>0.85262047699733534</v>
      </c>
      <c r="W25" s="38">
        <v>0.39520073944109457</v>
      </c>
      <c r="X25" s="38">
        <v>0.70802325496307839</v>
      </c>
      <c r="Y25" s="38">
        <v>0.82209674271239408</v>
      </c>
      <c r="Z25" s="38">
        <v>1</v>
      </c>
      <c r="AA25" s="72">
        <v>0.46794282901616191</v>
      </c>
      <c r="AB25" s="73">
        <f t="shared" si="2"/>
        <v>8.5598876220426043E-2</v>
      </c>
      <c r="AC25" s="74">
        <f t="shared" si="2"/>
        <v>0</v>
      </c>
      <c r="AD25" s="74">
        <f t="shared" si="2"/>
        <v>0</v>
      </c>
      <c r="AE25" s="74">
        <f t="shared" si="2"/>
        <v>0</v>
      </c>
      <c r="AF25" s="74">
        <f t="shared" si="2"/>
        <v>0</v>
      </c>
      <c r="AG25" s="70">
        <f t="shared" si="2"/>
        <v>3.2080524651360324E-21</v>
      </c>
      <c r="AH25" s="75">
        <v>0.766238167615791</v>
      </c>
      <c r="AI25" s="38">
        <v>1.6931131200104015E-2</v>
      </c>
      <c r="AJ25" s="38">
        <v>0.86255109901246751</v>
      </c>
      <c r="AK25" s="38">
        <v>0.69716442776886978</v>
      </c>
      <c r="AL25" s="38">
        <v>1</v>
      </c>
      <c r="AM25" s="72">
        <v>0.21378483784278723</v>
      </c>
      <c r="AN25" s="75">
        <f>'aij-UNIFAC (VLE)'!$X12*(1-LN(V25)-AH25)</f>
        <v>8.9650190566210305E-2</v>
      </c>
      <c r="AO25" s="38">
        <f>'aij-UNIFAC (VLE)'!$X12*(1-LN(W25)-AI25)</f>
        <v>0.43580611087486465</v>
      </c>
      <c r="AP25" s="38">
        <f>'aij-UNIFAC (VLE)'!$X12*(1-LN(X25)-AJ25)</f>
        <v>0.11006181090748873</v>
      </c>
      <c r="AQ25" s="38">
        <f>'aij-UNIFAC (VLE)'!$X12*(1-LN(Y25)-AK25)</f>
        <v>0.11371107183770519</v>
      </c>
      <c r="AR25" s="38">
        <f>'aij-UNIFAC (VLE)'!$X12*(1-LN(Z25)-AL25)</f>
        <v>0</v>
      </c>
      <c r="AS25" s="72">
        <f>'aij-UNIFAC (VLE)'!$X12*(1-LN(AA25)-AM25)</f>
        <v>0.35240234334251036</v>
      </c>
    </row>
    <row r="26" spans="1:49" s="38" customFormat="1" ht="10" x14ac:dyDescent="0.2">
      <c r="A26" s="51">
        <v>9</v>
      </c>
      <c r="B26" s="38" t="str">
        <f>'aij-UNIFAC (VLE)'!V13</f>
        <v>ACH</v>
      </c>
      <c r="C26" s="44"/>
      <c r="D26" s="44"/>
      <c r="E26" s="44"/>
      <c r="F26" s="44"/>
      <c r="G26" s="44"/>
      <c r="H26" s="38">
        <f t="array" ref="H26">SUM(C26:G26*$C$21:$G$21)</f>
        <v>0</v>
      </c>
      <c r="I26" s="37" t="str">
        <f t="shared" si="0"/>
        <v>ACH</v>
      </c>
      <c r="J26" s="69">
        <f t="shared" si="1"/>
        <v>0</v>
      </c>
      <c r="K26" s="37">
        <f t="shared" si="1"/>
        <v>0</v>
      </c>
      <c r="L26" s="37">
        <f t="shared" si="1"/>
        <v>0</v>
      </c>
      <c r="M26" s="37">
        <f t="shared" si="1"/>
        <v>0</v>
      </c>
      <c r="N26" s="37">
        <f t="shared" si="1"/>
        <v>0</v>
      </c>
      <c r="O26" s="70">
        <f t="shared" si="3"/>
        <v>0</v>
      </c>
      <c r="P26" s="69">
        <f>J26*'aij-UNIFAC (VLE)'!$X13/J$43</f>
        <v>0</v>
      </c>
      <c r="Q26" s="37">
        <f>K26*'aij-UNIFAC (VLE)'!$X13/K$43</f>
        <v>0</v>
      </c>
      <c r="R26" s="37">
        <f>L26*'aij-UNIFAC (VLE)'!$X13/L$43</f>
        <v>0</v>
      </c>
      <c r="S26" s="37">
        <f>M26*'aij-UNIFAC (VLE)'!$X13/M$43</f>
        <v>0</v>
      </c>
      <c r="T26" s="37">
        <f>N26*'aij-UNIFAC (VLE)'!$X13/N$43</f>
        <v>0</v>
      </c>
      <c r="U26" s="76">
        <f>O26*'aij-UNIFAC (VLE)'!$X13/O$43</f>
        <v>0</v>
      </c>
      <c r="V26" s="69">
        <v>0.80083584344933789</v>
      </c>
      <c r="W26" s="37">
        <v>0.32590440781116681</v>
      </c>
      <c r="X26" s="37">
        <v>0.82622092991971408</v>
      </c>
      <c r="Y26" s="38">
        <v>0.79528308999620678</v>
      </c>
      <c r="Z26" s="38">
        <v>0.82764652616706802</v>
      </c>
      <c r="AA26" s="72">
        <v>0.40588544741446436</v>
      </c>
      <c r="AB26" s="73">
        <f t="shared" si="2"/>
        <v>0</v>
      </c>
      <c r="AC26" s="74">
        <f t="shared" si="2"/>
        <v>0</v>
      </c>
      <c r="AD26" s="74">
        <f t="shared" si="2"/>
        <v>0</v>
      </c>
      <c r="AE26" s="74">
        <f t="shared" si="2"/>
        <v>0</v>
      </c>
      <c r="AF26" s="74">
        <f t="shared" si="2"/>
        <v>0</v>
      </c>
      <c r="AG26" s="70">
        <f t="shared" si="2"/>
        <v>0</v>
      </c>
      <c r="AH26" s="69">
        <v>0.87746653948182973</v>
      </c>
      <c r="AI26" s="38">
        <v>6.1002308510101563E-2</v>
      </c>
      <c r="AJ26" s="38">
        <v>0.94229526920836681</v>
      </c>
      <c r="AK26" s="38">
        <v>0.80766278114816681</v>
      </c>
      <c r="AL26" s="38">
        <v>1.0350101817606312</v>
      </c>
      <c r="AM26" s="72">
        <v>0.26738319652291903</v>
      </c>
      <c r="AN26" s="75">
        <f>'aij-UNIFAC (VLE)'!$X13*(1-LN(V26)-AH26)</f>
        <v>0.13785310117954205</v>
      </c>
      <c r="AO26" s="38">
        <f>'aij-UNIFAC (VLE)'!$X13*(1-LN(W26)-AI26)</f>
        <v>0.8240595438712186</v>
      </c>
      <c r="AP26" s="38">
        <f>'aij-UNIFAC (VLE)'!$X13*(1-LN(X26)-AJ26)</f>
        <v>9.9439120951984261E-2</v>
      </c>
      <c r="AQ26" s="38">
        <f>'aij-UNIFAC (VLE)'!$X13*(1-LN(Y26)-AK26)</f>
        <v>0.16855774340735877</v>
      </c>
      <c r="AR26" s="38">
        <f>'aij-UNIFAC (VLE)'!$X13*(1-LN(Z26)-AL26)</f>
        <v>6.1663573899491911E-2</v>
      </c>
      <c r="AS26" s="72">
        <f>'aij-UNIFAC (VLE)'!$X13*(1-LN(AA26)-AM26)</f>
        <v>0.65372044475780966</v>
      </c>
    </row>
    <row r="27" spans="1:49" s="38" customFormat="1" ht="10" x14ac:dyDescent="0.2">
      <c r="A27" s="51">
        <v>10</v>
      </c>
      <c r="B27" s="38" t="str">
        <f>'aij-UNIFAC (VLE)'!V14</f>
        <v>AC</v>
      </c>
      <c r="C27" s="44"/>
      <c r="D27" s="44"/>
      <c r="E27" s="44"/>
      <c r="F27" s="44"/>
      <c r="G27" s="44"/>
      <c r="H27" s="38">
        <f t="array" ref="H27">SUM(C27:G27*$C$21:$G$21)</f>
        <v>0</v>
      </c>
      <c r="I27" s="37" t="str">
        <f t="shared" si="0"/>
        <v>AC</v>
      </c>
      <c r="J27" s="69">
        <f t="shared" si="1"/>
        <v>0</v>
      </c>
      <c r="K27" s="37">
        <f t="shared" si="1"/>
        <v>0</v>
      </c>
      <c r="L27" s="37">
        <f t="shared" si="1"/>
        <v>0</v>
      </c>
      <c r="M27" s="37">
        <f t="shared" si="1"/>
        <v>0</v>
      </c>
      <c r="N27" s="37">
        <f t="shared" si="1"/>
        <v>0</v>
      </c>
      <c r="O27" s="70">
        <f t="shared" si="3"/>
        <v>0</v>
      </c>
      <c r="P27" s="69">
        <f>J27*'aij-UNIFAC (VLE)'!$X14/J$43</f>
        <v>0</v>
      </c>
      <c r="Q27" s="37">
        <f>K27*'aij-UNIFAC (VLE)'!$X14/K$43</f>
        <v>0</v>
      </c>
      <c r="R27" s="37">
        <f>L27*'aij-UNIFAC (VLE)'!$X14/L$43</f>
        <v>0</v>
      </c>
      <c r="S27" s="37">
        <f>M27*'aij-UNIFAC (VLE)'!$X14/M$43</f>
        <v>0</v>
      </c>
      <c r="T27" s="37">
        <f>N27*'aij-UNIFAC (VLE)'!$X14/N$43</f>
        <v>0</v>
      </c>
      <c r="U27" s="76">
        <f>O27*'aij-UNIFAC (VLE)'!$X14/O$43</f>
        <v>0</v>
      </c>
      <c r="V27" s="69">
        <v>0.80083584344933789</v>
      </c>
      <c r="W27" s="37">
        <v>0.32590440781116681</v>
      </c>
      <c r="X27" s="37">
        <v>0.82622092991971408</v>
      </c>
      <c r="Y27" s="38">
        <v>0.79528308999620678</v>
      </c>
      <c r="Z27" s="38">
        <v>0.82764652616706802</v>
      </c>
      <c r="AA27" s="72">
        <v>0.40588544741446436</v>
      </c>
      <c r="AB27" s="73">
        <f t="shared" si="2"/>
        <v>0</v>
      </c>
      <c r="AC27" s="74">
        <f t="shared" si="2"/>
        <v>0</v>
      </c>
      <c r="AD27" s="74">
        <f t="shared" si="2"/>
        <v>0</v>
      </c>
      <c r="AE27" s="74">
        <f t="shared" si="2"/>
        <v>0</v>
      </c>
      <c r="AF27" s="74">
        <f t="shared" si="2"/>
        <v>0</v>
      </c>
      <c r="AG27" s="70">
        <f t="shared" si="2"/>
        <v>0</v>
      </c>
      <c r="AH27" s="69">
        <v>0.87746653948182973</v>
      </c>
      <c r="AI27" s="38">
        <v>6.1002308510101563E-2</v>
      </c>
      <c r="AJ27" s="38">
        <v>0.94229526920836681</v>
      </c>
      <c r="AK27" s="38">
        <v>0.80766278114816681</v>
      </c>
      <c r="AL27" s="38">
        <v>1.0350101817606312</v>
      </c>
      <c r="AM27" s="72">
        <v>0.26738319652291903</v>
      </c>
      <c r="AN27" s="75">
        <f>'aij-UNIFAC (VLE)'!$X14*(1-LN(V27)-AH27)</f>
        <v>4.1355930353862612E-2</v>
      </c>
      <c r="AO27" s="38">
        <f>'aij-UNIFAC (VLE)'!$X14*(1-LN(W27)-AI27)</f>
        <v>0.24721786316136557</v>
      </c>
      <c r="AP27" s="38">
        <f>'aij-UNIFAC (VLE)'!$X14*(1-LN(X27)-AJ27)</f>
        <v>2.9831736285595278E-2</v>
      </c>
      <c r="AQ27" s="38">
        <f>'aij-UNIFAC (VLE)'!$X14*(1-LN(Y27)-AK27)</f>
        <v>5.0567323022207629E-2</v>
      </c>
      <c r="AR27" s="38">
        <f>'aij-UNIFAC (VLE)'!$X14*(1-LN(Z27)-AL27)</f>
        <v>1.8499072169847572E-2</v>
      </c>
      <c r="AS27" s="72">
        <f>'aij-UNIFAC (VLE)'!$X14*(1-LN(AA27)-AM27)</f>
        <v>0.19611613342734288</v>
      </c>
    </row>
    <row r="28" spans="1:49" s="38" customFormat="1" ht="10" x14ac:dyDescent="0.2">
      <c r="A28" s="51">
        <v>11</v>
      </c>
      <c r="B28" s="38" t="str">
        <f>'aij-UNIFAC (VLE)'!V15</f>
        <v>ACCH3</v>
      </c>
      <c r="C28" s="44"/>
      <c r="D28" s="44"/>
      <c r="E28" s="44"/>
      <c r="F28" s="44"/>
      <c r="G28" s="44"/>
      <c r="H28" s="38">
        <f t="array" ref="H28">SUM(C28:G28*$C$21:$G$21)</f>
        <v>0</v>
      </c>
      <c r="I28" s="37" t="str">
        <f t="shared" si="0"/>
        <v>ACCH3</v>
      </c>
      <c r="J28" s="69">
        <f t="shared" si="1"/>
        <v>0</v>
      </c>
      <c r="K28" s="37">
        <f t="shared" si="1"/>
        <v>0</v>
      </c>
      <c r="L28" s="37">
        <f t="shared" si="1"/>
        <v>0</v>
      </c>
      <c r="M28" s="37">
        <f t="shared" si="1"/>
        <v>0</v>
      </c>
      <c r="N28" s="37">
        <f t="shared" si="1"/>
        <v>0</v>
      </c>
      <c r="O28" s="70">
        <f t="shared" si="3"/>
        <v>0</v>
      </c>
      <c r="P28" s="69">
        <f>J28*'aij-UNIFAC (VLE)'!$X15/J$43</f>
        <v>0</v>
      </c>
      <c r="Q28" s="37">
        <f>K28*'aij-UNIFAC (VLE)'!$X15/K$43</f>
        <v>0</v>
      </c>
      <c r="R28" s="37">
        <f>L28*'aij-UNIFAC (VLE)'!$X15/L$43</f>
        <v>0</v>
      </c>
      <c r="S28" s="37">
        <f>M28*'aij-UNIFAC (VLE)'!$X15/M$43</f>
        <v>0</v>
      </c>
      <c r="T28" s="37">
        <f>N28*'aij-UNIFAC (VLE)'!$X15/N$43</f>
        <v>0</v>
      </c>
      <c r="U28" s="76">
        <f>O28*'aij-UNIFAC (VLE)'!$X15/O$43</f>
        <v>0</v>
      </c>
      <c r="V28" s="69">
        <v>0.8406770750321122</v>
      </c>
      <c r="W28" s="37">
        <v>0.31083358647589621</v>
      </c>
      <c r="X28" s="37">
        <v>0.77411488838678166</v>
      </c>
      <c r="Y28" s="38">
        <v>0.85133793306150696</v>
      </c>
      <c r="Z28" s="38">
        <v>0.78920263365137722</v>
      </c>
      <c r="AA28" s="72">
        <v>0.40293427445084751</v>
      </c>
      <c r="AB28" s="73">
        <f t="shared" si="2"/>
        <v>0</v>
      </c>
      <c r="AC28" s="74">
        <f t="shared" si="2"/>
        <v>0</v>
      </c>
      <c r="AD28" s="74">
        <f t="shared" si="2"/>
        <v>0</v>
      </c>
      <c r="AE28" s="74">
        <f t="shared" si="2"/>
        <v>0</v>
      </c>
      <c r="AF28" s="74">
        <f t="shared" si="2"/>
        <v>0</v>
      </c>
      <c r="AG28" s="70">
        <f t="shared" si="2"/>
        <v>0</v>
      </c>
      <c r="AH28" s="69">
        <v>0.97363121409328668</v>
      </c>
      <c r="AI28" s="38">
        <v>2.219509078485209E-8</v>
      </c>
      <c r="AJ28" s="38">
        <v>0.98990243110058707</v>
      </c>
      <c r="AK28" s="38">
        <v>0.88838925437575489</v>
      </c>
      <c r="AL28" s="38">
        <v>1.2407168387756056</v>
      </c>
      <c r="AM28" s="72">
        <v>0.24602826609121795</v>
      </c>
      <c r="AN28" s="75">
        <f>'aij-UNIFAC (VLE)'!$X15*(1-LN(V28)-AH28)</f>
        <v>0.19351912943099339</v>
      </c>
      <c r="AO28" s="38">
        <f>'aij-UNIFAC (VLE)'!$X15*(1-LN(W28)-AI28)</f>
        <v>2.0991056569926396</v>
      </c>
      <c r="AP28" s="38">
        <f>'aij-UNIFAC (VLE)'!$X15*(1-LN(X28)-AJ28)</f>
        <v>0.25761630907653937</v>
      </c>
      <c r="AQ28" s="38">
        <f>'aij-UNIFAC (VLE)'!$X15*(1-LN(Y28)-AK28)</f>
        <v>0.26383505376767752</v>
      </c>
      <c r="AR28" s="38">
        <f>'aij-UNIFAC (VLE)'!$X15*(1-LN(Z28)-AL28)</f>
        <v>-3.8571615779860353E-3</v>
      </c>
      <c r="AS28" s="72">
        <f>'aij-UNIFAC (VLE)'!$X15*(1-LN(AA28)-AM28)</f>
        <v>1.6097390411796504</v>
      </c>
    </row>
    <row r="29" spans="1:49" s="38" customFormat="1" ht="10" x14ac:dyDescent="0.2">
      <c r="A29" s="51">
        <v>12</v>
      </c>
      <c r="B29" s="38" t="str">
        <f>'aij-UNIFAC (VLE)'!V16</f>
        <v>ACCH2</v>
      </c>
      <c r="C29" s="44"/>
      <c r="D29" s="44"/>
      <c r="E29" s="44"/>
      <c r="F29" s="44"/>
      <c r="G29" s="44"/>
      <c r="H29" s="38">
        <f t="array" ref="H29">SUM(C29:G29*$C$21:$G$21)</f>
        <v>0</v>
      </c>
      <c r="I29" s="37" t="str">
        <f t="shared" si="0"/>
        <v>ACCH2</v>
      </c>
      <c r="J29" s="69">
        <f t="shared" si="1"/>
        <v>0</v>
      </c>
      <c r="K29" s="37">
        <f t="shared" si="1"/>
        <v>0</v>
      </c>
      <c r="L29" s="37">
        <f t="shared" si="1"/>
        <v>0</v>
      </c>
      <c r="M29" s="37">
        <f t="shared" si="1"/>
        <v>0</v>
      </c>
      <c r="N29" s="37">
        <f t="shared" si="1"/>
        <v>0</v>
      </c>
      <c r="O29" s="70">
        <f t="shared" si="3"/>
        <v>0</v>
      </c>
      <c r="P29" s="69">
        <f>J29*'aij-UNIFAC (VLE)'!$X16/J$43</f>
        <v>0</v>
      </c>
      <c r="Q29" s="37">
        <f>K29*'aij-UNIFAC (VLE)'!$X16/K$43</f>
        <v>0</v>
      </c>
      <c r="R29" s="37">
        <f>L29*'aij-UNIFAC (VLE)'!$X16/L$43</f>
        <v>0</v>
      </c>
      <c r="S29" s="37">
        <f>M29*'aij-UNIFAC (VLE)'!$X16/M$43</f>
        <v>0</v>
      </c>
      <c r="T29" s="37">
        <f>N29*'aij-UNIFAC (VLE)'!$X16/N$43</f>
        <v>0</v>
      </c>
      <c r="U29" s="76">
        <f>O29*'aij-UNIFAC (VLE)'!$X16/O$43</f>
        <v>0</v>
      </c>
      <c r="V29" s="69">
        <v>0.8406770750321122</v>
      </c>
      <c r="W29" s="37">
        <v>0.31083358647589621</v>
      </c>
      <c r="X29" s="37">
        <v>0.77411488838678166</v>
      </c>
      <c r="Y29" s="38">
        <v>0.85133793306150696</v>
      </c>
      <c r="Z29" s="38">
        <v>0.78920263365137722</v>
      </c>
      <c r="AA29" s="72">
        <v>0.40293427445084751</v>
      </c>
      <c r="AB29" s="73">
        <f t="shared" si="2"/>
        <v>0</v>
      </c>
      <c r="AC29" s="74">
        <f t="shared" si="2"/>
        <v>0</v>
      </c>
      <c r="AD29" s="74">
        <f t="shared" si="2"/>
        <v>0</v>
      </c>
      <c r="AE29" s="74">
        <f t="shared" si="2"/>
        <v>0</v>
      </c>
      <c r="AF29" s="74">
        <f t="shared" si="2"/>
        <v>0</v>
      </c>
      <c r="AG29" s="70">
        <f t="shared" si="2"/>
        <v>0</v>
      </c>
      <c r="AH29" s="69">
        <v>0.97363121409328668</v>
      </c>
      <c r="AI29" s="38">
        <v>2.219509078485209E-8</v>
      </c>
      <c r="AJ29" s="38">
        <v>0.98990243110058707</v>
      </c>
      <c r="AK29" s="38">
        <v>0.88838925437575489</v>
      </c>
      <c r="AL29" s="38">
        <v>1.2407168387756056</v>
      </c>
      <c r="AM29" s="72">
        <v>0.24602826609121795</v>
      </c>
      <c r="AN29" s="75">
        <f>'aij-UNIFAC (VLE)'!$X16*(1-LN(V29)-AH29)</f>
        <v>0.13194486097567734</v>
      </c>
      <c r="AO29" s="38">
        <f>'aij-UNIFAC (VLE)'!$X16*(1-LN(W29)-AI29)</f>
        <v>1.4312084024949816</v>
      </c>
      <c r="AP29" s="38">
        <f>'aij-UNIFAC (VLE)'!$X16*(1-LN(X29)-AJ29)</f>
        <v>0.17564748346127684</v>
      </c>
      <c r="AQ29" s="38">
        <f>'aij-UNIFAC (VLE)'!$X16*(1-LN(Y29)-AK29)</f>
        <v>0.17988753665978013</v>
      </c>
      <c r="AR29" s="38">
        <f>'aij-UNIFAC (VLE)'!$X16*(1-LN(Z29)-AL29)</f>
        <v>-2.629882894081388E-3</v>
      </c>
      <c r="AS29" s="72">
        <f>'aij-UNIFAC (VLE)'!$X16*(1-LN(AA29)-AM29)</f>
        <v>1.0975493462588526</v>
      </c>
    </row>
    <row r="30" spans="1:49" s="38" customFormat="1" ht="10" x14ac:dyDescent="0.2">
      <c r="A30" s="51">
        <v>14</v>
      </c>
      <c r="B30" s="38" t="str">
        <f>'aij-UNIFAC (VLE)'!V17</f>
        <v>OH</v>
      </c>
      <c r="C30" s="44">
        <v>1</v>
      </c>
      <c r="D30" s="44"/>
      <c r="E30" s="44"/>
      <c r="F30" s="44">
        <v>1</v>
      </c>
      <c r="G30" s="44"/>
      <c r="H30" s="38">
        <f t="array" ref="H30">SUM(C30:G30*$C$21:$G$21)</f>
        <v>0.1</v>
      </c>
      <c r="I30" s="37" t="str">
        <f t="shared" si="0"/>
        <v>OH</v>
      </c>
      <c r="J30" s="69">
        <f t="shared" si="1"/>
        <v>0.25</v>
      </c>
      <c r="K30" s="37">
        <f t="shared" si="1"/>
        <v>0</v>
      </c>
      <c r="L30" s="37">
        <f t="shared" si="1"/>
        <v>0</v>
      </c>
      <c r="M30" s="37">
        <f t="shared" si="1"/>
        <v>0.33333333333333331</v>
      </c>
      <c r="N30" s="37">
        <f t="shared" si="1"/>
        <v>0</v>
      </c>
      <c r="O30" s="70">
        <f t="shared" si="3"/>
        <v>8.3333333333333329E-2</v>
      </c>
      <c r="P30" s="69">
        <f>J30*'aij-UNIFAC (VLE)'!$X17/J$43</f>
        <v>0.38412291933418696</v>
      </c>
      <c r="Q30" s="37">
        <f>K30*'aij-UNIFAC (VLE)'!$X17/K$43</f>
        <v>0</v>
      </c>
      <c r="R30" s="37">
        <f>L30*'aij-UNIFAC (VLE)'!$X17/L$43</f>
        <v>0</v>
      </c>
      <c r="S30" s="37">
        <f>M30*'aij-UNIFAC (VLE)'!$X17/M$43</f>
        <v>0.46367851622874806</v>
      </c>
      <c r="T30" s="37">
        <f>N30*'aij-UNIFAC (VLE)'!$X17/N$43</f>
        <v>0</v>
      </c>
      <c r="U30" s="76">
        <f>O30*'aij-UNIFAC (VLE)'!$X17/O$43</f>
        <v>7.900974453515934E-2</v>
      </c>
      <c r="V30" s="69">
        <v>0.41320975019353601</v>
      </c>
      <c r="W30" s="37">
        <v>2.0318743413470921</v>
      </c>
      <c r="X30" s="37">
        <v>0.77282424597561139</v>
      </c>
      <c r="Y30" s="38">
        <v>0.48900807106106098</v>
      </c>
      <c r="Z30" s="38">
        <v>4.7228305407799584E-2</v>
      </c>
      <c r="AA30" s="72">
        <v>1.7689735046668018</v>
      </c>
      <c r="AB30" s="73">
        <f t="shared" si="2"/>
        <v>0.92960758828724255</v>
      </c>
      <c r="AC30" s="74">
        <f t="shared" si="2"/>
        <v>0</v>
      </c>
      <c r="AD30" s="74">
        <f t="shared" si="2"/>
        <v>0</v>
      </c>
      <c r="AE30" s="74">
        <f t="shared" si="2"/>
        <v>0.94820217429673037</v>
      </c>
      <c r="AF30" s="74">
        <f t="shared" si="2"/>
        <v>0</v>
      </c>
      <c r="AG30" s="70">
        <f t="shared" si="2"/>
        <v>4.466417632978701E-2</v>
      </c>
      <c r="AH30" s="69">
        <v>1.3747981379226819</v>
      </c>
      <c r="AI30" s="38">
        <v>0.33490136191629782</v>
      </c>
      <c r="AJ30" s="38">
        <v>0.93414909023448822</v>
      </c>
      <c r="AK30" s="38">
        <v>1.3502798118806738</v>
      </c>
      <c r="AL30" s="38">
        <v>0.61632197511639641</v>
      </c>
      <c r="AM30" s="72">
        <v>0.48899432617951211</v>
      </c>
      <c r="AN30" s="75">
        <f>'aij-UNIFAC (VLE)'!$X17*(1-LN(V30)-AH30)</f>
        <v>0.610802168763113</v>
      </c>
      <c r="AO30" s="38">
        <f>'aij-UNIFAC (VLE)'!$X17*(1-LN(W30)-AI30)</f>
        <v>-5.263205979855172E-2</v>
      </c>
      <c r="AP30" s="38">
        <f>'aij-UNIFAC (VLE)'!$X17*(1-LN(X30)-AJ30)</f>
        <v>0.38826543857934764</v>
      </c>
      <c r="AQ30" s="38">
        <f>'aij-UNIFAC (VLE)'!$X17*(1-LN(Y30)-AK30)</f>
        <v>0.43811576703054927</v>
      </c>
      <c r="AR30" s="38">
        <f>'aij-UNIFAC (VLE)'!$X17*(1-LN(Z30)-AL30)</f>
        <v>4.1237278802084587</v>
      </c>
      <c r="AS30" s="72">
        <f>'aij-UNIFAC (VLE)'!$X17*(1-LN(AA30)-AM30)</f>
        <v>-7.1272516401943556E-2</v>
      </c>
    </row>
    <row r="31" spans="1:49" s="38" customFormat="1" ht="10" x14ac:dyDescent="0.2">
      <c r="A31" s="51">
        <v>15</v>
      </c>
      <c r="B31" s="38" t="str">
        <f>'aij-UNIFAC (VLE)'!V18</f>
        <v>CH3OH</v>
      </c>
      <c r="C31" s="44"/>
      <c r="D31" s="44"/>
      <c r="E31" s="44"/>
      <c r="F31" s="44"/>
      <c r="G31" s="44"/>
      <c r="H31" s="38">
        <f t="array" ref="H31">SUM(C31:G31*$C$21:$G$21)</f>
        <v>0</v>
      </c>
      <c r="I31" s="37" t="str">
        <f t="shared" si="0"/>
        <v>CH3OH</v>
      </c>
      <c r="J31" s="69">
        <f t="shared" si="1"/>
        <v>0</v>
      </c>
      <c r="K31" s="37">
        <f t="shared" si="1"/>
        <v>0</v>
      </c>
      <c r="L31" s="37">
        <f t="shared" si="1"/>
        <v>0</v>
      </c>
      <c r="M31" s="37">
        <f t="shared" si="1"/>
        <v>0</v>
      </c>
      <c r="N31" s="37">
        <f t="shared" si="1"/>
        <v>0</v>
      </c>
      <c r="O31" s="70">
        <f t="shared" si="3"/>
        <v>0</v>
      </c>
      <c r="P31" s="69">
        <f>J31*'aij-UNIFAC (VLE)'!$X18/J$43</f>
        <v>0</v>
      </c>
      <c r="Q31" s="37">
        <f>K31*'aij-UNIFAC (VLE)'!$X18/K$43</f>
        <v>0</v>
      </c>
      <c r="R31" s="37">
        <f>L31*'aij-UNIFAC (VLE)'!$X18/L$43</f>
        <v>0</v>
      </c>
      <c r="S31" s="37">
        <f>M31*'aij-UNIFAC (VLE)'!$X18/M$43</f>
        <v>0</v>
      </c>
      <c r="T31" s="37">
        <f>N31*'aij-UNIFAC (VLE)'!$X18/N$43</f>
        <v>0</v>
      </c>
      <c r="U31" s="76">
        <f>O31*'aij-UNIFAC (VLE)'!$X18/O$43</f>
        <v>0</v>
      </c>
      <c r="V31" s="69">
        <v>0.65831983533084659</v>
      </c>
      <c r="W31" s="37">
        <v>0.40812644213450555</v>
      </c>
      <c r="X31" s="37">
        <v>0.22516904037614971</v>
      </c>
      <c r="Y31" s="38">
        <v>0.77071982797173377</v>
      </c>
      <c r="Z31" s="38">
        <v>0.11561240817671192</v>
      </c>
      <c r="AA31" s="72">
        <v>0.46991151472778625</v>
      </c>
      <c r="AB31" s="73">
        <f t="shared" si="2"/>
        <v>0</v>
      </c>
      <c r="AC31" s="74">
        <f t="shared" si="2"/>
        <v>0</v>
      </c>
      <c r="AD31" s="74">
        <f t="shared" si="2"/>
        <v>0</v>
      </c>
      <c r="AE31" s="74">
        <f t="shared" si="2"/>
        <v>0</v>
      </c>
      <c r="AF31" s="74">
        <f t="shared" si="2"/>
        <v>0</v>
      </c>
      <c r="AG31" s="70">
        <f t="shared" si="2"/>
        <v>0</v>
      </c>
      <c r="AH31" s="69">
        <v>1.1164116060972176</v>
      </c>
      <c r="AI31" s="38">
        <v>1.7508675419816833</v>
      </c>
      <c r="AJ31" s="38">
        <v>2.3442312024380927</v>
      </c>
      <c r="AK31" s="38">
        <v>1.0585460416948693</v>
      </c>
      <c r="AL31" s="38">
        <v>0.95019236568193255</v>
      </c>
      <c r="AM31" s="72">
        <v>1.8999203025207705</v>
      </c>
      <c r="AN31" s="75">
        <f>'aij-UNIFAC (VLE)'!$X18*(1-LN(V31)-AH31)</f>
        <v>0.43196679201921989</v>
      </c>
      <c r="AO31" s="38">
        <f>'aij-UNIFAC (VLE)'!$X18*(1-LN(W31)-AI31)</f>
        <v>0.20808492729055419</v>
      </c>
      <c r="AP31" s="38">
        <f>'aij-UNIFAC (VLE)'!$X18*(1-LN(X31)-AJ31)</f>
        <v>0.2100352575064213</v>
      </c>
      <c r="AQ31" s="38">
        <f>'aij-UNIFAC (VLE)'!$X18*(1-LN(Y31)-AK31)</f>
        <v>0.28909834281752578</v>
      </c>
      <c r="AR31" s="38">
        <f>'aij-UNIFAC (VLE)'!$X18*(1-LN(Z31)-AL31)</f>
        <v>3.1608817039356123</v>
      </c>
      <c r="AS31" s="72">
        <f>'aij-UNIFAC (VLE)'!$X18*(1-LN(AA31)-AM31)</f>
        <v>-0.20722390946185687</v>
      </c>
    </row>
    <row r="32" spans="1:49" s="38" customFormat="1" ht="12.5" x14ac:dyDescent="0.25">
      <c r="A32" s="51">
        <v>16</v>
      </c>
      <c r="B32" s="38" t="str">
        <f>'aij-UNIFAC (VLE)'!V19</f>
        <v>H2O</v>
      </c>
      <c r="C32" s="44"/>
      <c r="D32" s="44">
        <v>1</v>
      </c>
      <c r="E32" s="44"/>
      <c r="F32" s="44"/>
      <c r="G32" s="44"/>
      <c r="H32" s="38">
        <f t="array" ref="H32">SUM(C32:G32*$C$21:$G$21)</f>
        <v>0.9</v>
      </c>
      <c r="I32" s="37" t="str">
        <f t="shared" si="0"/>
        <v>H2O</v>
      </c>
      <c r="J32" s="69">
        <f t="shared" si="1"/>
        <v>0</v>
      </c>
      <c r="K32" s="37">
        <f t="shared" si="1"/>
        <v>1</v>
      </c>
      <c r="L32" s="37">
        <f t="shared" si="1"/>
        <v>0</v>
      </c>
      <c r="M32" s="37">
        <f t="shared" si="1"/>
        <v>0</v>
      </c>
      <c r="N32" s="37">
        <f t="shared" si="1"/>
        <v>0</v>
      </c>
      <c r="O32" s="70">
        <f t="shared" si="3"/>
        <v>0.74999999999999989</v>
      </c>
      <c r="P32" s="69">
        <f>J32*'aij-UNIFAC (VLE)'!$X19/J$43</f>
        <v>0</v>
      </c>
      <c r="Q32" s="37">
        <f>K32*'aij-UNIFAC (VLE)'!$X19/K$43</f>
        <v>1</v>
      </c>
      <c r="R32" s="37">
        <f>L32*'aij-UNIFAC (VLE)'!$X19/L$43</f>
        <v>0</v>
      </c>
      <c r="S32" s="37">
        <f>M32*'aij-UNIFAC (VLE)'!$X19/M$43</f>
        <v>0</v>
      </c>
      <c r="T32" s="37">
        <f>N32*'aij-UNIFAC (VLE)'!$X19/N$43</f>
        <v>0</v>
      </c>
      <c r="U32" s="76">
        <f>O32*'aij-UNIFAC (VLE)'!$X19/O$43</f>
        <v>0.82960231761917302</v>
      </c>
      <c r="V32" s="69">
        <v>0.13907078448417337</v>
      </c>
      <c r="W32" s="37">
        <v>1</v>
      </c>
      <c r="X32" s="37">
        <v>0.58408841123960453</v>
      </c>
      <c r="Y32" s="38">
        <v>0.16436709598350147</v>
      </c>
      <c r="Z32" s="38">
        <v>1.6931131200104015E-2</v>
      </c>
      <c r="AA32" s="72">
        <v>0.85761008983442866</v>
      </c>
      <c r="AB32" s="73">
        <f t="shared" si="2"/>
        <v>0</v>
      </c>
      <c r="AC32" s="74">
        <f t="shared" si="2"/>
        <v>1</v>
      </c>
      <c r="AD32" s="74">
        <f t="shared" si="2"/>
        <v>0</v>
      </c>
      <c r="AE32" s="74">
        <f t="shared" si="2"/>
        <v>0</v>
      </c>
      <c r="AF32" s="74">
        <f t="shared" si="2"/>
        <v>0</v>
      </c>
      <c r="AG32" s="70">
        <f t="shared" si="2"/>
        <v>0.96734206774472198</v>
      </c>
      <c r="AH32" s="69">
        <v>2.1743128858894947</v>
      </c>
      <c r="AI32" s="38">
        <v>1</v>
      </c>
      <c r="AJ32" s="38">
        <v>1.2084867662455219</v>
      </c>
      <c r="AK32" s="38">
        <v>2.1844496933782915</v>
      </c>
      <c r="AL32" s="38">
        <v>0.39520073944109457</v>
      </c>
      <c r="AM32" s="72">
        <v>1.1352756709253011</v>
      </c>
      <c r="AN32" s="75">
        <f>'aij-UNIFAC (VLE)'!$X19*(1-LN(V32)-AH32)</f>
        <v>1.1178430881628605</v>
      </c>
      <c r="AO32" s="38">
        <f>'aij-UNIFAC (VLE)'!$X19*(1-LN(W32)-AI32)</f>
        <v>0</v>
      </c>
      <c r="AP32" s="38">
        <f>'aij-UNIFAC (VLE)'!$X19*(1-LN(X32)-AJ32)</f>
        <v>0.46090261316071152</v>
      </c>
      <c r="AQ32" s="38">
        <f>'aij-UNIFAC (VLE)'!$X19*(1-LN(Y32)-AK32)</f>
        <v>0.86968457673919364</v>
      </c>
      <c r="AR32" s="38">
        <f>'aij-UNIFAC (VLE)'!$X19*(1-LN(Z32)-AL32)</f>
        <v>6.556760741047361</v>
      </c>
      <c r="AS32" s="72">
        <f>'aij-UNIFAC (VLE)'!$X19*(1-LN(AA32)-AM32)</f>
        <v>2.5662073655092498E-2</v>
      </c>
      <c r="AT32" s="39"/>
      <c r="AU32" s="39"/>
    </row>
    <row r="33" spans="1:47" s="38" customFormat="1" ht="12.5" x14ac:dyDescent="0.25">
      <c r="A33" s="51">
        <v>17</v>
      </c>
      <c r="B33" s="38" t="str">
        <f>'aij-UNIFAC (VLE)'!V20</f>
        <v>ACOH</v>
      </c>
      <c r="C33" s="44"/>
      <c r="D33" s="44"/>
      <c r="E33" s="44"/>
      <c r="F33" s="44"/>
      <c r="G33" s="44"/>
      <c r="H33" s="38">
        <f t="array" ref="H33">SUM(C33:G33*$C$21:$G$21)</f>
        <v>0</v>
      </c>
      <c r="I33" s="37" t="str">
        <f t="shared" si="0"/>
        <v>ACOH</v>
      </c>
      <c r="J33" s="69">
        <f t="shared" si="1"/>
        <v>0</v>
      </c>
      <c r="K33" s="37">
        <f t="shared" si="1"/>
        <v>0</v>
      </c>
      <c r="L33" s="37">
        <f t="shared" si="1"/>
        <v>0</v>
      </c>
      <c r="M33" s="37">
        <f t="shared" si="1"/>
        <v>0</v>
      </c>
      <c r="N33" s="37">
        <f t="shared" si="1"/>
        <v>0</v>
      </c>
      <c r="O33" s="70">
        <f t="shared" si="3"/>
        <v>0</v>
      </c>
      <c r="P33" s="69">
        <f>J33*'aij-UNIFAC (VLE)'!$X20/J$43</f>
        <v>0</v>
      </c>
      <c r="Q33" s="37">
        <f>K33*'aij-UNIFAC (VLE)'!$X20/K$43</f>
        <v>0</v>
      </c>
      <c r="R33" s="37">
        <f>L33*'aij-UNIFAC (VLE)'!$X20/L$43</f>
        <v>0</v>
      </c>
      <c r="S33" s="37">
        <f>M33*'aij-UNIFAC (VLE)'!$X20/M$43</f>
        <v>0</v>
      </c>
      <c r="T33" s="37">
        <f>N33*'aij-UNIFAC (VLE)'!$X20/N$43</f>
        <v>0</v>
      </c>
      <c r="U33" s="76">
        <f>O33*'aij-UNIFAC (VLE)'!$X20/O$43</f>
        <v>0</v>
      </c>
      <c r="V33" s="69">
        <v>0.86796316426581532</v>
      </c>
      <c r="W33" s="37">
        <v>0.36634578402703127</v>
      </c>
      <c r="X33" s="37">
        <v>0.49342136585058194</v>
      </c>
      <c r="Y33" s="38">
        <v>1.0443792347865819</v>
      </c>
      <c r="Z33" s="38">
        <v>1.6163181975248467E-2</v>
      </c>
      <c r="AA33" s="72">
        <v>0.48188111261313327</v>
      </c>
      <c r="AB33" s="73">
        <f t="shared" si="2"/>
        <v>0</v>
      </c>
      <c r="AC33" s="74">
        <f t="shared" si="2"/>
        <v>0</v>
      </c>
      <c r="AD33" s="74">
        <f t="shared" si="2"/>
        <v>0</v>
      </c>
      <c r="AE33" s="74">
        <f t="shared" si="2"/>
        <v>0</v>
      </c>
      <c r="AF33" s="74">
        <f t="shared" si="2"/>
        <v>0</v>
      </c>
      <c r="AG33" s="70">
        <f t="shared" si="2"/>
        <v>0</v>
      </c>
      <c r="AH33" s="69">
        <v>4.0679732685854422</v>
      </c>
      <c r="AI33" s="38">
        <v>6.4384836399865595</v>
      </c>
      <c r="AJ33" s="38">
        <v>0.56597474000507619</v>
      </c>
      <c r="AK33" s="38">
        <v>4.1133944382302445</v>
      </c>
      <c r="AL33" s="38">
        <v>0.42593283091103873</v>
      </c>
      <c r="AM33" s="72">
        <v>6.4920683174987142</v>
      </c>
      <c r="AN33" s="75">
        <f>'aij-UNIFAC (VLE)'!$X20*(1-LN(V33)-AH33)</f>
        <v>-1.9899297407993388</v>
      </c>
      <c r="AO33" s="38">
        <f>'aij-UNIFAC (VLE)'!$X20*(1-LN(W33)-AI33)</f>
        <v>-3.0153280891781731</v>
      </c>
      <c r="AP33" s="38">
        <f>'aij-UNIFAC (VLE)'!$X20*(1-LN(X33)-AJ33)</f>
        <v>0.77548358210991331</v>
      </c>
      <c r="AQ33" s="38">
        <f>'aij-UNIFAC (VLE)'!$X20*(1-LN(Y33)-AK33)</f>
        <v>-2.1466356371405921</v>
      </c>
      <c r="AR33" s="38">
        <f>'aij-UNIFAC (VLE)'!$X20*(1-LN(Z33)-AL33)</f>
        <v>3.1953788267675898</v>
      </c>
      <c r="AS33" s="72">
        <f>'aij-UNIFAC (VLE)'!$X20*(1-LN(AA33)-AM33)</f>
        <v>-3.2381671181131098</v>
      </c>
      <c r="AT33" s="39"/>
      <c r="AU33" s="39"/>
    </row>
    <row r="34" spans="1:47" s="38" customFormat="1" ht="12.5" x14ac:dyDescent="0.25">
      <c r="A34" s="51">
        <v>18</v>
      </c>
      <c r="B34" s="38" t="str">
        <f>'aij-UNIFAC (VLE)'!V21</f>
        <v>CH3CO</v>
      </c>
      <c r="C34" s="44"/>
      <c r="D34" s="44"/>
      <c r="E34" s="44"/>
      <c r="F34" s="44"/>
      <c r="G34" s="44"/>
      <c r="H34" s="38">
        <f t="array" ref="H34">SUM(C34:G34*$C$21:$G$21)</f>
        <v>0</v>
      </c>
      <c r="I34" s="37" t="str">
        <f t="shared" si="0"/>
        <v>CH3CO</v>
      </c>
      <c r="J34" s="69">
        <f t="shared" si="1"/>
        <v>0</v>
      </c>
      <c r="K34" s="37">
        <f t="shared" si="1"/>
        <v>0</v>
      </c>
      <c r="L34" s="37">
        <f t="shared" si="1"/>
        <v>0</v>
      </c>
      <c r="M34" s="37">
        <f t="shared" si="1"/>
        <v>0</v>
      </c>
      <c r="N34" s="37">
        <f t="shared" si="1"/>
        <v>0</v>
      </c>
      <c r="O34" s="70">
        <f t="shared" si="3"/>
        <v>0</v>
      </c>
      <c r="P34" s="69">
        <f>J34*'aij-UNIFAC (VLE)'!$X21/J$43</f>
        <v>0</v>
      </c>
      <c r="Q34" s="37">
        <f>K34*'aij-UNIFAC (VLE)'!$X21/K$43</f>
        <v>0</v>
      </c>
      <c r="R34" s="37">
        <f>L34*'aij-UNIFAC (VLE)'!$X21/L$43</f>
        <v>0</v>
      </c>
      <c r="S34" s="37">
        <f>M34*'aij-UNIFAC (VLE)'!$X21/M$43</f>
        <v>0</v>
      </c>
      <c r="T34" s="37">
        <f>N34*'aij-UNIFAC (VLE)'!$X21/N$43</f>
        <v>0</v>
      </c>
      <c r="U34" s="76">
        <f>O34*'aij-UNIFAC (VLE)'!$X21/O$43</f>
        <v>0</v>
      </c>
      <c r="V34" s="69">
        <v>0.43720298594685597</v>
      </c>
      <c r="W34" s="37">
        <v>1.8306530343909249</v>
      </c>
      <c r="X34" s="37">
        <v>1.2993619204565925</v>
      </c>
      <c r="Y34" s="38">
        <v>0.48033355894711915</v>
      </c>
      <c r="Z34" s="38">
        <v>0.22895312974409279</v>
      </c>
      <c r="AA34" s="72">
        <v>1.6005617253016065</v>
      </c>
      <c r="AB34" s="73">
        <f t="shared" si="2"/>
        <v>0</v>
      </c>
      <c r="AC34" s="74">
        <f t="shared" si="2"/>
        <v>0</v>
      </c>
      <c r="AD34" s="74">
        <f t="shared" si="2"/>
        <v>0</v>
      </c>
      <c r="AE34" s="74">
        <f t="shared" si="2"/>
        <v>0</v>
      </c>
      <c r="AF34" s="74">
        <f t="shared" si="2"/>
        <v>0</v>
      </c>
      <c r="AG34" s="70">
        <f t="shared" si="2"/>
        <v>0</v>
      </c>
      <c r="AH34" s="69">
        <v>1.2236826635071745</v>
      </c>
      <c r="AI34" s="38">
        <v>0.23173303728556777</v>
      </c>
      <c r="AJ34" s="38">
        <v>0.80087683677948607</v>
      </c>
      <c r="AK34" s="38">
        <v>1.1704666425725363</v>
      </c>
      <c r="AL34" s="38">
        <v>0.92052617725454844</v>
      </c>
      <c r="AM34" s="72">
        <v>0.43078741832615408</v>
      </c>
      <c r="AN34" s="75">
        <f>'aij-UNIFAC (VLE)'!$X21*(1-LN(V34)-AH34)</f>
        <v>0.89826844388303995</v>
      </c>
      <c r="AO34" s="38">
        <f>'aij-UNIFAC (VLE)'!$X21*(1-LN(W34)-AI34)</f>
        <v>0.24342818466266167</v>
      </c>
      <c r="AP34" s="38">
        <f>'aij-UNIFAC (VLE)'!$X21*(1-LN(X34)-AJ34)</f>
        <v>-9.3372223694449225E-2</v>
      </c>
      <c r="AQ34" s="38">
        <f>'aij-UNIFAC (VLE)'!$X21*(1-LN(Y34)-AK34)</f>
        <v>0.83745809475113175</v>
      </c>
      <c r="AR34" s="38">
        <f>'aij-UNIFAC (VLE)'!$X21*(1-LN(Z34)-AL34)</f>
        <v>2.3119231475799062</v>
      </c>
      <c r="AS34" s="72">
        <f>'aij-UNIFAC (VLE)'!$X21*(1-LN(AA34)-AM34)</f>
        <v>0.14710060836352742</v>
      </c>
      <c r="AT34" s="39"/>
      <c r="AU34" s="39"/>
    </row>
    <row r="35" spans="1:47" s="38" customFormat="1" ht="12.5" x14ac:dyDescent="0.25">
      <c r="A35" s="51">
        <v>20</v>
      </c>
      <c r="B35" s="38" t="str">
        <f>'aij-UNIFAC (VLE)'!V22</f>
        <v>CHO</v>
      </c>
      <c r="C35" s="44"/>
      <c r="D35" s="44"/>
      <c r="E35" s="44"/>
      <c r="F35" s="44"/>
      <c r="G35" s="44"/>
      <c r="H35" s="38">
        <f t="array" ref="H35">SUM(C35:G35*$C$21:$G$21)</f>
        <v>0</v>
      </c>
      <c r="I35" s="37" t="str">
        <f t="shared" si="0"/>
        <v>CHO</v>
      </c>
      <c r="J35" s="69">
        <f t="shared" si="1"/>
        <v>0</v>
      </c>
      <c r="K35" s="37">
        <f t="shared" si="1"/>
        <v>0</v>
      </c>
      <c r="L35" s="37">
        <f t="shared" si="1"/>
        <v>0</v>
      </c>
      <c r="M35" s="37">
        <f t="shared" si="1"/>
        <v>0</v>
      </c>
      <c r="N35" s="37">
        <f t="shared" si="1"/>
        <v>0</v>
      </c>
      <c r="O35" s="70">
        <f t="shared" si="3"/>
        <v>0</v>
      </c>
      <c r="P35" s="69">
        <f>J35*'aij-UNIFAC (VLE)'!$X22/J$43</f>
        <v>0</v>
      </c>
      <c r="Q35" s="37">
        <f>K35*'aij-UNIFAC (VLE)'!$X22/K$43</f>
        <v>0</v>
      </c>
      <c r="R35" s="37">
        <f>L35*'aij-UNIFAC (VLE)'!$X22/L$43</f>
        <v>0</v>
      </c>
      <c r="S35" s="37">
        <f>M35*'aij-UNIFAC (VLE)'!$X22/M$43</f>
        <v>0</v>
      </c>
      <c r="T35" s="37">
        <f>N35*'aij-UNIFAC (VLE)'!$X22/N$43</f>
        <v>0</v>
      </c>
      <c r="U35" s="76">
        <f>O35*'aij-UNIFAC (VLE)'!$X22/O$43</f>
        <v>0</v>
      </c>
      <c r="V35" s="69">
        <v>0.79706381857178898</v>
      </c>
      <c r="W35" s="37">
        <v>1.4318487253857317</v>
      </c>
      <c r="X35" s="37">
        <v>0.84744126161929401</v>
      </c>
      <c r="Y35" s="38">
        <v>0.9366545099379755</v>
      </c>
      <c r="Z35" s="38">
        <v>0.12306995802012698</v>
      </c>
      <c r="AA35" s="72">
        <v>1.3474687787450421</v>
      </c>
      <c r="AB35" s="73">
        <f t="shared" si="2"/>
        <v>0</v>
      </c>
      <c r="AC35" s="74">
        <f t="shared" si="2"/>
        <v>0</v>
      </c>
      <c r="AD35" s="74">
        <f t="shared" si="2"/>
        <v>0</v>
      </c>
      <c r="AE35" s="74">
        <f t="shared" si="2"/>
        <v>0</v>
      </c>
      <c r="AF35" s="74">
        <f t="shared" si="2"/>
        <v>0</v>
      </c>
      <c r="AG35" s="70">
        <f t="shared" si="2"/>
        <v>0</v>
      </c>
      <c r="AH35" s="69">
        <v>0.33191054117852725</v>
      </c>
      <c r="AI35" s="38">
        <v>0.22585683863414432</v>
      </c>
      <c r="AJ35" s="38">
        <v>0.34417747423810813</v>
      </c>
      <c r="AK35" s="38">
        <v>0.32090086154598241</v>
      </c>
      <c r="AL35" s="38">
        <v>0.20910726322660816</v>
      </c>
      <c r="AM35" s="72">
        <v>0.26800878731573474</v>
      </c>
      <c r="AN35" s="75">
        <f>'aij-UNIFAC (VLE)'!$X22*(1-LN(V35)-AH35)</f>
        <v>0.84837466931488392</v>
      </c>
      <c r="AO35" s="38">
        <f>'aij-UNIFAC (VLE)'!$X22*(1-LN(W35)-AI35)</f>
        <v>0.3935875467752335</v>
      </c>
      <c r="AP35" s="38">
        <f>'aij-UNIFAC (VLE)'!$X22*(1-LN(X35)-AJ35)</f>
        <v>0.77864574937797526</v>
      </c>
      <c r="AQ35" s="38">
        <f>'aij-UNIFAC (VLE)'!$X22*(1-LN(Y35)-AK35)</f>
        <v>0.70582384660072284</v>
      </c>
      <c r="AR35" s="38">
        <f>'aij-UNIFAC (VLE)'!$X22*(1-LN(Z35)-AL35)</f>
        <v>2.7358285146777934</v>
      </c>
      <c r="AS35" s="72">
        <f>'aij-UNIFAC (VLE)'!$X22*(1-LN(AA35)-AM35)</f>
        <v>0.41120766425062844</v>
      </c>
      <c r="AT35" s="39"/>
      <c r="AU35" s="39"/>
    </row>
    <row r="36" spans="1:47" x14ac:dyDescent="0.35">
      <c r="A36" s="51">
        <v>21</v>
      </c>
      <c r="B36" s="38" t="str">
        <f>'aij-UNIFAC (VLE)'!V23</f>
        <v>CH3COO</v>
      </c>
      <c r="C36" s="44"/>
      <c r="D36" s="44"/>
      <c r="E36" s="44"/>
      <c r="F36" s="44"/>
      <c r="G36" s="44"/>
      <c r="H36" s="38">
        <f t="array" ref="H36">SUM(C36:G36*$C$21:$G$21)</f>
        <v>0</v>
      </c>
      <c r="I36" s="37" t="str">
        <f t="shared" si="0"/>
        <v>CH3COO</v>
      </c>
      <c r="J36" s="69">
        <f t="shared" si="1"/>
        <v>0</v>
      </c>
      <c r="K36" s="37">
        <f t="shared" si="1"/>
        <v>0</v>
      </c>
      <c r="L36" s="37">
        <f t="shared" si="1"/>
        <v>0</v>
      </c>
      <c r="M36" s="37">
        <f t="shared" si="1"/>
        <v>0</v>
      </c>
      <c r="N36" s="37">
        <f t="shared" si="1"/>
        <v>0</v>
      </c>
      <c r="O36" s="70">
        <f t="shared" si="3"/>
        <v>0</v>
      </c>
      <c r="P36" s="69">
        <f>J36*'aij-UNIFAC (VLE)'!$X23/J$43</f>
        <v>0</v>
      </c>
      <c r="Q36" s="37">
        <f>K36*'aij-UNIFAC (VLE)'!$X23/K$43</f>
        <v>0</v>
      </c>
      <c r="R36" s="37">
        <f>L36*'aij-UNIFAC (VLE)'!$X23/L$43</f>
        <v>0</v>
      </c>
      <c r="S36" s="37">
        <f>M36*'aij-UNIFAC (VLE)'!$X23/M$43</f>
        <v>0</v>
      </c>
      <c r="T36" s="37">
        <f>N36*'aij-UNIFAC (VLE)'!$X23/N$43</f>
        <v>0</v>
      </c>
      <c r="U36" s="76">
        <f>O36*'aij-UNIFAC (VLE)'!$X23/O$43</f>
        <v>0</v>
      </c>
      <c r="V36" s="69">
        <v>0.5812367384714896</v>
      </c>
      <c r="W36" s="37">
        <v>0.79811786313449185</v>
      </c>
      <c r="X36" s="37">
        <v>1.2948747944200614</v>
      </c>
      <c r="Y36" s="38">
        <v>0.600628043508314</v>
      </c>
      <c r="Z36" s="38">
        <v>0.4876085716145831</v>
      </c>
      <c r="AA36" s="72">
        <v>0.76446605557638359</v>
      </c>
      <c r="AB36" s="73">
        <f t="shared" si="2"/>
        <v>0</v>
      </c>
      <c r="AC36" s="74">
        <f t="shared" si="2"/>
        <v>0</v>
      </c>
      <c r="AD36" s="74">
        <f t="shared" si="2"/>
        <v>0</v>
      </c>
      <c r="AE36" s="74">
        <f t="shared" si="2"/>
        <v>0</v>
      </c>
      <c r="AF36" s="74">
        <f t="shared" si="2"/>
        <v>0</v>
      </c>
      <c r="AG36" s="70">
        <f t="shared" si="2"/>
        <v>0</v>
      </c>
      <c r="AH36" s="69">
        <v>0.94136090260743899</v>
      </c>
      <c r="AI36" s="38">
        <v>0.53720083576802591</v>
      </c>
      <c r="AJ36" s="38">
        <v>0.6392891255115547</v>
      </c>
      <c r="AK36" s="38">
        <v>0.90102615894230009</v>
      </c>
      <c r="AL36" s="38">
        <v>0.70099608384260437</v>
      </c>
      <c r="AM36" s="72">
        <v>0.67746003938894983</v>
      </c>
      <c r="AN36" s="75">
        <f>'aij-UNIFAC (VLE)'!$X23*(1-LN(V36)-AH36)</f>
        <v>1.0389362145402206</v>
      </c>
      <c r="AO36" s="38">
        <f>'aij-UNIFAC (VLE)'!$X23*(1-LN(W36)-AI36)</f>
        <v>1.1893792179002316</v>
      </c>
      <c r="AP36" s="38">
        <f>'aij-UNIFAC (VLE)'!$X23*(1-LN(X36)-AJ36)</f>
        <v>0.17676898765627555</v>
      </c>
      <c r="AQ36" s="38">
        <f>'aij-UNIFAC (VLE)'!$X23*(1-LN(Y36)-AK36)</f>
        <v>1.0519256559040684</v>
      </c>
      <c r="AR36" s="38">
        <f>'aij-UNIFAC (VLE)'!$X23*(1-LN(Z36)-AL36)</f>
        <v>1.757801465557238</v>
      </c>
      <c r="AS36" s="72">
        <f>'aij-UNIFAC (VLE)'!$X23*(1-LN(AA36)-AM36)</f>
        <v>1.0214512404921221</v>
      </c>
      <c r="AT36" s="39"/>
      <c r="AU36" s="39"/>
    </row>
    <row r="37" spans="1:47" x14ac:dyDescent="0.35">
      <c r="A37" s="51">
        <v>29</v>
      </c>
      <c r="B37" s="38" t="str">
        <f>'aij-UNIFAC (VLE)'!V24</f>
        <v>CH2NH2</v>
      </c>
      <c r="C37" s="44"/>
      <c r="D37" s="44"/>
      <c r="E37" s="44"/>
      <c r="F37" s="44"/>
      <c r="G37" s="44"/>
      <c r="H37" s="38">
        <f t="array" ref="H37">SUM(C37:G37*$C$21:$G$21)</f>
        <v>0</v>
      </c>
      <c r="I37" s="37" t="str">
        <f t="shared" si="0"/>
        <v>CH2NH2</v>
      </c>
      <c r="J37" s="69">
        <f t="shared" si="1"/>
        <v>0</v>
      </c>
      <c r="K37" s="37">
        <f t="shared" si="1"/>
        <v>0</v>
      </c>
      <c r="L37" s="37">
        <f t="shared" si="1"/>
        <v>0</v>
      </c>
      <c r="M37" s="37">
        <f t="shared" si="1"/>
        <v>0</v>
      </c>
      <c r="N37" s="37">
        <f t="shared" si="1"/>
        <v>0</v>
      </c>
      <c r="O37" s="70">
        <f t="shared" si="3"/>
        <v>0</v>
      </c>
      <c r="P37" s="69">
        <f>J37*'aij-UNIFAC (VLE)'!$X24/J$43</f>
        <v>0</v>
      </c>
      <c r="Q37" s="37">
        <f>K37*'aij-UNIFAC (VLE)'!$X24/K$43</f>
        <v>0</v>
      </c>
      <c r="R37" s="37">
        <f>L37*'aij-UNIFAC (VLE)'!$X24/L$43</f>
        <v>0</v>
      </c>
      <c r="S37" s="37">
        <f>M37*'aij-UNIFAC (VLE)'!$X24/M$43</f>
        <v>0</v>
      </c>
      <c r="T37" s="37">
        <f>N37*'aij-UNIFAC (VLE)'!$X24/N$43</f>
        <v>0</v>
      </c>
      <c r="U37" s="76">
        <f>O37*'aij-UNIFAC (VLE)'!$X24/O$43</f>
        <v>0</v>
      </c>
      <c r="V37" s="69">
        <v>0.55736191928967538</v>
      </c>
      <c r="W37" s="37">
        <v>0.85959668585319238</v>
      </c>
      <c r="X37" s="37">
        <v>0.62682718785808955</v>
      </c>
      <c r="Y37" s="38">
        <v>0.61113073003299867</v>
      </c>
      <c r="Z37" s="38">
        <v>0.29774684055139039</v>
      </c>
      <c r="AA37" s="72">
        <v>0.81725866283089443</v>
      </c>
      <c r="AB37" s="73">
        <f t="shared" si="2"/>
        <v>0</v>
      </c>
      <c r="AC37" s="74">
        <f t="shared" si="2"/>
        <v>0</v>
      </c>
      <c r="AD37" s="74">
        <f t="shared" si="2"/>
        <v>0</v>
      </c>
      <c r="AE37" s="74">
        <f t="shared" si="2"/>
        <v>0</v>
      </c>
      <c r="AF37" s="74">
        <f t="shared" si="2"/>
        <v>0</v>
      </c>
      <c r="AG37" s="70">
        <f t="shared" si="2"/>
        <v>0</v>
      </c>
      <c r="AH37" s="69">
        <v>2.7644281006509885</v>
      </c>
      <c r="AI37" s="38">
        <v>2.779956837537378</v>
      </c>
      <c r="AJ37" s="38">
        <v>1.697739480975871</v>
      </c>
      <c r="AK37" s="38">
        <v>2.726975083041677</v>
      </c>
      <c r="AL37" s="38">
        <v>1.0989130143959447</v>
      </c>
      <c r="AM37" s="72">
        <v>2.9984660238385747</v>
      </c>
      <c r="AN37" s="75">
        <f>'aij-UNIFAC (VLE)'!$X24*(1-LN(V37)-AH37)</f>
        <v>-1.4583410932790903</v>
      </c>
      <c r="AO37" s="38">
        <f>'aij-UNIFAC (VLE)'!$X24*(1-LN(W37)-AI37)</f>
        <v>-2.0130297766797209</v>
      </c>
      <c r="AP37" s="38">
        <f>'aij-UNIFAC (VLE)'!$X24*(1-LN(X37)-AJ37)</f>
        <v>-0.28508968776186089</v>
      </c>
      <c r="AQ37" s="38">
        <f>'aij-UNIFAC (VLE)'!$X24*(1-LN(Y37)-AK37)</f>
        <v>-1.5258799465829997</v>
      </c>
      <c r="AR37" s="38">
        <f>'aij-UNIFAC (VLE)'!$X24*(1-LN(Z37)-AL37)</f>
        <v>1.3751719530121205</v>
      </c>
      <c r="AS37" s="72">
        <f>'aij-UNIFAC (VLE)'!$X24*(1-LN(AA37)-AM37)</f>
        <v>-2.2206796585111634</v>
      </c>
      <c r="AT37" s="39"/>
      <c r="AU37" s="39"/>
    </row>
    <row r="38" spans="1:47" x14ac:dyDescent="0.35">
      <c r="A38" s="51">
        <v>36</v>
      </c>
      <c r="B38" s="38" t="str">
        <f>'aij-UNIFAC (VLE)'!V25</f>
        <v>ACNH2</v>
      </c>
      <c r="C38" s="44"/>
      <c r="D38" s="44"/>
      <c r="E38" s="44"/>
      <c r="F38" s="44"/>
      <c r="G38" s="44"/>
      <c r="H38" s="38">
        <f t="array" ref="H38">SUM(C38:G38*$C$21:$G$21)</f>
        <v>0</v>
      </c>
      <c r="I38" s="37" t="str">
        <f t="shared" si="0"/>
        <v>ACNH2</v>
      </c>
      <c r="J38" s="69">
        <f t="shared" si="1"/>
        <v>0</v>
      </c>
      <c r="K38" s="37">
        <f t="shared" si="1"/>
        <v>0</v>
      </c>
      <c r="L38" s="37">
        <f t="shared" si="1"/>
        <v>0</v>
      </c>
      <c r="M38" s="37">
        <f t="shared" si="1"/>
        <v>0</v>
      </c>
      <c r="N38" s="37">
        <f t="shared" si="1"/>
        <v>0</v>
      </c>
      <c r="O38" s="70">
        <f t="shared" si="3"/>
        <v>0</v>
      </c>
      <c r="P38" s="69">
        <f>J38*'aij-UNIFAC (VLE)'!$X25/J$43</f>
        <v>0</v>
      </c>
      <c r="Q38" s="37">
        <f>K38*'aij-UNIFAC (VLE)'!$X25/K$43</f>
        <v>0</v>
      </c>
      <c r="R38" s="37">
        <f>L38*'aij-UNIFAC (VLE)'!$X25/L$43</f>
        <v>0</v>
      </c>
      <c r="S38" s="37">
        <f>M38*'aij-UNIFAC (VLE)'!$X25/M$43</f>
        <v>0</v>
      </c>
      <c r="T38" s="37">
        <f>N38*'aij-UNIFAC (VLE)'!$X25/N$43</f>
        <v>0</v>
      </c>
      <c r="U38" s="76">
        <f>O38*'aij-UNIFAC (VLE)'!$X25/O$43</f>
        <v>0</v>
      </c>
      <c r="V38" s="73">
        <v>0.48738595873663948</v>
      </c>
      <c r="W38" s="74">
        <v>0.47114391685057883</v>
      </c>
      <c r="X38" s="74">
        <v>0.13242922501053953</v>
      </c>
      <c r="Y38" s="74">
        <v>0.57633792233098069</v>
      </c>
      <c r="Z38" s="74">
        <v>5.7894015113215368E-2</v>
      </c>
      <c r="AA38" s="70">
        <v>0.48906873158479536</v>
      </c>
      <c r="AB38" s="73">
        <f t="shared" si="2"/>
        <v>0</v>
      </c>
      <c r="AC38" s="74">
        <f t="shared" si="2"/>
        <v>0</v>
      </c>
      <c r="AD38" s="74">
        <f t="shared" si="2"/>
        <v>0</v>
      </c>
      <c r="AE38" s="74">
        <f t="shared" si="2"/>
        <v>0</v>
      </c>
      <c r="AF38" s="74">
        <f t="shared" si="2"/>
        <v>0</v>
      </c>
      <c r="AG38" s="70">
        <f t="shared" si="2"/>
        <v>0</v>
      </c>
      <c r="AH38" s="73">
        <v>1.0023152719136388</v>
      </c>
      <c r="AI38" s="74">
        <v>2.8779960289993318</v>
      </c>
      <c r="AJ38" s="74">
        <v>2.9951489016328874</v>
      </c>
      <c r="AK38" s="74">
        <v>1.0198776562357952</v>
      </c>
      <c r="AL38" s="74">
        <v>2.9461264635342713E-2</v>
      </c>
      <c r="AM38" s="70">
        <v>2.836895375172078</v>
      </c>
      <c r="AN38" s="75">
        <f>'aij-UNIFAC (VLE)'!$X25*(1-LN(V38)-AH38)</f>
        <v>0.584569078631341</v>
      </c>
      <c r="AO38" s="38">
        <f>'aij-UNIFAC (VLE)'!$X25*(1-LN(W38)-AI38)</f>
        <v>-0.91832995229845393</v>
      </c>
      <c r="AP38" s="38">
        <f>'aij-UNIFAC (VLE)'!$X25*(1-LN(X38)-AJ38)</f>
        <v>2.1671348804915062E-2</v>
      </c>
      <c r="AQ38" s="38">
        <f>'aij-UNIFAC (VLE)'!$X25*(1-LN(Y38)-AK38)</f>
        <v>0.43344570610251709</v>
      </c>
      <c r="AR38" s="38">
        <f>'aij-UNIFAC (VLE)'!$X25*(1-LN(Z38)-AL38)</f>
        <v>3.1168588808410975</v>
      </c>
      <c r="AS38" s="72">
        <f>'aij-UNIFAC (VLE)'!$X25*(1-LN(AA38)-AM38)</f>
        <v>-0.91526079503958302</v>
      </c>
      <c r="AT38" s="88"/>
      <c r="AU38" s="88"/>
    </row>
    <row r="39" spans="1:47" x14ac:dyDescent="0.35">
      <c r="A39" s="51">
        <v>42</v>
      </c>
      <c r="B39" s="38" t="str">
        <f>'aij-UNIFAC (VLE)'!V26</f>
        <v>COOH</v>
      </c>
      <c r="C39" s="44"/>
      <c r="D39" s="44"/>
      <c r="E39" s="44">
        <v>1</v>
      </c>
      <c r="F39" s="44"/>
      <c r="G39" s="44"/>
      <c r="H39" s="38">
        <f t="array" ref="H39">SUM(C39:G39*$C$21:$G$21)</f>
        <v>9.9999999999999995E-21</v>
      </c>
      <c r="I39" s="37" t="str">
        <f t="shared" si="0"/>
        <v>COOH</v>
      </c>
      <c r="J39" s="69">
        <f t="shared" si="1"/>
        <v>0</v>
      </c>
      <c r="K39" s="37">
        <f t="shared" si="1"/>
        <v>0</v>
      </c>
      <c r="L39" s="37">
        <f t="shared" si="1"/>
        <v>0.33333333333333331</v>
      </c>
      <c r="M39" s="37">
        <f t="shared" si="1"/>
        <v>0</v>
      </c>
      <c r="N39" s="37">
        <f t="shared" si="1"/>
        <v>0</v>
      </c>
      <c r="O39" s="70">
        <f t="shared" si="3"/>
        <v>8.3333333333333311E-21</v>
      </c>
      <c r="P39" s="69">
        <f>J39*'aij-UNIFAC (VLE)'!$X26/J$43</f>
        <v>0</v>
      </c>
      <c r="Q39" s="37">
        <f>K39*'aij-UNIFAC (VLE)'!$X26/K$43</f>
        <v>0</v>
      </c>
      <c r="R39" s="37">
        <f>L39*'aij-UNIFAC (VLE)'!$X26/L$43</f>
        <v>0.46860643185298623</v>
      </c>
      <c r="S39" s="37">
        <f>M39*'aij-UNIFAC (VLE)'!$X26/M$43</f>
        <v>0</v>
      </c>
      <c r="T39" s="37">
        <f>N39*'aij-UNIFAC (VLE)'!$X26/N$43</f>
        <v>0</v>
      </c>
      <c r="U39" s="76">
        <f>O39*'aij-UNIFAC (VLE)'!$X26/O$43</f>
        <v>8.0589939425862512E-21</v>
      </c>
      <c r="V39" s="73">
        <v>0.28653328246890564</v>
      </c>
      <c r="W39" s="74">
        <v>1.0445665789494911</v>
      </c>
      <c r="X39" s="74">
        <v>0.53679499627145122</v>
      </c>
      <c r="Y39" s="74">
        <v>0.31930073858199981</v>
      </c>
      <c r="Z39" s="74">
        <v>0.12832026675866756</v>
      </c>
      <c r="AA39" s="70">
        <v>0.9209829606408878</v>
      </c>
      <c r="AB39" s="73">
        <f t="shared" si="2"/>
        <v>0</v>
      </c>
      <c r="AC39" s="74">
        <f t="shared" si="2"/>
        <v>0</v>
      </c>
      <c r="AD39" s="74">
        <f t="shared" si="2"/>
        <v>0.87297093882748711</v>
      </c>
      <c r="AE39" s="74">
        <f t="shared" si="2"/>
        <v>0</v>
      </c>
      <c r="AF39" s="74">
        <f t="shared" si="2"/>
        <v>0</v>
      </c>
      <c r="AG39" s="70">
        <f t="shared" si="2"/>
        <v>8.7504267581435051E-21</v>
      </c>
      <c r="AH39" s="73">
        <v>1.7555857752925657</v>
      </c>
      <c r="AI39" s="74">
        <v>1.2272373529837439</v>
      </c>
      <c r="AJ39" s="74">
        <v>1.1558652570022019</v>
      </c>
      <c r="AK39" s="74">
        <v>1.7588893884547492</v>
      </c>
      <c r="AL39" s="74">
        <v>0.3769254427806869</v>
      </c>
      <c r="AM39" s="70">
        <v>1.3320387843967993</v>
      </c>
      <c r="AN39" s="75">
        <f>'aij-UNIFAC (VLE)'!$X26*(1-LN(V39)-AH39)</f>
        <v>0.60504132144969214</v>
      </c>
      <c r="AO39" s="38">
        <f>'aij-UNIFAC (VLE)'!$X26*(1-LN(W39)-AI39)</f>
        <v>-0.33150741994379385</v>
      </c>
      <c r="AP39" s="38">
        <f>'aij-UNIFAC (VLE)'!$X26*(1-LN(X39)-AJ39)</f>
        <v>0.57071907950781686</v>
      </c>
      <c r="AQ39" s="38">
        <f>'aij-UNIFAC (VLE)'!$X26*(1-LN(Y39)-AK39)</f>
        <v>0.46846455268106452</v>
      </c>
      <c r="AR39" s="38">
        <f>'aij-UNIFAC (VLE)'!$X26*(1-LN(Z39)-AL39)</f>
        <v>3.2757919505940754</v>
      </c>
      <c r="AS39" s="72">
        <f>'aij-UNIFAC (VLE)'!$X26*(1-LN(AA39)-AM39)</f>
        <v>-0.30566344965280995</v>
      </c>
      <c r="AT39" s="88"/>
      <c r="AU39" s="88"/>
    </row>
    <row r="40" spans="1:47" x14ac:dyDescent="0.35">
      <c r="A40" s="51">
        <v>49</v>
      </c>
      <c r="B40" s="38" t="str">
        <f>'aij-UNIFAC (VLE)'!V27</f>
        <v>CCL2</v>
      </c>
      <c r="C40" s="44"/>
      <c r="D40" s="44"/>
      <c r="E40" s="44"/>
      <c r="F40" s="44"/>
      <c r="G40" s="44"/>
      <c r="H40" s="38">
        <f t="array" ref="H40">SUM(C40:G40*$C$21:$G$21)</f>
        <v>0</v>
      </c>
      <c r="I40" s="37" t="str">
        <f t="shared" si="0"/>
        <v>CCL2</v>
      </c>
      <c r="J40" s="69">
        <f t="shared" si="1"/>
        <v>0</v>
      </c>
      <c r="K40" s="37">
        <f t="shared" si="1"/>
        <v>0</v>
      </c>
      <c r="L40" s="37">
        <f t="shared" si="1"/>
        <v>0</v>
      </c>
      <c r="M40" s="37">
        <f t="shared" si="1"/>
        <v>0</v>
      </c>
      <c r="N40" s="37">
        <f t="shared" si="1"/>
        <v>0</v>
      </c>
      <c r="O40" s="70">
        <f t="shared" si="3"/>
        <v>0</v>
      </c>
      <c r="P40" s="69">
        <f>J40*'aij-UNIFAC (VLE)'!$X27/J$43</f>
        <v>0</v>
      </c>
      <c r="Q40" s="37">
        <f>K40*'aij-UNIFAC (VLE)'!$X27/K$43</f>
        <v>0</v>
      </c>
      <c r="R40" s="37">
        <f>L40*'aij-UNIFAC (VLE)'!$X27/L$43</f>
        <v>0</v>
      </c>
      <c r="S40" s="37">
        <f>M40*'aij-UNIFAC (VLE)'!$X27/M$43</f>
        <v>0</v>
      </c>
      <c r="T40" s="37">
        <f>N40*'aij-UNIFAC (VLE)'!$X27/N$43</f>
        <v>0</v>
      </c>
      <c r="U40" s="76">
        <f>O40*'aij-UNIFAC (VLE)'!$X27/O$43</f>
        <v>0</v>
      </c>
      <c r="V40" s="73">
        <v>0.83534865149575843</v>
      </c>
      <c r="W40" s="74">
        <v>0.31783689800866988</v>
      </c>
      <c r="X40" s="74">
        <v>0.98807589023135045</v>
      </c>
      <c r="Y40" s="74">
        <v>0.83298952789486991</v>
      </c>
      <c r="Z40" s="74">
        <v>0.84673934530004824</v>
      </c>
      <c r="AA40" s="70">
        <v>0.40561771221366633</v>
      </c>
      <c r="AB40" s="73">
        <f t="shared" si="2"/>
        <v>0</v>
      </c>
      <c r="AC40" s="74">
        <f t="shared" si="2"/>
        <v>0</v>
      </c>
      <c r="AD40" s="74">
        <f t="shared" si="2"/>
        <v>0</v>
      </c>
      <c r="AE40" s="74">
        <f t="shared" si="2"/>
        <v>0</v>
      </c>
      <c r="AF40" s="74">
        <f t="shared" si="2"/>
        <v>0</v>
      </c>
      <c r="AG40" s="70">
        <f t="shared" si="2"/>
        <v>0</v>
      </c>
      <c r="AH40" s="73">
        <v>0.83164527659791243</v>
      </c>
      <c r="AI40" s="74">
        <v>0.11157043539492623</v>
      </c>
      <c r="AJ40" s="74">
        <v>0.83786163437174377</v>
      </c>
      <c r="AK40" s="74">
        <v>0.77233229955628824</v>
      </c>
      <c r="AL40" s="74">
        <v>0.89985310055972589</v>
      </c>
      <c r="AM40" s="70">
        <v>0.29239321905203575</v>
      </c>
      <c r="AN40" s="75">
        <f>'aij-UNIFAC (VLE)'!$X27*(1-LN(V40)-AH40)</f>
        <v>0.50428166443537004</v>
      </c>
      <c r="AO40" s="38">
        <f>'aij-UNIFAC (VLE)'!$X27*(1-LN(W40)-AI40)</f>
        <v>2.9461681200231582</v>
      </c>
      <c r="AP40" s="38">
        <f>'aij-UNIFAC (VLE)'!$X27*(1-LN(X40)-AJ40)</f>
        <v>0.25214623158850175</v>
      </c>
      <c r="AQ40" s="38">
        <f>'aij-UNIFAC (VLE)'!$X27*(1-LN(Y40)-AK40)</f>
        <v>0.59426196407678422</v>
      </c>
      <c r="AR40" s="38">
        <f>'aij-UNIFAC (VLE)'!$X27*(1-LN(Z40)-AL40)</f>
        <v>0.38590542275219675</v>
      </c>
      <c r="AS40" s="72">
        <f>'aij-UNIFAC (VLE)'!$X27*(1-LN(AA40)-AM40)</f>
        <v>2.331208960310212</v>
      </c>
      <c r="AT40" s="88"/>
      <c r="AU40" s="88"/>
    </row>
    <row r="41" spans="1:47" x14ac:dyDescent="0.35">
      <c r="A41" s="51">
        <v>51</v>
      </c>
      <c r="B41" s="38" t="str">
        <f>'aij-UNIFAC (VLE)'!V28</f>
        <v>CCL3</v>
      </c>
      <c r="C41" s="44"/>
      <c r="D41" s="44"/>
      <c r="E41" s="44"/>
      <c r="F41" s="44"/>
      <c r="G41" s="44"/>
      <c r="H41" s="38">
        <f t="array" ref="H41">SUM(C41:G41*$C$21:$G$21)</f>
        <v>0</v>
      </c>
      <c r="I41" s="37" t="str">
        <f t="shared" si="0"/>
        <v>CCL3</v>
      </c>
      <c r="J41" s="69">
        <f t="shared" si="1"/>
        <v>0</v>
      </c>
      <c r="K41" s="37">
        <f t="shared" si="1"/>
        <v>0</v>
      </c>
      <c r="L41" s="37">
        <f t="shared" si="1"/>
        <v>0</v>
      </c>
      <c r="M41" s="37">
        <f t="shared" si="1"/>
        <v>0</v>
      </c>
      <c r="N41" s="37">
        <f t="shared" si="1"/>
        <v>0</v>
      </c>
      <c r="O41" s="70">
        <f t="shared" si="3"/>
        <v>0</v>
      </c>
      <c r="P41" s="69">
        <f>J41*'aij-UNIFAC (VLE)'!$X28/J$43</f>
        <v>0</v>
      </c>
      <c r="Q41" s="37">
        <f>K41*'aij-UNIFAC (VLE)'!$X28/K$43</f>
        <v>0</v>
      </c>
      <c r="R41" s="37">
        <f>L41*'aij-UNIFAC (VLE)'!$X28/L$43</f>
        <v>0</v>
      </c>
      <c r="S41" s="37">
        <f>M41*'aij-UNIFAC (VLE)'!$X28/M$43</f>
        <v>0</v>
      </c>
      <c r="T41" s="37">
        <f>N41*'aij-UNIFAC (VLE)'!$X28/N$43</f>
        <v>0</v>
      </c>
      <c r="U41" s="76">
        <f>O41*'aij-UNIFAC (VLE)'!$X28/O$43</f>
        <v>0</v>
      </c>
      <c r="V41" s="73">
        <v>1.0906040373137689</v>
      </c>
      <c r="W41" s="74">
        <v>0.33469415303696021</v>
      </c>
      <c r="X41" s="74">
        <v>0.90650761717212891</v>
      </c>
      <c r="Y41" s="74">
        <v>1.1247283033670517</v>
      </c>
      <c r="Z41" s="74">
        <v>0.9258398571908284</v>
      </c>
      <c r="AA41" s="70">
        <v>0.46931414125491366</v>
      </c>
      <c r="AB41" s="73">
        <f t="shared" si="2"/>
        <v>0</v>
      </c>
      <c r="AC41" s="74">
        <f t="shared" si="2"/>
        <v>0</v>
      </c>
      <c r="AD41" s="74">
        <f t="shared" si="2"/>
        <v>0</v>
      </c>
      <c r="AE41" s="74">
        <f t="shared" si="2"/>
        <v>0</v>
      </c>
      <c r="AF41" s="74">
        <f t="shared" si="2"/>
        <v>0</v>
      </c>
      <c r="AG41" s="70">
        <f t="shared" si="2"/>
        <v>0</v>
      </c>
      <c r="AH41" s="73">
        <v>0.73831828597205917</v>
      </c>
      <c r="AI41" s="74">
        <v>7.7415819396466079E-2</v>
      </c>
      <c r="AJ41" s="74">
        <v>0.85334965658909367</v>
      </c>
      <c r="AK41" s="74">
        <v>0.67774713590977598</v>
      </c>
      <c r="AL41" s="74">
        <v>0.89264211122126103</v>
      </c>
      <c r="AM41" s="70">
        <v>0.25371198303563347</v>
      </c>
      <c r="AN41" s="75">
        <f>'aij-UNIFAC (VLE)'!$X28*(1-LN(V41)-AH41)</f>
        <v>0.3820908187936185</v>
      </c>
      <c r="AO41" s="38">
        <f>'aij-UNIFAC (VLE)'!$X28*(1-LN(W41)-AI41)</f>
        <v>4.4053951485968676</v>
      </c>
      <c r="AP41" s="38">
        <f>'aij-UNIFAC (VLE)'!$X28*(1-LN(X41)-AJ41)</f>
        <v>0.53465671764089184</v>
      </c>
      <c r="AQ41" s="38">
        <f>'aij-UNIFAC (VLE)'!$X28*(1-LN(Y41)-AK41)</f>
        <v>0.4470896227320405</v>
      </c>
      <c r="AR41" s="38">
        <f>'aij-UNIFAC (VLE)'!$X28*(1-LN(Z41)-AL41)</f>
        <v>0.40275556441691879</v>
      </c>
      <c r="AS41" s="72">
        <f>'aij-UNIFAC (VLE)'!$X28*(1-LN(AA41)-AM41)</f>
        <v>3.2820517350244844</v>
      </c>
      <c r="AT41" s="88"/>
      <c r="AU41" s="88"/>
    </row>
    <row r="42" spans="1:47" x14ac:dyDescent="0.35">
      <c r="A42" s="51">
        <v>99</v>
      </c>
      <c r="B42" s="38" t="str">
        <f>'aij-UNIFAC (VLE)'!V29</f>
        <v>CON(CH2)2</v>
      </c>
      <c r="C42" s="44"/>
      <c r="D42" s="44"/>
      <c r="E42" s="44"/>
      <c r="F42" s="44"/>
      <c r="G42" s="44"/>
      <c r="H42" s="38">
        <f t="array" ref="H42">SUM(C42:G42*$C$21:$G$21)</f>
        <v>0</v>
      </c>
      <c r="I42" s="37" t="str">
        <f t="shared" si="0"/>
        <v>CON(CH2)2</v>
      </c>
      <c r="J42" s="77">
        <f t="shared" si="1"/>
        <v>0</v>
      </c>
      <c r="K42" s="78">
        <f t="shared" si="1"/>
        <v>0</v>
      </c>
      <c r="L42" s="78">
        <f t="shared" si="1"/>
        <v>0</v>
      </c>
      <c r="M42" s="78">
        <f t="shared" si="1"/>
        <v>0</v>
      </c>
      <c r="N42" s="78">
        <f t="shared" si="1"/>
        <v>0</v>
      </c>
      <c r="O42" s="79">
        <f t="shared" si="3"/>
        <v>0</v>
      </c>
      <c r="P42" s="77">
        <f>J42*'aij-UNIFAC (VLE)'!$X29/J$43</f>
        <v>0</v>
      </c>
      <c r="Q42" s="78">
        <f>K42*'aij-UNIFAC (VLE)'!$X29/K$43</f>
        <v>0</v>
      </c>
      <c r="R42" s="78">
        <f>L42*'aij-UNIFAC (VLE)'!$X29/L$43</f>
        <v>0</v>
      </c>
      <c r="S42" s="78">
        <f>M42*'aij-UNIFAC (VLE)'!$X29/M$43</f>
        <v>0</v>
      </c>
      <c r="T42" s="78">
        <f>N42*'aij-UNIFAC (VLE)'!$X29/N$43</f>
        <v>0</v>
      </c>
      <c r="U42" s="80">
        <f>O42*'aij-UNIFAC (VLE)'!$X29/O$43</f>
        <v>0</v>
      </c>
      <c r="V42" s="81">
        <v>1.4449315054352305</v>
      </c>
      <c r="W42" s="82">
        <v>7.5336082932763115E-2</v>
      </c>
      <c r="X42" s="82">
        <v>1.4339549795843554</v>
      </c>
      <c r="Y42" s="82">
        <v>1.680468295022898</v>
      </c>
      <c r="Z42" s="82">
        <v>0.30767551391865594</v>
      </c>
      <c r="AA42" s="79">
        <v>0.34884689178773215</v>
      </c>
      <c r="AB42" s="81">
        <f t="shared" si="2"/>
        <v>0</v>
      </c>
      <c r="AC42" s="82">
        <f t="shared" si="2"/>
        <v>0</v>
      </c>
      <c r="AD42" s="82">
        <f t="shared" si="2"/>
        <v>0</v>
      </c>
      <c r="AE42" s="82">
        <f t="shared" si="2"/>
        <v>0</v>
      </c>
      <c r="AF42" s="82">
        <f t="shared" si="2"/>
        <v>0</v>
      </c>
      <c r="AG42" s="79">
        <f t="shared" si="2"/>
        <v>0</v>
      </c>
      <c r="AH42" s="81">
        <v>0.93641816455609495</v>
      </c>
      <c r="AI42" s="82">
        <v>4.8358082179201123</v>
      </c>
      <c r="AJ42" s="82">
        <v>1.773256309160707</v>
      </c>
      <c r="AK42" s="82">
        <v>0.8777464699805354</v>
      </c>
      <c r="AL42" s="82">
        <v>0.91708581223922514</v>
      </c>
      <c r="AM42" s="79">
        <v>4.8701485419351167</v>
      </c>
      <c r="AN42" s="83">
        <f>'aij-UNIFAC (VLE)'!$X29*(1-LN(V42)-AH42)</f>
        <v>-0.55171791205241838</v>
      </c>
      <c r="AO42" s="84">
        <f>'aij-UNIFAC (VLE)'!$X29*(1-LN(W42)-AI42)</f>
        <v>-2.265022012146193</v>
      </c>
      <c r="AP42" s="84">
        <f>'aij-UNIFAC (VLE)'!$X29*(1-LN(X42)-AJ42)</f>
        <v>-2.0542510924098276</v>
      </c>
      <c r="AQ42" s="84">
        <f>'aij-UNIFAC (VLE)'!$X29*(1-LN(Y42)-AK42)</f>
        <v>-0.7190359765218135</v>
      </c>
      <c r="AR42" s="84">
        <f>'aij-UNIFAC (VLE)'!$X29*(1-LN(Z42)-AL42)</f>
        <v>2.2860622628256495</v>
      </c>
      <c r="AS42" s="85">
        <f>'aij-UNIFAC (VLE)'!$X29*(1-LN(AA42)-AM42)</f>
        <v>-5.1044518067511078</v>
      </c>
      <c r="AT42" s="88"/>
      <c r="AU42" s="88"/>
    </row>
    <row r="43" spans="1:47" x14ac:dyDescent="0.35">
      <c r="B43" s="56" t="s">
        <v>32</v>
      </c>
      <c r="C43" s="38">
        <f>C21*SUM(C23:C42)</f>
        <v>3.9999999999999998E-20</v>
      </c>
      <c r="D43" s="38">
        <f>D21*SUM(D23:D42)</f>
        <v>0.9</v>
      </c>
      <c r="E43" s="38">
        <f>E21*SUM(E23:E42)</f>
        <v>2.9999999999999997E-20</v>
      </c>
      <c r="F43" s="38">
        <f>F21*SUM(F23:F42)</f>
        <v>0.30000000000000004</v>
      </c>
      <c r="G43" s="38">
        <f>G21*SUM(G23:G42)</f>
        <v>4.9999999999999999E-20</v>
      </c>
      <c r="H43" s="38">
        <f>SUM(C43:G43)</f>
        <v>1.2000000000000002</v>
      </c>
      <c r="I43" s="86" t="s">
        <v>33</v>
      </c>
      <c r="J43" s="37" cm="1">
        <f t="array" ref="J43">SUM(J23:J42*_Q)</f>
        <v>0.78099999999999992</v>
      </c>
      <c r="K43" s="37" cm="1">
        <f t="array" ref="K43">SUM(K23:K42*_Q)</f>
        <v>1.4</v>
      </c>
      <c r="L43" s="37" cm="1">
        <f t="array" ref="L43">SUM(L23:L42*_Q)</f>
        <v>0.87066666666666659</v>
      </c>
      <c r="M43" s="37" cm="1">
        <f t="array" ref="M43">SUM(M23:M42*_Q)</f>
        <v>0.86266666666666658</v>
      </c>
      <c r="N43" s="37">
        <f t="array" ref="N43">SUM(N23:N42*_Q)</f>
        <v>0.66320000000000001</v>
      </c>
      <c r="O43" s="87" cm="1">
        <f t="array" ref="O43">SUM(O23:O42*_Q)</f>
        <v>1.2656666666666665</v>
      </c>
      <c r="P43" s="88"/>
      <c r="Q43" s="88"/>
      <c r="R43" s="88"/>
      <c r="S43" s="88"/>
      <c r="T43" s="88"/>
      <c r="U43" s="88"/>
      <c r="V43" s="88"/>
      <c r="W43" s="88"/>
      <c r="X43" s="88"/>
      <c r="Y43" s="88"/>
      <c r="Z43" s="88"/>
      <c r="AA43" s="88"/>
      <c r="AB43" s="88"/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  <c r="AO43" s="88"/>
      <c r="AP43" s="88"/>
      <c r="AQ43" s="88"/>
      <c r="AR43" s="88"/>
      <c r="AS43" s="88"/>
      <c r="AT43" s="88"/>
      <c r="AU43" s="88"/>
    </row>
    <row r="44" spans="1:47" x14ac:dyDescent="0.35">
      <c r="B44" s="38" t="s">
        <v>34</v>
      </c>
      <c r="C44" s="38">
        <f>SUM(C23:C42)</f>
        <v>4</v>
      </c>
      <c r="D44" s="38">
        <f>SUM(D23:D42)</f>
        <v>1</v>
      </c>
      <c r="E44" s="38">
        <f>SUM(E23:E42)</f>
        <v>3</v>
      </c>
      <c r="F44" s="38">
        <f>SUM(F23:F42)</f>
        <v>3</v>
      </c>
      <c r="G44" s="38">
        <f>SUM(G23:G42)</f>
        <v>5</v>
      </c>
      <c r="H44" s="34"/>
      <c r="I44" s="39"/>
      <c r="J44" s="39"/>
      <c r="K44" s="39"/>
      <c r="L44" s="39"/>
      <c r="M44" s="39"/>
      <c r="N44" s="39"/>
      <c r="O44" s="39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Q44" s="88"/>
      <c r="AR44" s="88"/>
      <c r="AS44" s="88"/>
      <c r="AT44" s="88"/>
      <c r="AU44" s="88"/>
    </row>
    <row r="45" spans="1:47" x14ac:dyDescent="0.35">
      <c r="B45" s="38"/>
      <c r="G45" s="43"/>
      <c r="H45" s="93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8"/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  <c r="AO45" s="88"/>
      <c r="AP45" s="88"/>
      <c r="AQ45" s="88"/>
      <c r="AR45" s="88"/>
      <c r="AS45" s="88"/>
      <c r="AT45" s="88"/>
      <c r="AU45" s="88"/>
    </row>
    <row r="46" spans="1:47" x14ac:dyDescent="0.35">
      <c r="B46" s="38" t="s">
        <v>35</v>
      </c>
      <c r="C46" s="94" cm="1">
        <f t="array" ref="C46">SUM(C23:C42*_Q)</f>
        <v>3.1239999999999997</v>
      </c>
      <c r="D46" s="94" cm="1">
        <f t="array" ref="D46">SUM(D23:D42*_Q)</f>
        <v>1.4</v>
      </c>
      <c r="E46" s="94">
        <f t="array" ref="E46">SUM(E23:E42*_Q)</f>
        <v>2.6120000000000001</v>
      </c>
      <c r="F46" s="94" cm="1">
        <f t="array" ref="F46">SUM(F23:F42*_Q)</f>
        <v>2.5880000000000001</v>
      </c>
      <c r="G46" s="94">
        <f t="array" ref="G46">SUM(G23:G42*_Q)</f>
        <v>3.3159999999999998</v>
      </c>
      <c r="H46" s="93"/>
      <c r="J46" s="88"/>
      <c r="K46" s="88"/>
      <c r="L46" s="88"/>
      <c r="M46" s="88"/>
      <c r="N46" s="88"/>
      <c r="O46" s="88"/>
      <c r="P46" s="88"/>
      <c r="Q46" s="88"/>
      <c r="R46" s="88"/>
      <c r="S46" s="88"/>
      <c r="T46" s="88"/>
      <c r="U46" s="88"/>
      <c r="V46" s="88"/>
      <c r="W46" s="88"/>
      <c r="X46" s="88"/>
      <c r="Y46" s="88"/>
      <c r="Z46" s="88"/>
      <c r="AA46" s="88"/>
      <c r="AB46" s="88"/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  <c r="AO46" s="88"/>
      <c r="AP46" s="88"/>
      <c r="AQ46" s="88"/>
      <c r="AR46" s="88"/>
      <c r="AS46" s="88"/>
      <c r="AT46" s="88"/>
      <c r="AU46" s="88"/>
    </row>
    <row r="47" spans="1:47" x14ac:dyDescent="0.35">
      <c r="B47" s="38" t="s">
        <v>36</v>
      </c>
      <c r="C47" s="94" cm="1">
        <f t="array" ref="C47">SUM(C23:C42*_R)</f>
        <v>3.2490999999999999</v>
      </c>
      <c r="D47" s="94" cm="1">
        <f t="array" ref="D47">SUM(D23:D42*_R)</f>
        <v>0.92</v>
      </c>
      <c r="E47" s="94">
        <f t="array" ref="E47">SUM(E23:E42*_R)</f>
        <v>2.8767999999999998</v>
      </c>
      <c r="F47" s="94">
        <f t="array" ref="F47">SUM(F23:F42*_R)</f>
        <v>2.5754999999999999</v>
      </c>
      <c r="G47" s="94">
        <f t="array" ref="G47">SUM(G23:G42*_R)</f>
        <v>3.8254000000000001</v>
      </c>
      <c r="H47" s="93"/>
      <c r="J47" s="88"/>
      <c r="K47" s="88"/>
      <c r="L47" s="88"/>
      <c r="M47" s="88"/>
      <c r="N47" s="88"/>
      <c r="O47" s="88"/>
      <c r="P47" s="88"/>
      <c r="Q47" s="88"/>
      <c r="R47" s="88"/>
      <c r="S47" s="88"/>
      <c r="T47" s="88"/>
      <c r="U47" s="88"/>
      <c r="V47" s="88"/>
      <c r="W47" s="88"/>
      <c r="X47" s="88"/>
      <c r="Y47" s="88"/>
      <c r="Z47" s="88"/>
      <c r="AA47" s="88"/>
      <c r="AB47" s="88"/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  <c r="AO47" s="88"/>
      <c r="AP47" s="88"/>
      <c r="AQ47" s="88"/>
      <c r="AR47" s="88"/>
      <c r="AS47" s="88"/>
      <c r="AT47" s="88"/>
      <c r="AU47" s="88"/>
    </row>
    <row r="48" spans="1:47" x14ac:dyDescent="0.35">
      <c r="B48" s="56" t="s">
        <v>37</v>
      </c>
      <c r="C48" s="94">
        <f>C21*C46/SUMPRODUCT($C46:$G46,$C21:$G21)</f>
        <v>2.0568870160653145E-20</v>
      </c>
      <c r="D48" s="94">
        <f>D21*D46/SUMPRODUCT($C46:$G46,$C21:$G21)</f>
        <v>0.82960231761917291</v>
      </c>
      <c r="E48" s="94">
        <f>E21*E46/SUMPRODUCT($C46:$G46,$C21:$G21)</f>
        <v>1.7197787727153014E-20</v>
      </c>
      <c r="F48" s="94">
        <f>F21*F46/SUMPRODUCT($C46:$G46,$C21:$G21)</f>
        <v>0.17039768238082698</v>
      </c>
      <c r="G48" s="94">
        <f>G21*G46/SUMPRODUCT($C46:$G46,$C21:$G21)</f>
        <v>2.1833026073215693E-20</v>
      </c>
      <c r="H48" s="93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88"/>
      <c r="AR48" s="88"/>
      <c r="AS48" s="88"/>
    </row>
    <row r="49" spans="2:15" x14ac:dyDescent="0.35">
      <c r="B49" s="56" t="s">
        <v>38</v>
      </c>
      <c r="C49" s="94">
        <f>C21*C47/SUMPRODUCT($C47:$G47,$C21:$G21)</f>
        <v>2.9930450002302976E-20</v>
      </c>
      <c r="D49" s="94">
        <f>D21*D47/SUMPRODUCT($C47:$G47,$C21:$G21)</f>
        <v>0.76274699461102669</v>
      </c>
      <c r="E49" s="94">
        <f>E21*E47/SUMPRODUCT($C47:$G47,$C21:$G21)</f>
        <v>2.6500852102620788E-20</v>
      </c>
      <c r="F49" s="94">
        <f>F21*F47/SUMPRODUCT($C47:$G47,$C21:$G21)</f>
        <v>0.23725300538897334</v>
      </c>
      <c r="G49" s="94">
        <f>G21*G47/SUMPRODUCT($C47:$G47,$C21:$G21)</f>
        <v>3.5239279627838421E-20</v>
      </c>
      <c r="H49" s="93"/>
      <c r="J49" s="88"/>
      <c r="K49" s="88"/>
      <c r="L49" s="88"/>
      <c r="M49" s="88"/>
      <c r="N49" s="88"/>
      <c r="O49" s="88"/>
    </row>
    <row r="50" spans="2:15" x14ac:dyDescent="0.35">
      <c r="B50" s="38" t="s">
        <v>39</v>
      </c>
      <c r="C50" s="94">
        <f>LN(C49/C21)+(1-C49/C21)-5*C46*(LN(C49/C48)+(1-C49/C48))</f>
        <v>0.35340577530385686</v>
      </c>
      <c r="D50" s="94">
        <f>LN(D49/D21)+(1-D49/D21)-5*D46*(LN(D49/D48)+(1-D49/D48))</f>
        <v>1.106507085967004E-2</v>
      </c>
      <c r="E50" s="94">
        <f>LN(E49/E21)+(1-E49/E21)-5*E46*(LN(E49/E48)+(1-E49/E48))</f>
        <v>0.74216018347075763</v>
      </c>
      <c r="F50" s="94">
        <f>LN(F49/F21)+(1-F49/F21)-5*F46*(LN(F49/F48)+(1-F49/F48))</f>
        <v>0.28538242697078509</v>
      </c>
      <c r="G50" s="94">
        <f>LN(G49/G21)+(1-G49/G21)-5*G46*(LN(G49/G48)+(1-G49/G48))</f>
        <v>0.97888820802884435</v>
      </c>
      <c r="H50" s="93"/>
      <c r="I50" s="41"/>
      <c r="J50" s="88"/>
      <c r="K50" s="88"/>
      <c r="L50" s="88"/>
      <c r="M50" s="88"/>
      <c r="N50" s="88"/>
      <c r="O50" s="88"/>
    </row>
    <row r="51" spans="2:15" x14ac:dyDescent="0.35">
      <c r="B51" s="38" t="s">
        <v>40</v>
      </c>
      <c r="C51" s="94" cm="1">
        <f t="array" ref="C51">SUM(C23:C42*AN23:AN42)</f>
        <v>1.3673239523130629</v>
      </c>
      <c r="D51" s="94" cm="1">
        <f t="array" ref="D51">SUM(D23:D42*AO23:AO42)</f>
        <v>0</v>
      </c>
      <c r="E51" s="94">
        <f t="array" ref="E51">SUM(E23:E42*AP23:AP42)</f>
        <v>1.2407444897691957</v>
      </c>
      <c r="F51" s="94">
        <f t="array" ref="F51">SUM(F23:F42*AQ23:AQ42)</f>
        <v>1.1303568534811406</v>
      </c>
      <c r="G51" s="94">
        <f t="array" ref="G51">SUM(G23:G42*AR23:AR42)</f>
        <v>0</v>
      </c>
      <c r="H51" s="93"/>
      <c r="J51" s="88"/>
      <c r="K51" s="88"/>
      <c r="L51" s="88"/>
      <c r="M51" s="88"/>
      <c r="N51" s="88"/>
      <c r="O51" s="88"/>
    </row>
    <row r="52" spans="2:15" x14ac:dyDescent="0.35">
      <c r="B52" s="38" t="s">
        <v>41</v>
      </c>
      <c r="C52" s="94" cm="1">
        <f t="array" ref="C52">SUM(C23:C42*$AS23:$AS42)</f>
        <v>2.9025086616287141</v>
      </c>
      <c r="D52" s="94" cm="1">
        <f t="array" ref="D52">SUM(D23:D42*$AS23:$AS42)</f>
        <v>2.5662073655092498E-2</v>
      </c>
      <c r="E52" s="94">
        <f t="array" ref="E52">SUM(E23:E42*$AS23:$AS42)</f>
        <v>1.8396630966603673</v>
      </c>
      <c r="F52" s="94">
        <f t="array" ref="F52">SUM(F23:F42*$AS23:$AS42)</f>
        <v>2.0740540299112338</v>
      </c>
      <c r="G52" s="94">
        <f t="array" ref="G52">SUM(G23:G42*$AS23:$AS42)</f>
        <v>5.1252902215954581</v>
      </c>
      <c r="J52" s="88"/>
      <c r="K52" s="88"/>
      <c r="L52" s="88"/>
      <c r="M52" s="88"/>
      <c r="N52" s="88"/>
      <c r="O52" s="88"/>
    </row>
    <row r="53" spans="2:15" x14ac:dyDescent="0.35">
      <c r="J53" s="88"/>
      <c r="K53" s="88"/>
      <c r="L53" s="88"/>
      <c r="M53" s="88"/>
      <c r="N53" s="88"/>
      <c r="O53" s="88"/>
    </row>
    <row r="54" spans="2:15" x14ac:dyDescent="0.35">
      <c r="J54" s="88"/>
      <c r="K54" s="88"/>
      <c r="L54" s="88"/>
      <c r="M54" s="88"/>
      <c r="N54" s="88"/>
      <c r="O54" s="88"/>
    </row>
    <row r="55" spans="2:15" x14ac:dyDescent="0.35">
      <c r="K55" s="88"/>
      <c r="L55" s="88"/>
      <c r="M55" s="88"/>
      <c r="N55" s="88"/>
      <c r="O55" s="88"/>
    </row>
    <row r="56" spans="2:15" x14ac:dyDescent="0.35">
      <c r="J56" s="95"/>
    </row>
  </sheetData>
  <pageMargins left="0.75" right="0.75" top="1" bottom="1" header="0.5" footer="0.5"/>
  <pageSetup scale="87" fitToWidth="2" orientation="landscape" horizontalDpi="300" verticalDpi="300" r:id="rId1"/>
  <headerFooter alignWithMargins="0">
    <oddHeader>&amp;A</oddHeader>
    <oddFooter>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2F40-4A47-405A-B61A-13BE082854DF}">
  <dimension ref="A1:BL71"/>
  <sheetViews>
    <sheetView topLeftCell="O1" zoomScale="70" zoomScaleNormal="70" workbookViewId="0">
      <selection activeCell="T9" sqref="T9:AH24"/>
    </sheetView>
  </sheetViews>
  <sheetFormatPr defaultColWidth="11.7265625" defaultRowHeight="12.5" x14ac:dyDescent="0.25"/>
  <cols>
    <col min="1" max="18" width="11.7265625" style="4" customWidth="1"/>
    <col min="19" max="19" width="9.90625" style="4" customWidth="1"/>
    <col min="20" max="20" width="6.26953125" style="4" customWidth="1"/>
    <col min="21" max="21" width="6.36328125" style="4" customWidth="1"/>
    <col min="22" max="46" width="11.7265625" style="4" customWidth="1"/>
    <col min="47" max="64" width="9.90625" style="1" customWidth="1"/>
    <col min="65" max="274" width="11.7265625" style="4"/>
    <col min="275" max="275" width="9.90625" style="4" customWidth="1"/>
    <col min="276" max="276" width="6.26953125" style="4" customWidth="1"/>
    <col min="277" max="277" width="6.36328125" style="4" customWidth="1"/>
    <col min="278" max="302" width="11.7265625" style="4"/>
    <col min="303" max="320" width="9.90625" style="4" customWidth="1"/>
    <col min="321" max="530" width="11.7265625" style="4"/>
    <col min="531" max="531" width="9.90625" style="4" customWidth="1"/>
    <col min="532" max="532" width="6.26953125" style="4" customWidth="1"/>
    <col min="533" max="533" width="6.36328125" style="4" customWidth="1"/>
    <col min="534" max="558" width="11.7265625" style="4"/>
    <col min="559" max="576" width="9.90625" style="4" customWidth="1"/>
    <col min="577" max="786" width="11.7265625" style="4"/>
    <col min="787" max="787" width="9.90625" style="4" customWidth="1"/>
    <col min="788" max="788" width="6.26953125" style="4" customWidth="1"/>
    <col min="789" max="789" width="6.36328125" style="4" customWidth="1"/>
    <col min="790" max="814" width="11.7265625" style="4"/>
    <col min="815" max="832" width="9.90625" style="4" customWidth="1"/>
    <col min="833" max="1042" width="11.7265625" style="4"/>
    <col min="1043" max="1043" width="9.90625" style="4" customWidth="1"/>
    <col min="1044" max="1044" width="6.26953125" style="4" customWidth="1"/>
    <col min="1045" max="1045" width="6.36328125" style="4" customWidth="1"/>
    <col min="1046" max="1070" width="11.7265625" style="4"/>
    <col min="1071" max="1088" width="9.90625" style="4" customWidth="1"/>
    <col min="1089" max="1298" width="11.7265625" style="4"/>
    <col min="1299" max="1299" width="9.90625" style="4" customWidth="1"/>
    <col min="1300" max="1300" width="6.26953125" style="4" customWidth="1"/>
    <col min="1301" max="1301" width="6.36328125" style="4" customWidth="1"/>
    <col min="1302" max="1326" width="11.7265625" style="4"/>
    <col min="1327" max="1344" width="9.90625" style="4" customWidth="1"/>
    <col min="1345" max="1554" width="11.7265625" style="4"/>
    <col min="1555" max="1555" width="9.90625" style="4" customWidth="1"/>
    <col min="1556" max="1556" width="6.26953125" style="4" customWidth="1"/>
    <col min="1557" max="1557" width="6.36328125" style="4" customWidth="1"/>
    <col min="1558" max="1582" width="11.7265625" style="4"/>
    <col min="1583" max="1600" width="9.90625" style="4" customWidth="1"/>
    <col min="1601" max="1810" width="11.7265625" style="4"/>
    <col min="1811" max="1811" width="9.90625" style="4" customWidth="1"/>
    <col min="1812" max="1812" width="6.26953125" style="4" customWidth="1"/>
    <col min="1813" max="1813" width="6.36328125" style="4" customWidth="1"/>
    <col min="1814" max="1838" width="11.7265625" style="4"/>
    <col min="1839" max="1856" width="9.90625" style="4" customWidth="1"/>
    <col min="1857" max="2066" width="11.7265625" style="4"/>
    <col min="2067" max="2067" width="9.90625" style="4" customWidth="1"/>
    <col min="2068" max="2068" width="6.26953125" style="4" customWidth="1"/>
    <col min="2069" max="2069" width="6.36328125" style="4" customWidth="1"/>
    <col min="2070" max="2094" width="11.7265625" style="4"/>
    <col min="2095" max="2112" width="9.90625" style="4" customWidth="1"/>
    <col min="2113" max="2322" width="11.7265625" style="4"/>
    <col min="2323" max="2323" width="9.90625" style="4" customWidth="1"/>
    <col min="2324" max="2324" width="6.26953125" style="4" customWidth="1"/>
    <col min="2325" max="2325" width="6.36328125" style="4" customWidth="1"/>
    <col min="2326" max="2350" width="11.7265625" style="4"/>
    <col min="2351" max="2368" width="9.90625" style="4" customWidth="1"/>
    <col min="2369" max="2578" width="11.7265625" style="4"/>
    <col min="2579" max="2579" width="9.90625" style="4" customWidth="1"/>
    <col min="2580" max="2580" width="6.26953125" style="4" customWidth="1"/>
    <col min="2581" max="2581" width="6.36328125" style="4" customWidth="1"/>
    <col min="2582" max="2606" width="11.7265625" style="4"/>
    <col min="2607" max="2624" width="9.90625" style="4" customWidth="1"/>
    <col min="2625" max="2834" width="11.7265625" style="4"/>
    <col min="2835" max="2835" width="9.90625" style="4" customWidth="1"/>
    <col min="2836" max="2836" width="6.26953125" style="4" customWidth="1"/>
    <col min="2837" max="2837" width="6.36328125" style="4" customWidth="1"/>
    <col min="2838" max="2862" width="11.7265625" style="4"/>
    <col min="2863" max="2880" width="9.90625" style="4" customWidth="1"/>
    <col min="2881" max="3090" width="11.7265625" style="4"/>
    <col min="3091" max="3091" width="9.90625" style="4" customWidth="1"/>
    <col min="3092" max="3092" width="6.26953125" style="4" customWidth="1"/>
    <col min="3093" max="3093" width="6.36328125" style="4" customWidth="1"/>
    <col min="3094" max="3118" width="11.7265625" style="4"/>
    <col min="3119" max="3136" width="9.90625" style="4" customWidth="1"/>
    <col min="3137" max="3346" width="11.7265625" style="4"/>
    <col min="3347" max="3347" width="9.90625" style="4" customWidth="1"/>
    <col min="3348" max="3348" width="6.26953125" style="4" customWidth="1"/>
    <col min="3349" max="3349" width="6.36328125" style="4" customWidth="1"/>
    <col min="3350" max="3374" width="11.7265625" style="4"/>
    <col min="3375" max="3392" width="9.90625" style="4" customWidth="1"/>
    <col min="3393" max="3602" width="11.7265625" style="4"/>
    <col min="3603" max="3603" width="9.90625" style="4" customWidth="1"/>
    <col min="3604" max="3604" width="6.26953125" style="4" customWidth="1"/>
    <col min="3605" max="3605" width="6.36328125" style="4" customWidth="1"/>
    <col min="3606" max="3630" width="11.7265625" style="4"/>
    <col min="3631" max="3648" width="9.90625" style="4" customWidth="1"/>
    <col min="3649" max="3858" width="11.7265625" style="4"/>
    <col min="3859" max="3859" width="9.90625" style="4" customWidth="1"/>
    <col min="3860" max="3860" width="6.26953125" style="4" customWidth="1"/>
    <col min="3861" max="3861" width="6.36328125" style="4" customWidth="1"/>
    <col min="3862" max="3886" width="11.7265625" style="4"/>
    <col min="3887" max="3904" width="9.90625" style="4" customWidth="1"/>
    <col min="3905" max="4114" width="11.7265625" style="4"/>
    <col min="4115" max="4115" width="9.90625" style="4" customWidth="1"/>
    <col min="4116" max="4116" width="6.26953125" style="4" customWidth="1"/>
    <col min="4117" max="4117" width="6.36328125" style="4" customWidth="1"/>
    <col min="4118" max="4142" width="11.7265625" style="4"/>
    <col min="4143" max="4160" width="9.90625" style="4" customWidth="1"/>
    <col min="4161" max="4370" width="11.7265625" style="4"/>
    <col min="4371" max="4371" width="9.90625" style="4" customWidth="1"/>
    <col min="4372" max="4372" width="6.26953125" style="4" customWidth="1"/>
    <col min="4373" max="4373" width="6.36328125" style="4" customWidth="1"/>
    <col min="4374" max="4398" width="11.7265625" style="4"/>
    <col min="4399" max="4416" width="9.90625" style="4" customWidth="1"/>
    <col min="4417" max="4626" width="11.7265625" style="4"/>
    <col min="4627" max="4627" width="9.90625" style="4" customWidth="1"/>
    <col min="4628" max="4628" width="6.26953125" style="4" customWidth="1"/>
    <col min="4629" max="4629" width="6.36328125" style="4" customWidth="1"/>
    <col min="4630" max="4654" width="11.7265625" style="4"/>
    <col min="4655" max="4672" width="9.90625" style="4" customWidth="1"/>
    <col min="4673" max="4882" width="11.7265625" style="4"/>
    <col min="4883" max="4883" width="9.90625" style="4" customWidth="1"/>
    <col min="4884" max="4884" width="6.26953125" style="4" customWidth="1"/>
    <col min="4885" max="4885" width="6.36328125" style="4" customWidth="1"/>
    <col min="4886" max="4910" width="11.7265625" style="4"/>
    <col min="4911" max="4928" width="9.90625" style="4" customWidth="1"/>
    <col min="4929" max="5138" width="11.7265625" style="4"/>
    <col min="5139" max="5139" width="9.90625" style="4" customWidth="1"/>
    <col min="5140" max="5140" width="6.26953125" style="4" customWidth="1"/>
    <col min="5141" max="5141" width="6.36328125" style="4" customWidth="1"/>
    <col min="5142" max="5166" width="11.7265625" style="4"/>
    <col min="5167" max="5184" width="9.90625" style="4" customWidth="1"/>
    <col min="5185" max="5394" width="11.7265625" style="4"/>
    <col min="5395" max="5395" width="9.90625" style="4" customWidth="1"/>
    <col min="5396" max="5396" width="6.26953125" style="4" customWidth="1"/>
    <col min="5397" max="5397" width="6.36328125" style="4" customWidth="1"/>
    <col min="5398" max="5422" width="11.7265625" style="4"/>
    <col min="5423" max="5440" width="9.90625" style="4" customWidth="1"/>
    <col min="5441" max="5650" width="11.7265625" style="4"/>
    <col min="5651" max="5651" width="9.90625" style="4" customWidth="1"/>
    <col min="5652" max="5652" width="6.26953125" style="4" customWidth="1"/>
    <col min="5653" max="5653" width="6.36328125" style="4" customWidth="1"/>
    <col min="5654" max="5678" width="11.7265625" style="4"/>
    <col min="5679" max="5696" width="9.90625" style="4" customWidth="1"/>
    <col min="5697" max="5906" width="11.7265625" style="4"/>
    <col min="5907" max="5907" width="9.90625" style="4" customWidth="1"/>
    <col min="5908" max="5908" width="6.26953125" style="4" customWidth="1"/>
    <col min="5909" max="5909" width="6.36328125" style="4" customWidth="1"/>
    <col min="5910" max="5934" width="11.7265625" style="4"/>
    <col min="5935" max="5952" width="9.90625" style="4" customWidth="1"/>
    <col min="5953" max="6162" width="11.7265625" style="4"/>
    <col min="6163" max="6163" width="9.90625" style="4" customWidth="1"/>
    <col min="6164" max="6164" width="6.26953125" style="4" customWidth="1"/>
    <col min="6165" max="6165" width="6.36328125" style="4" customWidth="1"/>
    <col min="6166" max="6190" width="11.7265625" style="4"/>
    <col min="6191" max="6208" width="9.90625" style="4" customWidth="1"/>
    <col min="6209" max="6418" width="11.7265625" style="4"/>
    <col min="6419" max="6419" width="9.90625" style="4" customWidth="1"/>
    <col min="6420" max="6420" width="6.26953125" style="4" customWidth="1"/>
    <col min="6421" max="6421" width="6.36328125" style="4" customWidth="1"/>
    <col min="6422" max="6446" width="11.7265625" style="4"/>
    <col min="6447" max="6464" width="9.90625" style="4" customWidth="1"/>
    <col min="6465" max="6674" width="11.7265625" style="4"/>
    <col min="6675" max="6675" width="9.90625" style="4" customWidth="1"/>
    <col min="6676" max="6676" width="6.26953125" style="4" customWidth="1"/>
    <col min="6677" max="6677" width="6.36328125" style="4" customWidth="1"/>
    <col min="6678" max="6702" width="11.7265625" style="4"/>
    <col min="6703" max="6720" width="9.90625" style="4" customWidth="1"/>
    <col min="6721" max="6930" width="11.7265625" style="4"/>
    <col min="6931" max="6931" width="9.90625" style="4" customWidth="1"/>
    <col min="6932" max="6932" width="6.26953125" style="4" customWidth="1"/>
    <col min="6933" max="6933" width="6.36328125" style="4" customWidth="1"/>
    <col min="6934" max="6958" width="11.7265625" style="4"/>
    <col min="6959" max="6976" width="9.90625" style="4" customWidth="1"/>
    <col min="6977" max="7186" width="11.7265625" style="4"/>
    <col min="7187" max="7187" width="9.90625" style="4" customWidth="1"/>
    <col min="7188" max="7188" width="6.26953125" style="4" customWidth="1"/>
    <col min="7189" max="7189" width="6.36328125" style="4" customWidth="1"/>
    <col min="7190" max="7214" width="11.7265625" style="4"/>
    <col min="7215" max="7232" width="9.90625" style="4" customWidth="1"/>
    <col min="7233" max="7442" width="11.7265625" style="4"/>
    <col min="7443" max="7443" width="9.90625" style="4" customWidth="1"/>
    <col min="7444" max="7444" width="6.26953125" style="4" customWidth="1"/>
    <col min="7445" max="7445" width="6.36328125" style="4" customWidth="1"/>
    <col min="7446" max="7470" width="11.7265625" style="4"/>
    <col min="7471" max="7488" width="9.90625" style="4" customWidth="1"/>
    <col min="7489" max="7698" width="11.7265625" style="4"/>
    <col min="7699" max="7699" width="9.90625" style="4" customWidth="1"/>
    <col min="7700" max="7700" width="6.26953125" style="4" customWidth="1"/>
    <col min="7701" max="7701" width="6.36328125" style="4" customWidth="1"/>
    <col min="7702" max="7726" width="11.7265625" style="4"/>
    <col min="7727" max="7744" width="9.90625" style="4" customWidth="1"/>
    <col min="7745" max="7954" width="11.7265625" style="4"/>
    <col min="7955" max="7955" width="9.90625" style="4" customWidth="1"/>
    <col min="7956" max="7956" width="6.26953125" style="4" customWidth="1"/>
    <col min="7957" max="7957" width="6.36328125" style="4" customWidth="1"/>
    <col min="7958" max="7982" width="11.7265625" style="4"/>
    <col min="7983" max="8000" width="9.90625" style="4" customWidth="1"/>
    <col min="8001" max="8210" width="11.7265625" style="4"/>
    <col min="8211" max="8211" width="9.90625" style="4" customWidth="1"/>
    <col min="8212" max="8212" width="6.26953125" style="4" customWidth="1"/>
    <col min="8213" max="8213" width="6.36328125" style="4" customWidth="1"/>
    <col min="8214" max="8238" width="11.7265625" style="4"/>
    <col min="8239" max="8256" width="9.90625" style="4" customWidth="1"/>
    <col min="8257" max="8466" width="11.7265625" style="4"/>
    <col min="8467" max="8467" width="9.90625" style="4" customWidth="1"/>
    <col min="8468" max="8468" width="6.26953125" style="4" customWidth="1"/>
    <col min="8469" max="8469" width="6.36328125" style="4" customWidth="1"/>
    <col min="8470" max="8494" width="11.7265625" style="4"/>
    <col min="8495" max="8512" width="9.90625" style="4" customWidth="1"/>
    <col min="8513" max="8722" width="11.7265625" style="4"/>
    <col min="8723" max="8723" width="9.90625" style="4" customWidth="1"/>
    <col min="8724" max="8724" width="6.26953125" style="4" customWidth="1"/>
    <col min="8725" max="8725" width="6.36328125" style="4" customWidth="1"/>
    <col min="8726" max="8750" width="11.7265625" style="4"/>
    <col min="8751" max="8768" width="9.90625" style="4" customWidth="1"/>
    <col min="8769" max="8978" width="11.7265625" style="4"/>
    <col min="8979" max="8979" width="9.90625" style="4" customWidth="1"/>
    <col min="8980" max="8980" width="6.26953125" style="4" customWidth="1"/>
    <col min="8981" max="8981" width="6.36328125" style="4" customWidth="1"/>
    <col min="8982" max="9006" width="11.7265625" style="4"/>
    <col min="9007" max="9024" width="9.90625" style="4" customWidth="1"/>
    <col min="9025" max="9234" width="11.7265625" style="4"/>
    <col min="9235" max="9235" width="9.90625" style="4" customWidth="1"/>
    <col min="9236" max="9236" width="6.26953125" style="4" customWidth="1"/>
    <col min="9237" max="9237" width="6.36328125" style="4" customWidth="1"/>
    <col min="9238" max="9262" width="11.7265625" style="4"/>
    <col min="9263" max="9280" width="9.90625" style="4" customWidth="1"/>
    <col min="9281" max="9490" width="11.7265625" style="4"/>
    <col min="9491" max="9491" width="9.90625" style="4" customWidth="1"/>
    <col min="9492" max="9492" width="6.26953125" style="4" customWidth="1"/>
    <col min="9493" max="9493" width="6.36328125" style="4" customWidth="1"/>
    <col min="9494" max="9518" width="11.7265625" style="4"/>
    <col min="9519" max="9536" width="9.90625" style="4" customWidth="1"/>
    <col min="9537" max="9746" width="11.7265625" style="4"/>
    <col min="9747" max="9747" width="9.90625" style="4" customWidth="1"/>
    <col min="9748" max="9748" width="6.26953125" style="4" customWidth="1"/>
    <col min="9749" max="9749" width="6.36328125" style="4" customWidth="1"/>
    <col min="9750" max="9774" width="11.7265625" style="4"/>
    <col min="9775" max="9792" width="9.90625" style="4" customWidth="1"/>
    <col min="9793" max="10002" width="11.7265625" style="4"/>
    <col min="10003" max="10003" width="9.90625" style="4" customWidth="1"/>
    <col min="10004" max="10004" width="6.26953125" style="4" customWidth="1"/>
    <col min="10005" max="10005" width="6.36328125" style="4" customWidth="1"/>
    <col min="10006" max="10030" width="11.7265625" style="4"/>
    <col min="10031" max="10048" width="9.90625" style="4" customWidth="1"/>
    <col min="10049" max="10258" width="11.7265625" style="4"/>
    <col min="10259" max="10259" width="9.90625" style="4" customWidth="1"/>
    <col min="10260" max="10260" width="6.26953125" style="4" customWidth="1"/>
    <col min="10261" max="10261" width="6.36328125" style="4" customWidth="1"/>
    <col min="10262" max="10286" width="11.7265625" style="4"/>
    <col min="10287" max="10304" width="9.90625" style="4" customWidth="1"/>
    <col min="10305" max="10514" width="11.7265625" style="4"/>
    <col min="10515" max="10515" width="9.90625" style="4" customWidth="1"/>
    <col min="10516" max="10516" width="6.26953125" style="4" customWidth="1"/>
    <col min="10517" max="10517" width="6.36328125" style="4" customWidth="1"/>
    <col min="10518" max="10542" width="11.7265625" style="4"/>
    <col min="10543" max="10560" width="9.90625" style="4" customWidth="1"/>
    <col min="10561" max="10770" width="11.7265625" style="4"/>
    <col min="10771" max="10771" width="9.90625" style="4" customWidth="1"/>
    <col min="10772" max="10772" width="6.26953125" style="4" customWidth="1"/>
    <col min="10773" max="10773" width="6.36328125" style="4" customWidth="1"/>
    <col min="10774" max="10798" width="11.7265625" style="4"/>
    <col min="10799" max="10816" width="9.90625" style="4" customWidth="1"/>
    <col min="10817" max="11026" width="11.7265625" style="4"/>
    <col min="11027" max="11027" width="9.90625" style="4" customWidth="1"/>
    <col min="11028" max="11028" width="6.26953125" style="4" customWidth="1"/>
    <col min="11029" max="11029" width="6.36328125" style="4" customWidth="1"/>
    <col min="11030" max="11054" width="11.7265625" style="4"/>
    <col min="11055" max="11072" width="9.90625" style="4" customWidth="1"/>
    <col min="11073" max="11282" width="11.7265625" style="4"/>
    <col min="11283" max="11283" width="9.90625" style="4" customWidth="1"/>
    <col min="11284" max="11284" width="6.26953125" style="4" customWidth="1"/>
    <col min="11285" max="11285" width="6.36328125" style="4" customWidth="1"/>
    <col min="11286" max="11310" width="11.7265625" style="4"/>
    <col min="11311" max="11328" width="9.90625" style="4" customWidth="1"/>
    <col min="11329" max="11538" width="11.7265625" style="4"/>
    <col min="11539" max="11539" width="9.90625" style="4" customWidth="1"/>
    <col min="11540" max="11540" width="6.26953125" style="4" customWidth="1"/>
    <col min="11541" max="11541" width="6.36328125" style="4" customWidth="1"/>
    <col min="11542" max="11566" width="11.7265625" style="4"/>
    <col min="11567" max="11584" width="9.90625" style="4" customWidth="1"/>
    <col min="11585" max="11794" width="11.7265625" style="4"/>
    <col min="11795" max="11795" width="9.90625" style="4" customWidth="1"/>
    <col min="11796" max="11796" width="6.26953125" style="4" customWidth="1"/>
    <col min="11797" max="11797" width="6.36328125" style="4" customWidth="1"/>
    <col min="11798" max="11822" width="11.7265625" style="4"/>
    <col min="11823" max="11840" width="9.90625" style="4" customWidth="1"/>
    <col min="11841" max="12050" width="11.7265625" style="4"/>
    <col min="12051" max="12051" width="9.90625" style="4" customWidth="1"/>
    <col min="12052" max="12052" width="6.26953125" style="4" customWidth="1"/>
    <col min="12053" max="12053" width="6.36328125" style="4" customWidth="1"/>
    <col min="12054" max="12078" width="11.7265625" style="4"/>
    <col min="12079" max="12096" width="9.90625" style="4" customWidth="1"/>
    <col min="12097" max="12306" width="11.7265625" style="4"/>
    <col min="12307" max="12307" width="9.90625" style="4" customWidth="1"/>
    <col min="12308" max="12308" width="6.26953125" style="4" customWidth="1"/>
    <col min="12309" max="12309" width="6.36328125" style="4" customWidth="1"/>
    <col min="12310" max="12334" width="11.7265625" style="4"/>
    <col min="12335" max="12352" width="9.90625" style="4" customWidth="1"/>
    <col min="12353" max="12562" width="11.7265625" style="4"/>
    <col min="12563" max="12563" width="9.90625" style="4" customWidth="1"/>
    <col min="12564" max="12564" width="6.26953125" style="4" customWidth="1"/>
    <col min="12565" max="12565" width="6.36328125" style="4" customWidth="1"/>
    <col min="12566" max="12590" width="11.7265625" style="4"/>
    <col min="12591" max="12608" width="9.90625" style="4" customWidth="1"/>
    <col min="12609" max="12818" width="11.7265625" style="4"/>
    <col min="12819" max="12819" width="9.90625" style="4" customWidth="1"/>
    <col min="12820" max="12820" width="6.26953125" style="4" customWidth="1"/>
    <col min="12821" max="12821" width="6.36328125" style="4" customWidth="1"/>
    <col min="12822" max="12846" width="11.7265625" style="4"/>
    <col min="12847" max="12864" width="9.90625" style="4" customWidth="1"/>
    <col min="12865" max="13074" width="11.7265625" style="4"/>
    <col min="13075" max="13075" width="9.90625" style="4" customWidth="1"/>
    <col min="13076" max="13076" width="6.26953125" style="4" customWidth="1"/>
    <col min="13077" max="13077" width="6.36328125" style="4" customWidth="1"/>
    <col min="13078" max="13102" width="11.7265625" style="4"/>
    <col min="13103" max="13120" width="9.90625" style="4" customWidth="1"/>
    <col min="13121" max="13330" width="11.7265625" style="4"/>
    <col min="13331" max="13331" width="9.90625" style="4" customWidth="1"/>
    <col min="13332" max="13332" width="6.26953125" style="4" customWidth="1"/>
    <col min="13333" max="13333" width="6.36328125" style="4" customWidth="1"/>
    <col min="13334" max="13358" width="11.7265625" style="4"/>
    <col min="13359" max="13376" width="9.90625" style="4" customWidth="1"/>
    <col min="13377" max="13586" width="11.7265625" style="4"/>
    <col min="13587" max="13587" width="9.90625" style="4" customWidth="1"/>
    <col min="13588" max="13588" width="6.26953125" style="4" customWidth="1"/>
    <col min="13589" max="13589" width="6.36328125" style="4" customWidth="1"/>
    <col min="13590" max="13614" width="11.7265625" style="4"/>
    <col min="13615" max="13632" width="9.90625" style="4" customWidth="1"/>
    <col min="13633" max="13842" width="11.7265625" style="4"/>
    <col min="13843" max="13843" width="9.90625" style="4" customWidth="1"/>
    <col min="13844" max="13844" width="6.26953125" style="4" customWidth="1"/>
    <col min="13845" max="13845" width="6.36328125" style="4" customWidth="1"/>
    <col min="13846" max="13870" width="11.7265625" style="4"/>
    <col min="13871" max="13888" width="9.90625" style="4" customWidth="1"/>
    <col min="13889" max="14098" width="11.7265625" style="4"/>
    <col min="14099" max="14099" width="9.90625" style="4" customWidth="1"/>
    <col min="14100" max="14100" width="6.26953125" style="4" customWidth="1"/>
    <col min="14101" max="14101" width="6.36328125" style="4" customWidth="1"/>
    <col min="14102" max="14126" width="11.7265625" style="4"/>
    <col min="14127" max="14144" width="9.90625" style="4" customWidth="1"/>
    <col min="14145" max="14354" width="11.7265625" style="4"/>
    <col min="14355" max="14355" width="9.90625" style="4" customWidth="1"/>
    <col min="14356" max="14356" width="6.26953125" style="4" customWidth="1"/>
    <col min="14357" max="14357" width="6.36328125" style="4" customWidth="1"/>
    <col min="14358" max="14382" width="11.7265625" style="4"/>
    <col min="14383" max="14400" width="9.90625" style="4" customWidth="1"/>
    <col min="14401" max="14610" width="11.7265625" style="4"/>
    <col min="14611" max="14611" width="9.90625" style="4" customWidth="1"/>
    <col min="14612" max="14612" width="6.26953125" style="4" customWidth="1"/>
    <col min="14613" max="14613" width="6.36328125" style="4" customWidth="1"/>
    <col min="14614" max="14638" width="11.7265625" style="4"/>
    <col min="14639" max="14656" width="9.90625" style="4" customWidth="1"/>
    <col min="14657" max="14866" width="11.7265625" style="4"/>
    <col min="14867" max="14867" width="9.90625" style="4" customWidth="1"/>
    <col min="14868" max="14868" width="6.26953125" style="4" customWidth="1"/>
    <col min="14869" max="14869" width="6.36328125" style="4" customWidth="1"/>
    <col min="14870" max="14894" width="11.7265625" style="4"/>
    <col min="14895" max="14912" width="9.90625" style="4" customWidth="1"/>
    <col min="14913" max="15122" width="11.7265625" style="4"/>
    <col min="15123" max="15123" width="9.90625" style="4" customWidth="1"/>
    <col min="15124" max="15124" width="6.26953125" style="4" customWidth="1"/>
    <col min="15125" max="15125" width="6.36328125" style="4" customWidth="1"/>
    <col min="15126" max="15150" width="11.7265625" style="4"/>
    <col min="15151" max="15168" width="9.90625" style="4" customWidth="1"/>
    <col min="15169" max="15378" width="11.7265625" style="4"/>
    <col min="15379" max="15379" width="9.90625" style="4" customWidth="1"/>
    <col min="15380" max="15380" width="6.26953125" style="4" customWidth="1"/>
    <col min="15381" max="15381" width="6.36328125" style="4" customWidth="1"/>
    <col min="15382" max="15406" width="11.7265625" style="4"/>
    <col min="15407" max="15424" width="9.90625" style="4" customWidth="1"/>
    <col min="15425" max="15634" width="11.7265625" style="4"/>
    <col min="15635" max="15635" width="9.90625" style="4" customWidth="1"/>
    <col min="15636" max="15636" width="6.26953125" style="4" customWidth="1"/>
    <col min="15637" max="15637" width="6.36328125" style="4" customWidth="1"/>
    <col min="15638" max="15662" width="11.7265625" style="4"/>
    <col min="15663" max="15680" width="9.90625" style="4" customWidth="1"/>
    <col min="15681" max="15890" width="11.7265625" style="4"/>
    <col min="15891" max="15891" width="9.90625" style="4" customWidth="1"/>
    <col min="15892" max="15892" width="6.26953125" style="4" customWidth="1"/>
    <col min="15893" max="15893" width="6.36328125" style="4" customWidth="1"/>
    <col min="15894" max="15918" width="11.7265625" style="4"/>
    <col min="15919" max="15936" width="9.90625" style="4" customWidth="1"/>
    <col min="15937" max="16146" width="11.7265625" style="4"/>
    <col min="16147" max="16147" width="9.90625" style="4" customWidth="1"/>
    <col min="16148" max="16148" width="6.26953125" style="4" customWidth="1"/>
    <col min="16149" max="16149" width="6.36328125" style="4" customWidth="1"/>
    <col min="16150" max="16174" width="11.7265625" style="4"/>
    <col min="16175" max="16192" width="9.90625" style="4" customWidth="1"/>
    <col min="16193" max="16384" width="11.7265625" style="4"/>
  </cols>
  <sheetData>
    <row r="1" spans="1:45" x14ac:dyDescent="0.25">
      <c r="A1" s="4" t="s">
        <v>42</v>
      </c>
    </row>
    <row r="2" spans="1:45" s="4" customFormat="1" x14ac:dyDescent="0.25">
      <c r="A2" s="4" t="s">
        <v>43</v>
      </c>
    </row>
    <row r="3" spans="1:45" s="4" customFormat="1" x14ac:dyDescent="0.25">
      <c r="T3" s="4" t="s">
        <v>44</v>
      </c>
    </row>
    <row r="4" spans="1:45" s="4" customFormat="1" ht="13" x14ac:dyDescent="0.3">
      <c r="A4" s="5" t="s">
        <v>45</v>
      </c>
      <c r="T4" s="4" t="s">
        <v>46</v>
      </c>
    </row>
    <row r="5" spans="1:45" s="4" customFormat="1" x14ac:dyDescent="0.25">
      <c r="A5" s="4" t="s">
        <v>47</v>
      </c>
    </row>
    <row r="6" spans="1:45" s="4" customFormat="1" x14ac:dyDescent="0.25">
      <c r="A6" s="4" t="s">
        <v>48</v>
      </c>
      <c r="F6" s="2"/>
      <c r="G6" s="2"/>
      <c r="T6" s="3" t="s">
        <v>49</v>
      </c>
      <c r="U6" s="4">
        <f>'UNIFAC (VLE)'!C10</f>
        <v>50</v>
      </c>
      <c r="V6" s="4" t="s">
        <v>12</v>
      </c>
    </row>
    <row r="7" spans="1:45" ht="15" x14ac:dyDescent="0.4">
      <c r="A7" s="4" t="s">
        <v>50</v>
      </c>
      <c r="F7" s="2"/>
      <c r="G7" s="2"/>
      <c r="U7" s="3"/>
      <c r="V7" s="2"/>
      <c r="W7" s="2"/>
      <c r="X7" s="2"/>
      <c r="Y7" s="6" t="s">
        <v>51</v>
      </c>
      <c r="Z7" s="2"/>
      <c r="AA7" s="2"/>
      <c r="AB7" s="2"/>
      <c r="AL7" s="2"/>
      <c r="AM7" s="2"/>
      <c r="AN7" s="2"/>
      <c r="AO7" s="2"/>
      <c r="AP7" s="2"/>
      <c r="AQ7" s="2"/>
      <c r="AR7" s="2"/>
    </row>
    <row r="8" spans="1:45" s="8" customFormat="1" ht="13" x14ac:dyDescent="0.3">
      <c r="A8" s="7" t="s">
        <v>52</v>
      </c>
      <c r="F8" s="2"/>
      <c r="G8" s="2"/>
      <c r="H8" s="2"/>
      <c r="I8" s="2"/>
      <c r="J8" s="2"/>
      <c r="K8" s="2"/>
      <c r="L8" s="2"/>
      <c r="M8" s="2"/>
      <c r="T8" s="8" t="s">
        <v>53</v>
      </c>
      <c r="U8" s="9" t="s">
        <v>54</v>
      </c>
      <c r="V8" s="9"/>
      <c r="W8" s="9"/>
      <c r="Y8" s="9">
        <f>U10</f>
        <v>1</v>
      </c>
      <c r="Z8" s="8">
        <f>U11</f>
        <v>1</v>
      </c>
      <c r="AA8" s="8">
        <f>U12</f>
        <v>1</v>
      </c>
      <c r="AB8" s="8">
        <f>U13</f>
        <v>3</v>
      </c>
      <c r="AC8" s="8">
        <f>U14</f>
        <v>3</v>
      </c>
      <c r="AD8" s="8">
        <f>U15</f>
        <v>4</v>
      </c>
      <c r="AE8" s="8">
        <f>U16</f>
        <v>4</v>
      </c>
      <c r="AF8" s="8">
        <f>U17</f>
        <v>5</v>
      </c>
      <c r="AG8" s="8">
        <f>U18</f>
        <v>6</v>
      </c>
      <c r="AH8" s="8">
        <f>U19</f>
        <v>7</v>
      </c>
      <c r="AI8" s="8">
        <f>U20</f>
        <v>8</v>
      </c>
      <c r="AJ8" s="8">
        <f>U21</f>
        <v>9</v>
      </c>
      <c r="AK8" s="8">
        <f>U22</f>
        <v>10</v>
      </c>
      <c r="AL8" s="8">
        <f>U23</f>
        <v>11</v>
      </c>
      <c r="AM8" s="8">
        <f>U24</f>
        <v>14</v>
      </c>
      <c r="AN8" s="8">
        <f>U25</f>
        <v>17</v>
      </c>
      <c r="AO8" s="8">
        <f>U26</f>
        <v>20</v>
      </c>
      <c r="AP8" s="8">
        <f>U27</f>
        <v>22</v>
      </c>
      <c r="AQ8" s="8">
        <f>U28</f>
        <v>23</v>
      </c>
      <c r="AR8" s="8">
        <f>U29</f>
        <v>46</v>
      </c>
    </row>
    <row r="9" spans="1:45" x14ac:dyDescent="0.25">
      <c r="A9" s="1"/>
      <c r="B9" s="3">
        <f>A10</f>
        <v>1</v>
      </c>
      <c r="C9" s="3">
        <f>A11</f>
        <v>2</v>
      </c>
      <c r="D9" s="3">
        <f>A12</f>
        <v>3</v>
      </c>
      <c r="E9" s="3">
        <f>A13</f>
        <v>4</v>
      </c>
      <c r="F9" s="3">
        <f>A14</f>
        <v>5</v>
      </c>
      <c r="G9" s="3">
        <f>A15</f>
        <v>6</v>
      </c>
      <c r="H9" s="3">
        <f>A16</f>
        <v>7</v>
      </c>
      <c r="I9" s="3">
        <f>A17</f>
        <v>8</v>
      </c>
      <c r="J9" s="3">
        <f>A18</f>
        <v>9</v>
      </c>
      <c r="K9" s="3">
        <f>A19</f>
        <v>10</v>
      </c>
      <c r="L9" s="3">
        <f>A20</f>
        <v>11</v>
      </c>
      <c r="M9" s="3">
        <f>A21</f>
        <v>14</v>
      </c>
      <c r="N9" s="3">
        <f>A22</f>
        <v>17</v>
      </c>
      <c r="O9" s="3">
        <f>A23</f>
        <v>20</v>
      </c>
      <c r="P9" s="3">
        <f>A24</f>
        <v>22</v>
      </c>
      <c r="Q9" s="3">
        <f>A25</f>
        <v>23</v>
      </c>
      <c r="R9" s="3">
        <f>A26</f>
        <v>46</v>
      </c>
      <c r="T9" s="4" t="s">
        <v>55</v>
      </c>
      <c r="U9" s="3" t="s">
        <v>55</v>
      </c>
      <c r="V9" s="2"/>
      <c r="W9" s="10" t="s">
        <v>56</v>
      </c>
      <c r="X9" s="11" t="s">
        <v>23</v>
      </c>
      <c r="Y9" s="10" t="str">
        <f>V10</f>
        <v>CH3</v>
      </c>
      <c r="Z9" s="10" t="str">
        <f>V11</f>
        <v>CH2</v>
      </c>
      <c r="AA9" s="10" t="str">
        <f>V12</f>
        <v>CH</v>
      </c>
      <c r="AB9" s="10" t="str">
        <f>V13</f>
        <v>ACH</v>
      </c>
      <c r="AC9" s="10" t="str">
        <f>V14</f>
        <v>AC</v>
      </c>
      <c r="AD9" s="10" t="str">
        <f>V15</f>
        <v>ACCH3</v>
      </c>
      <c r="AE9" s="10" t="str">
        <f>V16</f>
        <v>ACCH2</v>
      </c>
      <c r="AF9" s="10" t="str">
        <f>V17</f>
        <v>OH</v>
      </c>
      <c r="AG9" s="10" t="str">
        <f>V18</f>
        <v>CH3OH</v>
      </c>
      <c r="AH9" s="10" t="str">
        <f>V19</f>
        <v>H2O</v>
      </c>
      <c r="AI9" s="10" t="str">
        <f>V20</f>
        <v>ACOH</v>
      </c>
      <c r="AJ9" s="10" t="str">
        <f>V21</f>
        <v>CH3CO</v>
      </c>
      <c r="AK9" s="10" t="str">
        <f>V22</f>
        <v>CHO</v>
      </c>
      <c r="AL9" s="10" t="str">
        <f>V23</f>
        <v>CH3COO</v>
      </c>
      <c r="AM9" s="10" t="str">
        <f>V24</f>
        <v>CH2NH2</v>
      </c>
      <c r="AN9" s="10" t="str">
        <f>V25</f>
        <v>ACNH2</v>
      </c>
      <c r="AO9" s="10" t="str">
        <f>V26</f>
        <v>COOH</v>
      </c>
      <c r="AP9" s="10" t="str">
        <f>V27</f>
        <v>CCL2</v>
      </c>
      <c r="AQ9" s="10" t="str">
        <f>V28</f>
        <v>CCL3</v>
      </c>
      <c r="AR9" s="10" t="str">
        <f>V29</f>
        <v>CON(CH2)2</v>
      </c>
      <c r="AS9" s="12"/>
    </row>
    <row r="10" spans="1:45" x14ac:dyDescent="0.25">
      <c r="A10" s="13">
        <v>1</v>
      </c>
      <c r="B10" s="14">
        <v>0</v>
      </c>
      <c r="C10" s="15">
        <v>86.02</v>
      </c>
      <c r="D10" s="15">
        <v>61.13</v>
      </c>
      <c r="E10" s="15">
        <v>76.5</v>
      </c>
      <c r="F10" s="15">
        <v>986.5</v>
      </c>
      <c r="G10" s="15">
        <v>697.2</v>
      </c>
      <c r="H10" s="15">
        <v>1318</v>
      </c>
      <c r="I10" s="15">
        <v>1333</v>
      </c>
      <c r="J10" s="15">
        <v>476.4</v>
      </c>
      <c r="K10" s="15">
        <v>677</v>
      </c>
      <c r="L10" s="15">
        <v>232.1</v>
      </c>
      <c r="M10" s="15">
        <v>391.5</v>
      </c>
      <c r="N10" s="15">
        <v>920.7</v>
      </c>
      <c r="O10" s="15">
        <v>663.5</v>
      </c>
      <c r="P10" s="15">
        <v>53.76</v>
      </c>
      <c r="Q10" s="15">
        <v>24.9</v>
      </c>
      <c r="R10" s="16">
        <v>380.9</v>
      </c>
      <c r="T10" s="4">
        <f>'UNIFAC (VLE)'!A23</f>
        <v>1</v>
      </c>
      <c r="U10" s="3">
        <f t="shared" ref="U10:U29" si="0">VLOOKUP($T10,$A$34:$E$63,2,FALSE)</f>
        <v>1</v>
      </c>
      <c r="V10" s="17" t="str">
        <f t="shared" ref="V10:V29" si="1">VLOOKUP($T10,$A$34:$E$63,3,FALSE)</f>
        <v>CH3</v>
      </c>
      <c r="W10" s="4">
        <f t="shared" ref="W10:W29" si="2">VLOOKUP($T10,$A$34:$E$63,4,FALSE)</f>
        <v>0.90110000000000001</v>
      </c>
      <c r="X10" s="4">
        <f t="shared" ref="X10:X29" si="3">VLOOKUP($T10,$A$34:$E$63,5,FALSE)</f>
        <v>0.84799999999999998</v>
      </c>
      <c r="Y10" s="18">
        <f t="shared" ref="Y10:Y29" si="4">INDEX(MGaij,MATCH($U10,row,0),MATCH(Y$8,column,0))</f>
        <v>0</v>
      </c>
      <c r="Z10" s="19">
        <f t="shared" ref="Z10:AR23" si="5">INDEX(MGaij,MATCH($U10,row,0),MATCH(Z$8,column,0))</f>
        <v>0</v>
      </c>
      <c r="AA10" s="19">
        <f t="shared" si="5"/>
        <v>0</v>
      </c>
      <c r="AB10" s="19">
        <f t="shared" si="5"/>
        <v>61.13</v>
      </c>
      <c r="AC10" s="19">
        <f t="shared" si="5"/>
        <v>61.13</v>
      </c>
      <c r="AD10" s="19">
        <f t="shared" si="5"/>
        <v>76.5</v>
      </c>
      <c r="AE10" s="19">
        <f t="shared" si="5"/>
        <v>76.5</v>
      </c>
      <c r="AF10" s="19">
        <f t="shared" si="5"/>
        <v>986.5</v>
      </c>
      <c r="AG10" s="19">
        <f t="shared" si="5"/>
        <v>697.2</v>
      </c>
      <c r="AH10" s="19">
        <f t="shared" si="5"/>
        <v>1318</v>
      </c>
      <c r="AI10" s="19">
        <f t="shared" si="5"/>
        <v>1333</v>
      </c>
      <c r="AJ10" s="19">
        <f t="shared" si="5"/>
        <v>476.4</v>
      </c>
      <c r="AK10" s="19">
        <f t="shared" si="5"/>
        <v>677</v>
      </c>
      <c r="AL10" s="19">
        <f t="shared" si="5"/>
        <v>232.1</v>
      </c>
      <c r="AM10" s="19">
        <f t="shared" si="5"/>
        <v>391.5</v>
      </c>
      <c r="AN10" s="19">
        <f t="shared" si="5"/>
        <v>920.7</v>
      </c>
      <c r="AO10" s="19">
        <f t="shared" si="5"/>
        <v>663.5</v>
      </c>
      <c r="AP10" s="19">
        <f t="shared" si="5"/>
        <v>53.76</v>
      </c>
      <c r="AQ10" s="19">
        <f t="shared" si="5"/>
        <v>24.9</v>
      </c>
      <c r="AR10" s="19">
        <f t="shared" si="5"/>
        <v>380.9</v>
      </c>
      <c r="AS10" s="17" t="str">
        <f t="shared" ref="AS10:AS29" si="6">V10</f>
        <v>CH3</v>
      </c>
    </row>
    <row r="11" spans="1:45" x14ac:dyDescent="0.25">
      <c r="A11" s="13">
        <v>2</v>
      </c>
      <c r="B11" s="20">
        <v>-35.36</v>
      </c>
      <c r="C11" s="21">
        <v>0</v>
      </c>
      <c r="D11" s="21">
        <v>38.81</v>
      </c>
      <c r="E11" s="21">
        <v>74.150000000000006</v>
      </c>
      <c r="F11" s="21">
        <v>524.1</v>
      </c>
      <c r="G11" s="21">
        <v>787.6</v>
      </c>
      <c r="H11" s="21">
        <v>270.60000000000002</v>
      </c>
      <c r="I11" s="21">
        <v>526.1</v>
      </c>
      <c r="J11" s="21">
        <v>182.6</v>
      </c>
      <c r="K11" s="21">
        <v>448.8</v>
      </c>
      <c r="L11" s="21">
        <v>37.85</v>
      </c>
      <c r="M11" s="21">
        <v>240.9</v>
      </c>
      <c r="N11" s="21">
        <v>749.3</v>
      </c>
      <c r="O11" s="21">
        <v>318.89999999999998</v>
      </c>
      <c r="P11" s="21">
        <v>58.55</v>
      </c>
      <c r="Q11" s="21">
        <v>-13.99</v>
      </c>
      <c r="R11" s="22">
        <v>200.2</v>
      </c>
      <c r="T11" s="4">
        <f>'UNIFAC (VLE)'!A24</f>
        <v>2</v>
      </c>
      <c r="U11" s="3">
        <f t="shared" si="0"/>
        <v>1</v>
      </c>
      <c r="V11" s="17" t="str">
        <f t="shared" si="1"/>
        <v>CH2</v>
      </c>
      <c r="W11" s="4">
        <f t="shared" si="2"/>
        <v>0.6744</v>
      </c>
      <c r="X11" s="4">
        <f t="shared" si="3"/>
        <v>0.54</v>
      </c>
      <c r="Y11" s="23">
        <f t="shared" si="4"/>
        <v>0</v>
      </c>
      <c r="Z11" s="4">
        <f t="shared" si="5"/>
        <v>0</v>
      </c>
      <c r="AA11" s="4">
        <f t="shared" si="5"/>
        <v>0</v>
      </c>
      <c r="AB11" s="4">
        <f t="shared" si="5"/>
        <v>61.13</v>
      </c>
      <c r="AC11" s="4">
        <f t="shared" si="5"/>
        <v>61.13</v>
      </c>
      <c r="AD11" s="4">
        <f t="shared" si="5"/>
        <v>76.5</v>
      </c>
      <c r="AE11" s="4">
        <f t="shared" si="5"/>
        <v>76.5</v>
      </c>
      <c r="AF11" s="4">
        <f t="shared" si="5"/>
        <v>986.5</v>
      </c>
      <c r="AG11" s="4">
        <f t="shared" si="5"/>
        <v>697.2</v>
      </c>
      <c r="AH11" s="4">
        <f t="shared" si="5"/>
        <v>1318</v>
      </c>
      <c r="AI11" s="4">
        <f t="shared" si="5"/>
        <v>1333</v>
      </c>
      <c r="AJ11" s="4">
        <f t="shared" si="5"/>
        <v>476.4</v>
      </c>
      <c r="AK11" s="4">
        <f t="shared" si="5"/>
        <v>677</v>
      </c>
      <c r="AL11" s="4">
        <f t="shared" si="5"/>
        <v>232.1</v>
      </c>
      <c r="AM11" s="4">
        <f t="shared" si="5"/>
        <v>391.5</v>
      </c>
      <c r="AN11" s="4">
        <f t="shared" si="5"/>
        <v>920.7</v>
      </c>
      <c r="AO11" s="4">
        <f t="shared" si="5"/>
        <v>663.5</v>
      </c>
      <c r="AP11" s="4">
        <f t="shared" si="5"/>
        <v>53.76</v>
      </c>
      <c r="AQ11" s="4">
        <f t="shared" si="5"/>
        <v>24.9</v>
      </c>
      <c r="AR11" s="24">
        <f t="shared" si="5"/>
        <v>380.9</v>
      </c>
      <c r="AS11" s="17" t="str">
        <f t="shared" si="6"/>
        <v>CH2</v>
      </c>
    </row>
    <row r="12" spans="1:45" x14ac:dyDescent="0.25">
      <c r="A12" s="13">
        <v>3</v>
      </c>
      <c r="B12" s="20">
        <v>-11.12</v>
      </c>
      <c r="C12" s="21">
        <v>3.4460000000000002</v>
      </c>
      <c r="D12" s="21">
        <v>0</v>
      </c>
      <c r="E12" s="21">
        <v>167</v>
      </c>
      <c r="F12" s="21">
        <v>636.1</v>
      </c>
      <c r="G12" s="21">
        <v>637.29999999999995</v>
      </c>
      <c r="H12" s="21">
        <v>903.8</v>
      </c>
      <c r="I12" s="21">
        <v>1329</v>
      </c>
      <c r="J12" s="21">
        <v>25.77</v>
      </c>
      <c r="K12" s="21">
        <v>347.3</v>
      </c>
      <c r="L12" s="21">
        <v>5.9939999999999998</v>
      </c>
      <c r="M12" s="21">
        <v>161.69999999999999</v>
      </c>
      <c r="N12" s="21">
        <v>648.20000000000005</v>
      </c>
      <c r="O12" s="21">
        <v>537.4</v>
      </c>
      <c r="P12" s="21">
        <v>-144.4</v>
      </c>
      <c r="Q12" s="21">
        <v>-231.9</v>
      </c>
      <c r="R12" s="22"/>
      <c r="T12" s="4">
        <f>'UNIFAC (VLE)'!A25</f>
        <v>3</v>
      </c>
      <c r="U12" s="3">
        <f t="shared" si="0"/>
        <v>1</v>
      </c>
      <c r="V12" s="17" t="str">
        <f t="shared" si="1"/>
        <v>CH</v>
      </c>
      <c r="W12" s="4">
        <f t="shared" si="2"/>
        <v>0.44690000000000002</v>
      </c>
      <c r="X12" s="4">
        <f t="shared" si="3"/>
        <v>0.22800000000000001</v>
      </c>
      <c r="Y12" s="23">
        <f t="shared" si="4"/>
        <v>0</v>
      </c>
      <c r="Z12" s="4">
        <f t="shared" si="5"/>
        <v>0</v>
      </c>
      <c r="AA12" s="4">
        <f t="shared" si="5"/>
        <v>0</v>
      </c>
      <c r="AB12" s="4">
        <f t="shared" si="5"/>
        <v>61.13</v>
      </c>
      <c r="AC12" s="4">
        <f t="shared" si="5"/>
        <v>61.13</v>
      </c>
      <c r="AD12" s="4">
        <f t="shared" si="5"/>
        <v>76.5</v>
      </c>
      <c r="AE12" s="4">
        <f t="shared" si="5"/>
        <v>76.5</v>
      </c>
      <c r="AF12" s="4">
        <f t="shared" si="5"/>
        <v>986.5</v>
      </c>
      <c r="AG12" s="4">
        <f t="shared" si="5"/>
        <v>697.2</v>
      </c>
      <c r="AH12" s="4">
        <f t="shared" si="5"/>
        <v>1318</v>
      </c>
      <c r="AI12" s="4">
        <f t="shared" si="5"/>
        <v>1333</v>
      </c>
      <c r="AJ12" s="4">
        <f t="shared" si="5"/>
        <v>476.4</v>
      </c>
      <c r="AK12" s="4">
        <f t="shared" si="5"/>
        <v>677</v>
      </c>
      <c r="AL12" s="4">
        <f t="shared" si="5"/>
        <v>232.1</v>
      </c>
      <c r="AM12" s="4">
        <f t="shared" si="5"/>
        <v>391.5</v>
      </c>
      <c r="AN12" s="4">
        <f t="shared" si="5"/>
        <v>920.7</v>
      </c>
      <c r="AO12" s="4">
        <f t="shared" si="5"/>
        <v>663.5</v>
      </c>
      <c r="AP12" s="4">
        <f t="shared" si="5"/>
        <v>53.76</v>
      </c>
      <c r="AQ12" s="4">
        <f t="shared" si="5"/>
        <v>24.9</v>
      </c>
      <c r="AR12" s="24">
        <f t="shared" si="5"/>
        <v>380.9</v>
      </c>
      <c r="AS12" s="17" t="str">
        <f t="shared" si="6"/>
        <v>CH</v>
      </c>
    </row>
    <row r="13" spans="1:45" x14ac:dyDescent="0.25">
      <c r="A13" s="13">
        <v>4</v>
      </c>
      <c r="B13" s="20">
        <v>-69.7</v>
      </c>
      <c r="C13" s="21">
        <v>-113.6</v>
      </c>
      <c r="D13" s="21">
        <v>-146.80000000000001</v>
      </c>
      <c r="E13" s="21">
        <v>0</v>
      </c>
      <c r="F13" s="21">
        <v>803.2</v>
      </c>
      <c r="G13" s="21">
        <v>603.20000000000005</v>
      </c>
      <c r="H13" s="21">
        <v>5695</v>
      </c>
      <c r="I13" s="21">
        <v>884.9</v>
      </c>
      <c r="J13" s="21">
        <v>-52.1</v>
      </c>
      <c r="K13" s="21">
        <v>586.6</v>
      </c>
      <c r="L13" s="21">
        <v>5688</v>
      </c>
      <c r="M13" s="21">
        <v>19.02</v>
      </c>
      <c r="N13" s="21">
        <v>664.2</v>
      </c>
      <c r="O13" s="21">
        <v>872.3</v>
      </c>
      <c r="P13" s="21">
        <v>-111</v>
      </c>
      <c r="Q13" s="21">
        <v>-80.25</v>
      </c>
      <c r="R13" s="22"/>
      <c r="T13" s="4">
        <f>'UNIFAC (VLE)'!A26</f>
        <v>9</v>
      </c>
      <c r="U13" s="3">
        <f t="shared" si="0"/>
        <v>3</v>
      </c>
      <c r="V13" s="17" t="str">
        <f t="shared" si="1"/>
        <v>ACH</v>
      </c>
      <c r="W13" s="4">
        <f t="shared" si="2"/>
        <v>0.53129999999999999</v>
      </c>
      <c r="X13" s="4">
        <f t="shared" si="3"/>
        <v>0.4</v>
      </c>
      <c r="Y13" s="23">
        <f t="shared" si="4"/>
        <v>-11.12</v>
      </c>
      <c r="Z13" s="4">
        <f t="shared" si="5"/>
        <v>-11.12</v>
      </c>
      <c r="AA13" s="4">
        <f t="shared" si="5"/>
        <v>-11.12</v>
      </c>
      <c r="AB13" s="4">
        <f t="shared" si="5"/>
        <v>0</v>
      </c>
      <c r="AC13" s="4">
        <f t="shared" si="5"/>
        <v>0</v>
      </c>
      <c r="AD13" s="4">
        <f t="shared" si="5"/>
        <v>167</v>
      </c>
      <c r="AE13" s="4">
        <f t="shared" si="5"/>
        <v>167</v>
      </c>
      <c r="AF13" s="4">
        <f t="shared" si="5"/>
        <v>636.1</v>
      </c>
      <c r="AG13" s="4">
        <f t="shared" si="5"/>
        <v>637.29999999999995</v>
      </c>
      <c r="AH13" s="4">
        <f t="shared" si="5"/>
        <v>903.8</v>
      </c>
      <c r="AI13" s="4">
        <f t="shared" si="5"/>
        <v>1329</v>
      </c>
      <c r="AJ13" s="4">
        <f t="shared" si="5"/>
        <v>25.77</v>
      </c>
      <c r="AK13" s="4">
        <f t="shared" si="5"/>
        <v>347.3</v>
      </c>
      <c r="AL13" s="4">
        <f t="shared" si="5"/>
        <v>5.9939999999999998</v>
      </c>
      <c r="AM13" s="4">
        <f t="shared" si="5"/>
        <v>161.69999999999999</v>
      </c>
      <c r="AN13" s="4">
        <f t="shared" si="5"/>
        <v>648.20000000000005</v>
      </c>
      <c r="AO13" s="4">
        <f t="shared" si="5"/>
        <v>537.4</v>
      </c>
      <c r="AP13" s="4">
        <f t="shared" si="5"/>
        <v>-144.4</v>
      </c>
      <c r="AQ13" s="4">
        <f t="shared" si="5"/>
        <v>-231.9</v>
      </c>
      <c r="AR13" s="24">
        <f t="shared" si="5"/>
        <v>0</v>
      </c>
      <c r="AS13" s="17" t="str">
        <f t="shared" si="6"/>
        <v>ACH</v>
      </c>
    </row>
    <row r="14" spans="1:45" x14ac:dyDescent="0.25">
      <c r="A14" s="13">
        <v>5</v>
      </c>
      <c r="B14" s="20">
        <v>156.4</v>
      </c>
      <c r="C14" s="21">
        <v>457</v>
      </c>
      <c r="D14" s="21">
        <v>89.6</v>
      </c>
      <c r="E14" s="21">
        <v>25.82</v>
      </c>
      <c r="F14" s="21">
        <v>0</v>
      </c>
      <c r="G14" s="21">
        <v>-137.1</v>
      </c>
      <c r="H14" s="21">
        <v>353.5</v>
      </c>
      <c r="I14" s="21">
        <v>-259.7</v>
      </c>
      <c r="J14" s="21">
        <v>84</v>
      </c>
      <c r="K14" s="21">
        <v>-203.6</v>
      </c>
      <c r="L14" s="21">
        <v>101.1</v>
      </c>
      <c r="M14" s="21">
        <v>8.6419999999999995</v>
      </c>
      <c r="N14" s="21">
        <v>-52.39</v>
      </c>
      <c r="O14" s="21">
        <v>199</v>
      </c>
      <c r="P14" s="21">
        <v>65.28</v>
      </c>
      <c r="Q14" s="21">
        <v>-98.12</v>
      </c>
      <c r="R14" s="22">
        <v>-382.7</v>
      </c>
      <c r="T14" s="4">
        <f>'UNIFAC (VLE)'!A27</f>
        <v>10</v>
      </c>
      <c r="U14" s="3">
        <f t="shared" si="0"/>
        <v>3</v>
      </c>
      <c r="V14" s="17" t="str">
        <f t="shared" si="1"/>
        <v>AC</v>
      </c>
      <c r="W14" s="4">
        <f t="shared" si="2"/>
        <v>0.36520000000000002</v>
      </c>
      <c r="X14" s="4">
        <f t="shared" si="3"/>
        <v>0.12</v>
      </c>
      <c r="Y14" s="23">
        <f t="shared" si="4"/>
        <v>-11.12</v>
      </c>
      <c r="Z14" s="4">
        <f t="shared" si="5"/>
        <v>-11.12</v>
      </c>
      <c r="AA14" s="4">
        <f t="shared" si="5"/>
        <v>-11.12</v>
      </c>
      <c r="AB14" s="4">
        <f t="shared" si="5"/>
        <v>0</v>
      </c>
      <c r="AC14" s="4">
        <f t="shared" si="5"/>
        <v>0</v>
      </c>
      <c r="AD14" s="4">
        <f t="shared" si="5"/>
        <v>167</v>
      </c>
      <c r="AE14" s="4">
        <f t="shared" si="5"/>
        <v>167</v>
      </c>
      <c r="AF14" s="4">
        <f t="shared" si="5"/>
        <v>636.1</v>
      </c>
      <c r="AG14" s="4">
        <f t="shared" si="5"/>
        <v>637.29999999999995</v>
      </c>
      <c r="AH14" s="4">
        <f t="shared" si="5"/>
        <v>903.8</v>
      </c>
      <c r="AI14" s="4">
        <f t="shared" si="5"/>
        <v>1329</v>
      </c>
      <c r="AJ14" s="4">
        <f t="shared" si="5"/>
        <v>25.77</v>
      </c>
      <c r="AK14" s="4">
        <f t="shared" si="5"/>
        <v>347.3</v>
      </c>
      <c r="AL14" s="4">
        <f t="shared" si="5"/>
        <v>5.9939999999999998</v>
      </c>
      <c r="AM14" s="4">
        <f t="shared" si="5"/>
        <v>161.69999999999999</v>
      </c>
      <c r="AN14" s="4">
        <f t="shared" si="5"/>
        <v>648.20000000000005</v>
      </c>
      <c r="AO14" s="4">
        <f t="shared" si="5"/>
        <v>537.4</v>
      </c>
      <c r="AP14" s="4">
        <f t="shared" si="5"/>
        <v>-144.4</v>
      </c>
      <c r="AQ14" s="4">
        <f t="shared" si="5"/>
        <v>-231.9</v>
      </c>
      <c r="AR14" s="24">
        <f t="shared" si="5"/>
        <v>0</v>
      </c>
      <c r="AS14" s="17" t="str">
        <f t="shared" si="6"/>
        <v>AC</v>
      </c>
    </row>
    <row r="15" spans="1:45" x14ac:dyDescent="0.25">
      <c r="A15" s="13">
        <v>6</v>
      </c>
      <c r="B15" s="20">
        <v>16.510000000000002</v>
      </c>
      <c r="C15" s="21">
        <v>-12.52</v>
      </c>
      <c r="D15" s="21">
        <v>-50</v>
      </c>
      <c r="E15" s="21">
        <v>-44.5</v>
      </c>
      <c r="F15" s="21">
        <v>249.1</v>
      </c>
      <c r="G15" s="21">
        <v>0</v>
      </c>
      <c r="H15" s="21">
        <v>-181</v>
      </c>
      <c r="I15" s="21">
        <v>-101.7</v>
      </c>
      <c r="J15" s="21">
        <v>23.39</v>
      </c>
      <c r="K15" s="21">
        <v>306.39999999999998</v>
      </c>
      <c r="L15" s="21">
        <v>-10.72</v>
      </c>
      <c r="M15" s="21">
        <v>359.3</v>
      </c>
      <c r="N15" s="21">
        <v>489.7</v>
      </c>
      <c r="O15" s="21">
        <v>-202</v>
      </c>
      <c r="P15" s="21">
        <v>-102.5</v>
      </c>
      <c r="Q15" s="21">
        <v>-139.4</v>
      </c>
      <c r="R15" s="22"/>
      <c r="T15" s="4">
        <f>'UNIFAC (VLE)'!A28</f>
        <v>11</v>
      </c>
      <c r="U15" s="3">
        <f t="shared" si="0"/>
        <v>4</v>
      </c>
      <c r="V15" s="17" t="str">
        <f t="shared" si="1"/>
        <v>ACCH3</v>
      </c>
      <c r="W15" s="4">
        <f t="shared" si="2"/>
        <v>1.2663</v>
      </c>
      <c r="X15" s="4">
        <f t="shared" si="3"/>
        <v>0.96799999999999997</v>
      </c>
      <c r="Y15" s="23">
        <f t="shared" si="4"/>
        <v>-69.7</v>
      </c>
      <c r="Z15" s="4">
        <f t="shared" si="5"/>
        <v>-69.7</v>
      </c>
      <c r="AA15" s="4">
        <f t="shared" si="5"/>
        <v>-69.7</v>
      </c>
      <c r="AB15" s="4">
        <f t="shared" si="5"/>
        <v>-146.80000000000001</v>
      </c>
      <c r="AC15" s="4">
        <f t="shared" si="5"/>
        <v>-146.80000000000001</v>
      </c>
      <c r="AD15" s="4">
        <f t="shared" si="5"/>
        <v>0</v>
      </c>
      <c r="AE15" s="4">
        <f t="shared" si="5"/>
        <v>0</v>
      </c>
      <c r="AF15" s="4">
        <f t="shared" si="5"/>
        <v>803.2</v>
      </c>
      <c r="AG15" s="4">
        <f t="shared" si="5"/>
        <v>603.20000000000005</v>
      </c>
      <c r="AH15" s="4">
        <f t="shared" si="5"/>
        <v>5695</v>
      </c>
      <c r="AI15" s="4">
        <f t="shared" si="5"/>
        <v>884.9</v>
      </c>
      <c r="AJ15" s="4">
        <f t="shared" si="5"/>
        <v>-52.1</v>
      </c>
      <c r="AK15" s="4">
        <f t="shared" si="5"/>
        <v>586.6</v>
      </c>
      <c r="AL15" s="4">
        <f t="shared" si="5"/>
        <v>5688</v>
      </c>
      <c r="AM15" s="4">
        <f t="shared" si="5"/>
        <v>19.02</v>
      </c>
      <c r="AN15" s="4">
        <f t="shared" si="5"/>
        <v>664.2</v>
      </c>
      <c r="AO15" s="4">
        <f t="shared" si="5"/>
        <v>872.3</v>
      </c>
      <c r="AP15" s="4">
        <f t="shared" si="5"/>
        <v>-111</v>
      </c>
      <c r="AQ15" s="4">
        <f t="shared" si="5"/>
        <v>-80.25</v>
      </c>
      <c r="AR15" s="24">
        <f t="shared" si="5"/>
        <v>0</v>
      </c>
      <c r="AS15" s="17" t="str">
        <f t="shared" si="6"/>
        <v>ACCH3</v>
      </c>
    </row>
    <row r="16" spans="1:45" x14ac:dyDescent="0.25">
      <c r="A16" s="13">
        <v>7</v>
      </c>
      <c r="B16" s="20">
        <v>300</v>
      </c>
      <c r="C16" s="21">
        <v>496.1</v>
      </c>
      <c r="D16" s="21">
        <v>362.3</v>
      </c>
      <c r="E16" s="21">
        <v>377.6</v>
      </c>
      <c r="F16" s="21">
        <v>-229.1</v>
      </c>
      <c r="G16" s="21">
        <v>289.60000000000002</v>
      </c>
      <c r="H16" s="21">
        <v>0</v>
      </c>
      <c r="I16" s="21">
        <v>324.5</v>
      </c>
      <c r="J16" s="21">
        <v>-195.4</v>
      </c>
      <c r="K16" s="21">
        <v>-116</v>
      </c>
      <c r="L16" s="21">
        <v>72.87</v>
      </c>
      <c r="M16" s="21">
        <v>48.89</v>
      </c>
      <c r="N16" s="21">
        <v>243.2</v>
      </c>
      <c r="O16" s="21">
        <v>-14.09</v>
      </c>
      <c r="P16" s="21">
        <v>370.4</v>
      </c>
      <c r="Q16" s="21">
        <v>353.7</v>
      </c>
      <c r="R16" s="22">
        <v>835.6</v>
      </c>
      <c r="T16" s="4">
        <f>'UNIFAC (VLE)'!A29</f>
        <v>12</v>
      </c>
      <c r="U16" s="3">
        <f t="shared" si="0"/>
        <v>4</v>
      </c>
      <c r="V16" s="17" t="str">
        <f t="shared" si="1"/>
        <v>ACCH2</v>
      </c>
      <c r="W16" s="4">
        <f t="shared" si="2"/>
        <v>1.0396000000000001</v>
      </c>
      <c r="X16" s="4">
        <f t="shared" si="3"/>
        <v>0.66</v>
      </c>
      <c r="Y16" s="23">
        <f t="shared" si="4"/>
        <v>-69.7</v>
      </c>
      <c r="Z16" s="4">
        <f t="shared" si="5"/>
        <v>-69.7</v>
      </c>
      <c r="AA16" s="4">
        <f t="shared" si="5"/>
        <v>-69.7</v>
      </c>
      <c r="AB16" s="4">
        <f t="shared" si="5"/>
        <v>-146.80000000000001</v>
      </c>
      <c r="AC16" s="4">
        <f t="shared" si="5"/>
        <v>-146.80000000000001</v>
      </c>
      <c r="AD16" s="4">
        <f t="shared" si="5"/>
        <v>0</v>
      </c>
      <c r="AE16" s="4">
        <f t="shared" si="5"/>
        <v>0</v>
      </c>
      <c r="AF16" s="4">
        <f t="shared" si="5"/>
        <v>803.2</v>
      </c>
      <c r="AG16" s="4">
        <f t="shared" si="5"/>
        <v>603.20000000000005</v>
      </c>
      <c r="AH16" s="4">
        <f t="shared" si="5"/>
        <v>5695</v>
      </c>
      <c r="AI16" s="4">
        <f t="shared" si="5"/>
        <v>884.9</v>
      </c>
      <c r="AJ16" s="4">
        <f t="shared" si="5"/>
        <v>-52.1</v>
      </c>
      <c r="AK16" s="4">
        <f t="shared" si="5"/>
        <v>586.6</v>
      </c>
      <c r="AL16" s="4">
        <f t="shared" si="5"/>
        <v>5688</v>
      </c>
      <c r="AM16" s="4">
        <f t="shared" si="5"/>
        <v>19.02</v>
      </c>
      <c r="AN16" s="4">
        <f t="shared" si="5"/>
        <v>664.2</v>
      </c>
      <c r="AO16" s="4">
        <f t="shared" si="5"/>
        <v>872.3</v>
      </c>
      <c r="AP16" s="4">
        <f t="shared" si="5"/>
        <v>-111</v>
      </c>
      <c r="AQ16" s="4">
        <f t="shared" si="5"/>
        <v>-80.25</v>
      </c>
      <c r="AR16" s="24">
        <f t="shared" si="5"/>
        <v>0</v>
      </c>
      <c r="AS16" s="17" t="str">
        <f t="shared" si="6"/>
        <v>ACCH2</v>
      </c>
    </row>
    <row r="17" spans="1:45" x14ac:dyDescent="0.25">
      <c r="A17" s="13">
        <v>8</v>
      </c>
      <c r="B17" s="20">
        <v>275.8</v>
      </c>
      <c r="C17" s="21">
        <v>217.5</v>
      </c>
      <c r="D17" s="21">
        <v>25.34</v>
      </c>
      <c r="E17" s="21">
        <v>244.2</v>
      </c>
      <c r="F17" s="21">
        <v>-451.6</v>
      </c>
      <c r="G17" s="21">
        <v>-265.2</v>
      </c>
      <c r="H17" s="21">
        <v>-601.79999999999995</v>
      </c>
      <c r="I17" s="21">
        <v>0</v>
      </c>
      <c r="J17" s="21">
        <v>-356.1</v>
      </c>
      <c r="K17" s="21">
        <v>-271.10000000000002</v>
      </c>
      <c r="L17" s="21">
        <v>-449.4</v>
      </c>
      <c r="M17" s="21"/>
      <c r="N17" s="21">
        <v>119.9</v>
      </c>
      <c r="O17" s="21">
        <v>408.9</v>
      </c>
      <c r="P17" s="21"/>
      <c r="Q17" s="21"/>
      <c r="R17" s="22"/>
      <c r="T17" s="4">
        <f>'UNIFAC (VLE)'!A30</f>
        <v>14</v>
      </c>
      <c r="U17" s="3">
        <f t="shared" si="0"/>
        <v>5</v>
      </c>
      <c r="V17" s="17" t="str">
        <f t="shared" si="1"/>
        <v>OH</v>
      </c>
      <c r="W17" s="4">
        <f t="shared" si="2"/>
        <v>1</v>
      </c>
      <c r="X17" s="4">
        <f t="shared" si="3"/>
        <v>1.2</v>
      </c>
      <c r="Y17" s="23">
        <f t="shared" si="4"/>
        <v>156.4</v>
      </c>
      <c r="Z17" s="4">
        <f t="shared" si="5"/>
        <v>156.4</v>
      </c>
      <c r="AA17" s="4">
        <f t="shared" si="5"/>
        <v>156.4</v>
      </c>
      <c r="AB17" s="4">
        <f t="shared" si="5"/>
        <v>89.6</v>
      </c>
      <c r="AC17" s="4">
        <f t="shared" si="5"/>
        <v>89.6</v>
      </c>
      <c r="AD17" s="4">
        <f t="shared" si="5"/>
        <v>25.82</v>
      </c>
      <c r="AE17" s="4">
        <f t="shared" si="5"/>
        <v>25.82</v>
      </c>
      <c r="AF17" s="4">
        <f t="shared" si="5"/>
        <v>0</v>
      </c>
      <c r="AG17" s="4">
        <f t="shared" si="5"/>
        <v>-137.1</v>
      </c>
      <c r="AH17" s="4">
        <f t="shared" si="5"/>
        <v>353.5</v>
      </c>
      <c r="AI17" s="4">
        <f t="shared" si="5"/>
        <v>-259.7</v>
      </c>
      <c r="AJ17" s="4">
        <f t="shared" si="5"/>
        <v>84</v>
      </c>
      <c r="AK17" s="4">
        <f t="shared" si="5"/>
        <v>-203.6</v>
      </c>
      <c r="AL17" s="4">
        <f t="shared" si="5"/>
        <v>101.1</v>
      </c>
      <c r="AM17" s="4">
        <f t="shared" si="5"/>
        <v>8.6419999999999995</v>
      </c>
      <c r="AN17" s="4">
        <f t="shared" si="5"/>
        <v>-52.39</v>
      </c>
      <c r="AO17" s="4">
        <f t="shared" si="5"/>
        <v>199</v>
      </c>
      <c r="AP17" s="4">
        <f t="shared" si="5"/>
        <v>65.28</v>
      </c>
      <c r="AQ17" s="4">
        <f t="shared" si="5"/>
        <v>-98.12</v>
      </c>
      <c r="AR17" s="24">
        <f t="shared" si="5"/>
        <v>-382.7</v>
      </c>
      <c r="AS17" s="17" t="str">
        <f t="shared" si="6"/>
        <v>OH</v>
      </c>
    </row>
    <row r="18" spans="1:45" x14ac:dyDescent="0.25">
      <c r="A18" s="13">
        <v>9</v>
      </c>
      <c r="B18" s="20">
        <v>26.76</v>
      </c>
      <c r="C18" s="21">
        <v>42.92</v>
      </c>
      <c r="D18" s="21">
        <v>140.1</v>
      </c>
      <c r="E18" s="21">
        <v>365.8</v>
      </c>
      <c r="F18" s="21">
        <v>164.5</v>
      </c>
      <c r="G18" s="21">
        <v>108.7</v>
      </c>
      <c r="H18" s="21">
        <v>472.5</v>
      </c>
      <c r="I18" s="21">
        <v>-133.1</v>
      </c>
      <c r="J18" s="21">
        <v>0</v>
      </c>
      <c r="K18" s="21">
        <v>-37.36</v>
      </c>
      <c r="L18" s="21">
        <v>-213.7</v>
      </c>
      <c r="M18" s="21"/>
      <c r="N18" s="21">
        <v>6201</v>
      </c>
      <c r="O18" s="21">
        <v>669.4</v>
      </c>
      <c r="P18" s="21">
        <v>-130.30000000000001</v>
      </c>
      <c r="Q18" s="21">
        <v>-354.6</v>
      </c>
      <c r="R18" s="22"/>
      <c r="T18" s="4">
        <f>'UNIFAC (VLE)'!A31</f>
        <v>15</v>
      </c>
      <c r="U18" s="3">
        <f t="shared" si="0"/>
        <v>6</v>
      </c>
      <c r="V18" s="17" t="str">
        <f t="shared" si="1"/>
        <v>CH3OH</v>
      </c>
      <c r="W18" s="4">
        <f t="shared" si="2"/>
        <v>1.4311</v>
      </c>
      <c r="X18" s="4">
        <f t="shared" si="3"/>
        <v>1.4319999999999999</v>
      </c>
      <c r="Y18" s="23">
        <f t="shared" si="4"/>
        <v>16.510000000000002</v>
      </c>
      <c r="Z18" s="4">
        <f t="shared" si="5"/>
        <v>16.510000000000002</v>
      </c>
      <c r="AA18" s="4">
        <f t="shared" si="5"/>
        <v>16.510000000000002</v>
      </c>
      <c r="AB18" s="4">
        <f t="shared" si="5"/>
        <v>-50</v>
      </c>
      <c r="AC18" s="4">
        <f t="shared" si="5"/>
        <v>-50</v>
      </c>
      <c r="AD18" s="4">
        <f t="shared" si="5"/>
        <v>-44.5</v>
      </c>
      <c r="AE18" s="4">
        <f t="shared" si="5"/>
        <v>-44.5</v>
      </c>
      <c r="AF18" s="4">
        <f t="shared" si="5"/>
        <v>249.1</v>
      </c>
      <c r="AG18" s="4">
        <f t="shared" si="5"/>
        <v>0</v>
      </c>
      <c r="AH18" s="4">
        <f t="shared" si="5"/>
        <v>-181</v>
      </c>
      <c r="AI18" s="4">
        <f t="shared" si="5"/>
        <v>-101.7</v>
      </c>
      <c r="AJ18" s="4">
        <f t="shared" si="5"/>
        <v>23.39</v>
      </c>
      <c r="AK18" s="4">
        <f t="shared" si="5"/>
        <v>306.39999999999998</v>
      </c>
      <c r="AL18" s="4">
        <f t="shared" si="5"/>
        <v>-10.72</v>
      </c>
      <c r="AM18" s="4">
        <f t="shared" si="5"/>
        <v>359.3</v>
      </c>
      <c r="AN18" s="4">
        <f t="shared" si="5"/>
        <v>489.7</v>
      </c>
      <c r="AO18" s="4">
        <f t="shared" si="5"/>
        <v>-202</v>
      </c>
      <c r="AP18" s="4">
        <f t="shared" si="5"/>
        <v>-102.5</v>
      </c>
      <c r="AQ18" s="4">
        <f t="shared" si="5"/>
        <v>-139.4</v>
      </c>
      <c r="AR18" s="24">
        <f t="shared" si="5"/>
        <v>0</v>
      </c>
      <c r="AS18" s="17" t="str">
        <f t="shared" si="6"/>
        <v>CH3OH</v>
      </c>
    </row>
    <row r="19" spans="1:45" x14ac:dyDescent="0.25">
      <c r="A19" s="13">
        <v>10</v>
      </c>
      <c r="B19" s="20">
        <v>505.7</v>
      </c>
      <c r="C19" s="21">
        <v>56.3</v>
      </c>
      <c r="D19" s="21">
        <v>23.39</v>
      </c>
      <c r="E19" s="21">
        <v>106</v>
      </c>
      <c r="F19" s="21">
        <v>529</v>
      </c>
      <c r="G19" s="21">
        <v>-340.2</v>
      </c>
      <c r="H19" s="21">
        <v>480.8</v>
      </c>
      <c r="I19" s="21">
        <v>-155.6</v>
      </c>
      <c r="J19" s="21">
        <v>128</v>
      </c>
      <c r="K19" s="21">
        <v>0</v>
      </c>
      <c r="L19" s="21">
        <v>-110.3</v>
      </c>
      <c r="M19" s="21"/>
      <c r="N19" s="21"/>
      <c r="O19" s="21">
        <v>497.5</v>
      </c>
      <c r="P19" s="21">
        <v>67.52</v>
      </c>
      <c r="Q19" s="21">
        <v>-483.7</v>
      </c>
      <c r="R19" s="22"/>
      <c r="T19" s="4">
        <f>'UNIFAC (VLE)'!A32</f>
        <v>16</v>
      </c>
      <c r="U19" s="3">
        <f t="shared" si="0"/>
        <v>7</v>
      </c>
      <c r="V19" s="17" t="str">
        <f t="shared" si="1"/>
        <v>H2O</v>
      </c>
      <c r="W19" s="4">
        <f t="shared" si="2"/>
        <v>0.92</v>
      </c>
      <c r="X19" s="4">
        <f t="shared" si="3"/>
        <v>1.4</v>
      </c>
      <c r="Y19" s="23">
        <f t="shared" si="4"/>
        <v>300</v>
      </c>
      <c r="Z19" s="4">
        <f t="shared" si="5"/>
        <v>300</v>
      </c>
      <c r="AA19" s="4">
        <f t="shared" si="5"/>
        <v>300</v>
      </c>
      <c r="AB19" s="4">
        <f t="shared" si="5"/>
        <v>362.3</v>
      </c>
      <c r="AC19" s="4">
        <f t="shared" si="5"/>
        <v>362.3</v>
      </c>
      <c r="AD19" s="4">
        <f t="shared" si="5"/>
        <v>377.6</v>
      </c>
      <c r="AE19" s="4">
        <f t="shared" si="5"/>
        <v>377.6</v>
      </c>
      <c r="AF19" s="4">
        <f t="shared" si="5"/>
        <v>-229.1</v>
      </c>
      <c r="AG19" s="4">
        <f t="shared" si="5"/>
        <v>289.60000000000002</v>
      </c>
      <c r="AH19" s="4">
        <f t="shared" si="5"/>
        <v>0</v>
      </c>
      <c r="AI19" s="4">
        <f t="shared" si="5"/>
        <v>324.5</v>
      </c>
      <c r="AJ19" s="4">
        <f t="shared" si="5"/>
        <v>-195.4</v>
      </c>
      <c r="AK19" s="4">
        <f t="shared" si="5"/>
        <v>-116</v>
      </c>
      <c r="AL19" s="4">
        <f t="shared" si="5"/>
        <v>72.87</v>
      </c>
      <c r="AM19" s="4">
        <f t="shared" si="5"/>
        <v>48.89</v>
      </c>
      <c r="AN19" s="4">
        <f t="shared" si="5"/>
        <v>243.2</v>
      </c>
      <c r="AO19" s="4">
        <f t="shared" si="5"/>
        <v>-14.09</v>
      </c>
      <c r="AP19" s="4">
        <f t="shared" si="5"/>
        <v>370.4</v>
      </c>
      <c r="AQ19" s="4">
        <f t="shared" si="5"/>
        <v>353.7</v>
      </c>
      <c r="AR19" s="24">
        <f t="shared" si="5"/>
        <v>835.6</v>
      </c>
      <c r="AS19" s="17" t="str">
        <f t="shared" si="6"/>
        <v>H2O</v>
      </c>
    </row>
    <row r="20" spans="1:45" x14ac:dyDescent="0.25">
      <c r="A20" s="13">
        <v>11</v>
      </c>
      <c r="B20" s="20">
        <v>114.8</v>
      </c>
      <c r="C20" s="21">
        <v>132.1</v>
      </c>
      <c r="D20" s="21">
        <v>85.84</v>
      </c>
      <c r="E20" s="21">
        <v>-170</v>
      </c>
      <c r="F20" s="21">
        <v>245.4</v>
      </c>
      <c r="G20" s="21">
        <v>249.6</v>
      </c>
      <c r="H20" s="21">
        <v>200.8</v>
      </c>
      <c r="I20" s="21">
        <v>-36.72</v>
      </c>
      <c r="J20" s="21">
        <v>372.2</v>
      </c>
      <c r="K20" s="21">
        <v>185.1</v>
      </c>
      <c r="L20" s="21">
        <v>0</v>
      </c>
      <c r="M20" s="21"/>
      <c r="N20" s="21">
        <v>475.5</v>
      </c>
      <c r="O20" s="21">
        <v>660.2</v>
      </c>
      <c r="P20" s="21">
        <v>108.9</v>
      </c>
      <c r="Q20" s="21">
        <v>-209.7</v>
      </c>
      <c r="R20" s="22"/>
      <c r="T20" s="4">
        <f>'UNIFAC (VLE)'!A33</f>
        <v>17</v>
      </c>
      <c r="U20" s="3">
        <f t="shared" si="0"/>
        <v>8</v>
      </c>
      <c r="V20" s="17" t="str">
        <f t="shared" si="1"/>
        <v>ACOH</v>
      </c>
      <c r="W20" s="4">
        <f t="shared" si="2"/>
        <v>0.8952</v>
      </c>
      <c r="X20" s="4">
        <f t="shared" si="3"/>
        <v>0.68</v>
      </c>
      <c r="Y20" s="23">
        <f t="shared" si="4"/>
        <v>275.8</v>
      </c>
      <c r="Z20" s="4">
        <f t="shared" si="5"/>
        <v>275.8</v>
      </c>
      <c r="AA20" s="4">
        <f t="shared" si="5"/>
        <v>275.8</v>
      </c>
      <c r="AB20" s="4">
        <f t="shared" si="5"/>
        <v>25.34</v>
      </c>
      <c r="AC20" s="4">
        <f t="shared" si="5"/>
        <v>25.34</v>
      </c>
      <c r="AD20" s="4">
        <f t="shared" si="5"/>
        <v>244.2</v>
      </c>
      <c r="AE20" s="4">
        <f t="shared" si="5"/>
        <v>244.2</v>
      </c>
      <c r="AF20" s="4">
        <f t="shared" si="5"/>
        <v>-451.6</v>
      </c>
      <c r="AG20" s="4">
        <f t="shared" si="5"/>
        <v>-265.2</v>
      </c>
      <c r="AH20" s="4">
        <f t="shared" si="5"/>
        <v>-601.79999999999995</v>
      </c>
      <c r="AI20" s="4">
        <f t="shared" si="5"/>
        <v>0</v>
      </c>
      <c r="AJ20" s="4">
        <f t="shared" si="5"/>
        <v>-356.1</v>
      </c>
      <c r="AK20" s="4">
        <f t="shared" si="5"/>
        <v>-271.10000000000002</v>
      </c>
      <c r="AL20" s="4">
        <f t="shared" si="5"/>
        <v>-449.4</v>
      </c>
      <c r="AM20" s="4">
        <f t="shared" si="5"/>
        <v>0</v>
      </c>
      <c r="AN20" s="4">
        <f t="shared" si="5"/>
        <v>119.9</v>
      </c>
      <c r="AO20" s="4">
        <f t="shared" si="5"/>
        <v>408.9</v>
      </c>
      <c r="AP20" s="4">
        <f t="shared" si="5"/>
        <v>0</v>
      </c>
      <c r="AQ20" s="4">
        <f t="shared" si="5"/>
        <v>0</v>
      </c>
      <c r="AR20" s="24">
        <f t="shared" si="5"/>
        <v>0</v>
      </c>
      <c r="AS20" s="17" t="str">
        <f t="shared" si="6"/>
        <v>ACOH</v>
      </c>
    </row>
    <row r="21" spans="1:45" x14ac:dyDescent="0.25">
      <c r="A21" s="13">
        <v>14</v>
      </c>
      <c r="B21" s="20">
        <v>-30.48</v>
      </c>
      <c r="C21" s="21">
        <v>1.163</v>
      </c>
      <c r="D21" s="21">
        <v>-44.85</v>
      </c>
      <c r="E21" s="21">
        <v>296.39999999999998</v>
      </c>
      <c r="F21" s="21">
        <v>-242.8</v>
      </c>
      <c r="G21" s="21">
        <v>-481.7</v>
      </c>
      <c r="H21" s="21">
        <v>-330.4</v>
      </c>
      <c r="I21" s="21"/>
      <c r="J21" s="21"/>
      <c r="K21" s="21"/>
      <c r="L21" s="21"/>
      <c r="M21" s="21">
        <v>0</v>
      </c>
      <c r="N21" s="21">
        <v>-200.7</v>
      </c>
      <c r="O21" s="21"/>
      <c r="P21" s="21"/>
      <c r="Q21" s="21"/>
      <c r="R21" s="22"/>
      <c r="T21" s="4">
        <f>'UNIFAC (VLE)'!A34</f>
        <v>18</v>
      </c>
      <c r="U21" s="3">
        <f t="shared" si="0"/>
        <v>9</v>
      </c>
      <c r="V21" s="17" t="str">
        <f t="shared" si="1"/>
        <v>CH3CO</v>
      </c>
      <c r="W21" s="4">
        <f t="shared" si="2"/>
        <v>1.6724000000000001</v>
      </c>
      <c r="X21" s="4">
        <f t="shared" si="3"/>
        <v>1.488</v>
      </c>
      <c r="Y21" s="23">
        <f t="shared" si="4"/>
        <v>26.76</v>
      </c>
      <c r="Z21" s="4">
        <f t="shared" si="5"/>
        <v>26.76</v>
      </c>
      <c r="AA21" s="4">
        <f t="shared" si="5"/>
        <v>26.76</v>
      </c>
      <c r="AB21" s="4">
        <f t="shared" si="5"/>
        <v>140.1</v>
      </c>
      <c r="AC21" s="4">
        <f t="shared" si="5"/>
        <v>140.1</v>
      </c>
      <c r="AD21" s="4">
        <f t="shared" si="5"/>
        <v>365.8</v>
      </c>
      <c r="AE21" s="4">
        <f t="shared" si="5"/>
        <v>365.8</v>
      </c>
      <c r="AF21" s="4">
        <f t="shared" si="5"/>
        <v>164.5</v>
      </c>
      <c r="AG21" s="4">
        <f t="shared" si="5"/>
        <v>108.7</v>
      </c>
      <c r="AH21" s="4">
        <f t="shared" si="5"/>
        <v>472.5</v>
      </c>
      <c r="AI21" s="4">
        <f t="shared" si="5"/>
        <v>-133.1</v>
      </c>
      <c r="AJ21" s="4">
        <f t="shared" si="5"/>
        <v>0</v>
      </c>
      <c r="AK21" s="4">
        <f t="shared" si="5"/>
        <v>-37.36</v>
      </c>
      <c r="AL21" s="4">
        <f t="shared" si="5"/>
        <v>-213.7</v>
      </c>
      <c r="AM21" s="4">
        <f t="shared" si="5"/>
        <v>0</v>
      </c>
      <c r="AN21" s="4">
        <f t="shared" si="5"/>
        <v>6201</v>
      </c>
      <c r="AO21" s="4">
        <f t="shared" si="5"/>
        <v>669.4</v>
      </c>
      <c r="AP21" s="4">
        <f t="shared" si="5"/>
        <v>-130.30000000000001</v>
      </c>
      <c r="AQ21" s="4">
        <f t="shared" si="5"/>
        <v>-354.6</v>
      </c>
      <c r="AR21" s="24">
        <f t="shared" si="5"/>
        <v>0</v>
      </c>
      <c r="AS21" s="17" t="str">
        <f t="shared" si="6"/>
        <v>CH3CO</v>
      </c>
    </row>
    <row r="22" spans="1:45" x14ac:dyDescent="0.25">
      <c r="A22" s="13">
        <v>17</v>
      </c>
      <c r="B22" s="20">
        <v>1139</v>
      </c>
      <c r="C22" s="21">
        <v>2000</v>
      </c>
      <c r="D22" s="21">
        <v>247.5</v>
      </c>
      <c r="E22" s="21">
        <v>762.8</v>
      </c>
      <c r="F22" s="21">
        <v>-17.399999999999999</v>
      </c>
      <c r="G22" s="21">
        <v>-118.1</v>
      </c>
      <c r="H22" s="21">
        <v>-341.6</v>
      </c>
      <c r="I22" s="21">
        <v>-253.1</v>
      </c>
      <c r="J22" s="21">
        <v>-450.3</v>
      </c>
      <c r="K22" s="21"/>
      <c r="L22" s="21">
        <v>-294.8</v>
      </c>
      <c r="M22" s="21">
        <v>-15.07</v>
      </c>
      <c r="N22" s="21">
        <v>0</v>
      </c>
      <c r="O22" s="21">
        <v>-396</v>
      </c>
      <c r="P22" s="21">
        <v>-111</v>
      </c>
      <c r="Q22" s="21"/>
      <c r="R22" s="22"/>
      <c r="T22" s="4">
        <f>'UNIFAC (VLE)'!A35</f>
        <v>20</v>
      </c>
      <c r="U22" s="3">
        <f t="shared" si="0"/>
        <v>10</v>
      </c>
      <c r="V22" s="17" t="str">
        <f t="shared" si="1"/>
        <v>CHO</v>
      </c>
      <c r="W22" s="4">
        <f t="shared" si="2"/>
        <v>0.998</v>
      </c>
      <c r="X22" s="4">
        <f t="shared" si="3"/>
        <v>0.94799999999999995</v>
      </c>
      <c r="Y22" s="23">
        <f t="shared" si="4"/>
        <v>505.7</v>
      </c>
      <c r="Z22" s="4">
        <f t="shared" si="5"/>
        <v>505.7</v>
      </c>
      <c r="AA22" s="4">
        <f t="shared" si="5"/>
        <v>505.7</v>
      </c>
      <c r="AB22" s="4">
        <f t="shared" si="5"/>
        <v>23.39</v>
      </c>
      <c r="AC22" s="4">
        <f t="shared" si="5"/>
        <v>23.39</v>
      </c>
      <c r="AD22" s="4">
        <f t="shared" si="5"/>
        <v>106</v>
      </c>
      <c r="AE22" s="4">
        <f t="shared" si="5"/>
        <v>106</v>
      </c>
      <c r="AF22" s="4">
        <f t="shared" si="5"/>
        <v>529</v>
      </c>
      <c r="AG22" s="4">
        <f t="shared" si="5"/>
        <v>-340.2</v>
      </c>
      <c r="AH22" s="4">
        <f t="shared" si="5"/>
        <v>480.8</v>
      </c>
      <c r="AI22" s="4">
        <f t="shared" si="5"/>
        <v>-155.6</v>
      </c>
      <c r="AJ22" s="4">
        <f t="shared" si="5"/>
        <v>128</v>
      </c>
      <c r="AK22" s="4">
        <f t="shared" si="5"/>
        <v>0</v>
      </c>
      <c r="AL22" s="4">
        <f t="shared" si="5"/>
        <v>-110.3</v>
      </c>
      <c r="AM22" s="4">
        <f t="shared" si="5"/>
        <v>0</v>
      </c>
      <c r="AN22" s="4">
        <f t="shared" si="5"/>
        <v>0</v>
      </c>
      <c r="AO22" s="4">
        <f t="shared" si="5"/>
        <v>497.5</v>
      </c>
      <c r="AP22" s="4">
        <f t="shared" si="5"/>
        <v>67.52</v>
      </c>
      <c r="AQ22" s="4">
        <f t="shared" si="5"/>
        <v>-483.7</v>
      </c>
      <c r="AR22" s="24">
        <f t="shared" si="5"/>
        <v>0</v>
      </c>
      <c r="AS22" s="17" t="str">
        <f t="shared" si="6"/>
        <v>CHO</v>
      </c>
    </row>
    <row r="23" spans="1:45" x14ac:dyDescent="0.25">
      <c r="A23" s="13">
        <v>20</v>
      </c>
      <c r="B23" s="20">
        <v>315.3</v>
      </c>
      <c r="C23" s="21">
        <v>1264</v>
      </c>
      <c r="D23" s="21">
        <v>62.32</v>
      </c>
      <c r="E23" s="21">
        <v>89.96</v>
      </c>
      <c r="F23" s="21">
        <v>-151</v>
      </c>
      <c r="G23" s="21">
        <v>339.8</v>
      </c>
      <c r="H23" s="21">
        <v>-66.17</v>
      </c>
      <c r="I23" s="21">
        <v>-11</v>
      </c>
      <c r="J23" s="21">
        <v>-297.8</v>
      </c>
      <c r="K23" s="21">
        <v>-165.5</v>
      </c>
      <c r="L23" s="21">
        <v>-256.3</v>
      </c>
      <c r="M23" s="21"/>
      <c r="N23" s="21">
        <v>493.8</v>
      </c>
      <c r="O23" s="21">
        <v>0</v>
      </c>
      <c r="P23" s="21">
        <v>-44.7</v>
      </c>
      <c r="Q23" s="21">
        <v>39.630000000000003</v>
      </c>
      <c r="R23" s="22">
        <v>-322.3</v>
      </c>
      <c r="T23" s="4">
        <f>'UNIFAC (VLE)'!A36</f>
        <v>21</v>
      </c>
      <c r="U23" s="3">
        <f t="shared" si="0"/>
        <v>11</v>
      </c>
      <c r="V23" s="17" t="str">
        <f t="shared" si="1"/>
        <v>CH3COO</v>
      </c>
      <c r="W23" s="4">
        <f t="shared" si="2"/>
        <v>1.9031</v>
      </c>
      <c r="X23" s="4">
        <f t="shared" si="3"/>
        <v>1.728</v>
      </c>
      <c r="Y23" s="23">
        <f t="shared" si="4"/>
        <v>114.8</v>
      </c>
      <c r="Z23" s="4">
        <f t="shared" si="5"/>
        <v>114.8</v>
      </c>
      <c r="AA23" s="4">
        <f t="shared" si="5"/>
        <v>114.8</v>
      </c>
      <c r="AB23" s="4">
        <f t="shared" si="5"/>
        <v>85.84</v>
      </c>
      <c r="AC23" s="4">
        <f t="shared" si="5"/>
        <v>85.84</v>
      </c>
      <c r="AD23" s="4">
        <f t="shared" si="5"/>
        <v>-170</v>
      </c>
      <c r="AE23" s="4">
        <f t="shared" si="5"/>
        <v>-170</v>
      </c>
      <c r="AF23" s="4">
        <f t="shared" si="5"/>
        <v>245.4</v>
      </c>
      <c r="AG23" s="4">
        <f t="shared" si="5"/>
        <v>249.6</v>
      </c>
      <c r="AH23" s="4">
        <f t="shared" ref="AH23:AR29" si="7">INDEX(MGaij,MATCH($U23,row,0),MATCH(AH$8,column,0))</f>
        <v>200.8</v>
      </c>
      <c r="AI23" s="4">
        <f t="shared" si="7"/>
        <v>-36.72</v>
      </c>
      <c r="AJ23" s="4">
        <f t="shared" si="7"/>
        <v>372.2</v>
      </c>
      <c r="AK23" s="4">
        <f t="shared" si="7"/>
        <v>185.1</v>
      </c>
      <c r="AL23" s="4">
        <f t="shared" si="7"/>
        <v>0</v>
      </c>
      <c r="AM23" s="4">
        <f t="shared" si="7"/>
        <v>0</v>
      </c>
      <c r="AN23" s="4">
        <f t="shared" si="7"/>
        <v>475.5</v>
      </c>
      <c r="AO23" s="4">
        <f t="shared" si="7"/>
        <v>660.2</v>
      </c>
      <c r="AP23" s="4">
        <f t="shared" si="7"/>
        <v>108.9</v>
      </c>
      <c r="AQ23" s="4">
        <f t="shared" si="7"/>
        <v>-209.7</v>
      </c>
      <c r="AR23" s="24">
        <f t="shared" si="7"/>
        <v>0</v>
      </c>
      <c r="AS23" s="17" t="str">
        <f t="shared" si="6"/>
        <v>CH3COO</v>
      </c>
    </row>
    <row r="24" spans="1:45" x14ac:dyDescent="0.25">
      <c r="A24" s="13">
        <v>22</v>
      </c>
      <c r="B24" s="20">
        <v>34.1</v>
      </c>
      <c r="C24" s="21">
        <v>-23.5</v>
      </c>
      <c r="D24" s="21">
        <v>121.3</v>
      </c>
      <c r="E24" s="21">
        <v>140.80000000000001</v>
      </c>
      <c r="F24" s="21">
        <v>527.6</v>
      </c>
      <c r="G24" s="21">
        <v>669.9</v>
      </c>
      <c r="H24" s="21">
        <v>708.7</v>
      </c>
      <c r="I24" s="21"/>
      <c r="J24" s="21">
        <v>82.86</v>
      </c>
      <c r="K24" s="21">
        <v>190.6</v>
      </c>
      <c r="L24" s="21">
        <v>-133</v>
      </c>
      <c r="M24" s="21"/>
      <c r="N24" s="21">
        <v>140.80000000000001</v>
      </c>
      <c r="O24" s="21">
        <v>543.29999999999995</v>
      </c>
      <c r="P24" s="21">
        <v>0</v>
      </c>
      <c r="Q24" s="21">
        <v>0</v>
      </c>
      <c r="R24" s="22"/>
      <c r="T24" s="4">
        <f>'UNIFAC (VLE)'!A37</f>
        <v>29</v>
      </c>
      <c r="U24" s="3">
        <f t="shared" si="0"/>
        <v>14</v>
      </c>
      <c r="V24" s="17" t="str">
        <f t="shared" si="1"/>
        <v>CH2NH2</v>
      </c>
      <c r="W24" s="4">
        <f t="shared" si="2"/>
        <v>1.3692</v>
      </c>
      <c r="X24" s="4">
        <f t="shared" si="3"/>
        <v>1.236</v>
      </c>
      <c r="Y24" s="23">
        <f t="shared" si="4"/>
        <v>-30.48</v>
      </c>
      <c r="Z24" s="4">
        <f t="shared" ref="Z24:AG29" si="8">INDEX(MGaij,MATCH($U24,row,0),MATCH(Z$8,column,0))</f>
        <v>-30.48</v>
      </c>
      <c r="AA24" s="4">
        <f t="shared" si="8"/>
        <v>-30.48</v>
      </c>
      <c r="AB24" s="4">
        <f t="shared" si="8"/>
        <v>-44.85</v>
      </c>
      <c r="AC24" s="4">
        <f t="shared" si="8"/>
        <v>-44.85</v>
      </c>
      <c r="AD24" s="4">
        <f t="shared" si="8"/>
        <v>296.39999999999998</v>
      </c>
      <c r="AE24" s="4">
        <f t="shared" si="8"/>
        <v>296.39999999999998</v>
      </c>
      <c r="AF24" s="4">
        <f t="shared" si="8"/>
        <v>-242.8</v>
      </c>
      <c r="AG24" s="4">
        <f t="shared" si="8"/>
        <v>-481.7</v>
      </c>
      <c r="AH24" s="4">
        <f t="shared" si="7"/>
        <v>-330.4</v>
      </c>
      <c r="AI24" s="4">
        <f t="shared" si="7"/>
        <v>0</v>
      </c>
      <c r="AJ24" s="4">
        <f t="shared" si="7"/>
        <v>0</v>
      </c>
      <c r="AK24" s="4">
        <f t="shared" si="7"/>
        <v>0</v>
      </c>
      <c r="AL24" s="4">
        <f t="shared" si="7"/>
        <v>0</v>
      </c>
      <c r="AM24" s="4">
        <f t="shared" si="7"/>
        <v>0</v>
      </c>
      <c r="AN24" s="4">
        <f t="shared" si="7"/>
        <v>-200.7</v>
      </c>
      <c r="AO24" s="4">
        <f t="shared" si="7"/>
        <v>0</v>
      </c>
      <c r="AP24" s="4">
        <f t="shared" si="7"/>
        <v>0</v>
      </c>
      <c r="AQ24" s="4">
        <f t="shared" si="7"/>
        <v>0</v>
      </c>
      <c r="AR24" s="24">
        <f t="shared" si="7"/>
        <v>0</v>
      </c>
      <c r="AS24" s="17" t="str">
        <f t="shared" si="6"/>
        <v>CH2NH2</v>
      </c>
    </row>
    <row r="25" spans="1:45" x14ac:dyDescent="0.25">
      <c r="A25" s="13">
        <v>23</v>
      </c>
      <c r="B25" s="20">
        <v>36.700000000000003</v>
      </c>
      <c r="C25" s="21">
        <v>51.06</v>
      </c>
      <c r="D25" s="21">
        <v>228.5</v>
      </c>
      <c r="E25" s="21">
        <v>69.900000000000006</v>
      </c>
      <c r="F25" s="21">
        <v>742.1</v>
      </c>
      <c r="G25" s="21">
        <v>649.1</v>
      </c>
      <c r="H25" s="21">
        <v>826.8</v>
      </c>
      <c r="I25" s="21"/>
      <c r="J25" s="21">
        <v>552.1</v>
      </c>
      <c r="K25" s="21">
        <v>242.8</v>
      </c>
      <c r="L25" s="21">
        <v>176.5</v>
      </c>
      <c r="M25" s="21"/>
      <c r="N25" s="21"/>
      <c r="O25" s="21">
        <v>504.2</v>
      </c>
      <c r="P25" s="21">
        <v>-84.53</v>
      </c>
      <c r="Q25" s="21">
        <v>0</v>
      </c>
      <c r="R25" s="22"/>
      <c r="T25" s="4">
        <f>'UNIFAC (VLE)'!A38</f>
        <v>36</v>
      </c>
      <c r="U25" s="3">
        <f t="shared" si="0"/>
        <v>17</v>
      </c>
      <c r="V25" s="17" t="str">
        <f t="shared" si="1"/>
        <v>ACNH2</v>
      </c>
      <c r="W25" s="4">
        <f t="shared" si="2"/>
        <v>1.06</v>
      </c>
      <c r="X25" s="4">
        <f t="shared" si="3"/>
        <v>0.81599999999999995</v>
      </c>
      <c r="Y25" s="23">
        <f t="shared" si="4"/>
        <v>1139</v>
      </c>
      <c r="Z25" s="4">
        <f t="shared" si="8"/>
        <v>1139</v>
      </c>
      <c r="AA25" s="4">
        <f t="shared" si="8"/>
        <v>1139</v>
      </c>
      <c r="AB25" s="4">
        <f t="shared" si="8"/>
        <v>247.5</v>
      </c>
      <c r="AC25" s="4">
        <f t="shared" si="8"/>
        <v>247.5</v>
      </c>
      <c r="AD25" s="4">
        <f t="shared" si="8"/>
        <v>762.8</v>
      </c>
      <c r="AE25" s="4">
        <f t="shared" si="8"/>
        <v>762.8</v>
      </c>
      <c r="AF25" s="4">
        <f t="shared" si="8"/>
        <v>-17.399999999999999</v>
      </c>
      <c r="AG25" s="4">
        <f t="shared" si="8"/>
        <v>-118.1</v>
      </c>
      <c r="AH25" s="4">
        <f t="shared" si="7"/>
        <v>-341.6</v>
      </c>
      <c r="AI25" s="4">
        <f t="shared" si="7"/>
        <v>-253.1</v>
      </c>
      <c r="AJ25" s="4">
        <f t="shared" si="7"/>
        <v>-450.3</v>
      </c>
      <c r="AK25" s="4">
        <f t="shared" si="7"/>
        <v>0</v>
      </c>
      <c r="AL25" s="4">
        <f t="shared" si="7"/>
        <v>-294.8</v>
      </c>
      <c r="AM25" s="4">
        <f t="shared" si="7"/>
        <v>-15.07</v>
      </c>
      <c r="AN25" s="4">
        <f t="shared" si="7"/>
        <v>0</v>
      </c>
      <c r="AO25" s="4">
        <f t="shared" si="7"/>
        <v>-396</v>
      </c>
      <c r="AP25" s="4">
        <f t="shared" si="7"/>
        <v>-111</v>
      </c>
      <c r="AQ25" s="4">
        <f t="shared" si="7"/>
        <v>0</v>
      </c>
      <c r="AR25" s="24">
        <f t="shared" si="7"/>
        <v>0</v>
      </c>
      <c r="AS25" s="17" t="str">
        <f t="shared" si="6"/>
        <v>ACNH2</v>
      </c>
    </row>
    <row r="26" spans="1:45" x14ac:dyDescent="0.25">
      <c r="A26" s="13">
        <v>46</v>
      </c>
      <c r="B26" s="25">
        <v>27.97</v>
      </c>
      <c r="C26" s="26">
        <v>9.7550000000000008</v>
      </c>
      <c r="D26" s="26"/>
      <c r="E26" s="26"/>
      <c r="F26" s="26">
        <v>394.8</v>
      </c>
      <c r="G26" s="26"/>
      <c r="H26" s="26">
        <v>-509.3</v>
      </c>
      <c r="I26" s="26"/>
      <c r="J26" s="26"/>
      <c r="K26" s="26"/>
      <c r="L26" s="26"/>
      <c r="M26" s="26"/>
      <c r="N26" s="26"/>
      <c r="O26" s="26">
        <v>-70.25</v>
      </c>
      <c r="P26" s="26"/>
      <c r="Q26" s="26"/>
      <c r="R26" s="27">
        <v>0</v>
      </c>
      <c r="T26" s="4">
        <f>'UNIFAC (VLE)'!A39</f>
        <v>42</v>
      </c>
      <c r="U26" s="3">
        <f t="shared" si="0"/>
        <v>20</v>
      </c>
      <c r="V26" s="17" t="str">
        <f t="shared" si="1"/>
        <v>COOH</v>
      </c>
      <c r="W26" s="4">
        <f t="shared" si="2"/>
        <v>1.3012999999999999</v>
      </c>
      <c r="X26" s="4">
        <f t="shared" si="3"/>
        <v>1.224</v>
      </c>
      <c r="Y26" s="23">
        <f t="shared" si="4"/>
        <v>315.3</v>
      </c>
      <c r="Z26" s="4">
        <f t="shared" si="8"/>
        <v>315.3</v>
      </c>
      <c r="AA26" s="4">
        <f t="shared" si="8"/>
        <v>315.3</v>
      </c>
      <c r="AB26" s="4">
        <f t="shared" si="8"/>
        <v>62.32</v>
      </c>
      <c r="AC26" s="4">
        <f t="shared" si="8"/>
        <v>62.32</v>
      </c>
      <c r="AD26" s="4">
        <f t="shared" si="8"/>
        <v>89.96</v>
      </c>
      <c r="AE26" s="4">
        <f t="shared" si="8"/>
        <v>89.96</v>
      </c>
      <c r="AF26" s="4">
        <f t="shared" si="8"/>
        <v>-151</v>
      </c>
      <c r="AG26" s="4">
        <f t="shared" si="8"/>
        <v>339.8</v>
      </c>
      <c r="AH26" s="4">
        <f t="shared" si="7"/>
        <v>-66.17</v>
      </c>
      <c r="AI26" s="4">
        <f t="shared" si="7"/>
        <v>-11</v>
      </c>
      <c r="AJ26" s="4">
        <f t="shared" si="7"/>
        <v>-297.8</v>
      </c>
      <c r="AK26" s="4">
        <f t="shared" si="7"/>
        <v>-165.5</v>
      </c>
      <c r="AL26" s="4">
        <f t="shared" si="7"/>
        <v>-256.3</v>
      </c>
      <c r="AM26" s="4">
        <f t="shared" si="7"/>
        <v>0</v>
      </c>
      <c r="AN26" s="4">
        <f t="shared" si="7"/>
        <v>493.8</v>
      </c>
      <c r="AO26" s="4">
        <f t="shared" si="7"/>
        <v>0</v>
      </c>
      <c r="AP26" s="4">
        <f t="shared" si="7"/>
        <v>-44.7</v>
      </c>
      <c r="AQ26" s="4">
        <f t="shared" si="7"/>
        <v>39.630000000000003</v>
      </c>
      <c r="AR26" s="24">
        <f t="shared" si="7"/>
        <v>-322.3</v>
      </c>
      <c r="AS26" s="17" t="str">
        <f t="shared" si="6"/>
        <v>COOH</v>
      </c>
    </row>
    <row r="27" spans="1:45" x14ac:dyDescent="0.25">
      <c r="T27" s="4">
        <f>'UNIFAC (VLE)'!A40</f>
        <v>49</v>
      </c>
      <c r="U27" s="3">
        <f t="shared" si="0"/>
        <v>22</v>
      </c>
      <c r="V27" s="17" t="str">
        <f t="shared" si="1"/>
        <v>CCL2</v>
      </c>
      <c r="W27" s="4">
        <f t="shared" si="2"/>
        <v>1.8016000000000001</v>
      </c>
      <c r="X27" s="4">
        <f t="shared" si="3"/>
        <v>1.448</v>
      </c>
      <c r="Y27" s="23">
        <f t="shared" si="4"/>
        <v>34.1</v>
      </c>
      <c r="Z27" s="4">
        <f t="shared" si="8"/>
        <v>34.1</v>
      </c>
      <c r="AA27" s="4">
        <f t="shared" si="8"/>
        <v>34.1</v>
      </c>
      <c r="AB27" s="4">
        <f t="shared" si="8"/>
        <v>121.3</v>
      </c>
      <c r="AC27" s="4">
        <f t="shared" si="8"/>
        <v>121.3</v>
      </c>
      <c r="AD27" s="4">
        <f t="shared" si="8"/>
        <v>140.80000000000001</v>
      </c>
      <c r="AE27" s="4">
        <f t="shared" si="8"/>
        <v>140.80000000000001</v>
      </c>
      <c r="AF27" s="4">
        <f t="shared" si="8"/>
        <v>527.6</v>
      </c>
      <c r="AG27" s="4">
        <f t="shared" si="8"/>
        <v>669.9</v>
      </c>
      <c r="AH27" s="4">
        <f t="shared" si="7"/>
        <v>708.7</v>
      </c>
      <c r="AI27" s="4">
        <f t="shared" si="7"/>
        <v>0</v>
      </c>
      <c r="AJ27" s="4">
        <f t="shared" si="7"/>
        <v>82.86</v>
      </c>
      <c r="AK27" s="4">
        <f t="shared" si="7"/>
        <v>190.6</v>
      </c>
      <c r="AL27" s="4">
        <f t="shared" si="7"/>
        <v>-133</v>
      </c>
      <c r="AM27" s="4">
        <f t="shared" si="7"/>
        <v>0</v>
      </c>
      <c r="AN27" s="4">
        <f t="shared" si="7"/>
        <v>140.80000000000001</v>
      </c>
      <c r="AO27" s="4">
        <f t="shared" si="7"/>
        <v>543.29999999999995</v>
      </c>
      <c r="AP27" s="4">
        <f t="shared" si="7"/>
        <v>0</v>
      </c>
      <c r="AQ27" s="4">
        <f t="shared" si="7"/>
        <v>0</v>
      </c>
      <c r="AR27" s="24">
        <f t="shared" si="7"/>
        <v>0</v>
      </c>
      <c r="AS27" s="17" t="str">
        <f t="shared" si="6"/>
        <v>CCL2</v>
      </c>
    </row>
    <row r="28" spans="1:45" x14ac:dyDescent="0.25">
      <c r="T28" s="4">
        <f>'UNIFAC (VLE)'!A41</f>
        <v>51</v>
      </c>
      <c r="U28" s="3">
        <f t="shared" si="0"/>
        <v>23</v>
      </c>
      <c r="V28" s="17" t="str">
        <f t="shared" si="1"/>
        <v>CCL3</v>
      </c>
      <c r="W28" s="4">
        <f t="shared" si="2"/>
        <v>2.6400999999999999</v>
      </c>
      <c r="X28" s="4">
        <f t="shared" si="3"/>
        <v>2.1840000000000002</v>
      </c>
      <c r="Y28" s="23">
        <f t="shared" si="4"/>
        <v>36.700000000000003</v>
      </c>
      <c r="Z28" s="4">
        <f t="shared" si="8"/>
        <v>36.700000000000003</v>
      </c>
      <c r="AA28" s="4">
        <f t="shared" si="8"/>
        <v>36.700000000000003</v>
      </c>
      <c r="AB28" s="4">
        <f t="shared" si="8"/>
        <v>228.5</v>
      </c>
      <c r="AC28" s="4">
        <f t="shared" si="8"/>
        <v>228.5</v>
      </c>
      <c r="AD28" s="4">
        <f t="shared" si="8"/>
        <v>69.900000000000006</v>
      </c>
      <c r="AE28" s="4">
        <f t="shared" si="8"/>
        <v>69.900000000000006</v>
      </c>
      <c r="AF28" s="4">
        <f t="shared" si="8"/>
        <v>742.1</v>
      </c>
      <c r="AG28" s="4">
        <f t="shared" si="8"/>
        <v>649.1</v>
      </c>
      <c r="AH28" s="4">
        <f t="shared" si="7"/>
        <v>826.8</v>
      </c>
      <c r="AI28" s="4">
        <f t="shared" si="7"/>
        <v>0</v>
      </c>
      <c r="AJ28" s="4">
        <f t="shared" si="7"/>
        <v>552.1</v>
      </c>
      <c r="AK28" s="4">
        <f t="shared" si="7"/>
        <v>242.8</v>
      </c>
      <c r="AL28" s="4">
        <f t="shared" si="7"/>
        <v>176.5</v>
      </c>
      <c r="AM28" s="4">
        <f t="shared" si="7"/>
        <v>0</v>
      </c>
      <c r="AN28" s="4">
        <f t="shared" si="7"/>
        <v>0</v>
      </c>
      <c r="AO28" s="4">
        <f t="shared" si="7"/>
        <v>504.2</v>
      </c>
      <c r="AP28" s="4">
        <f t="shared" si="7"/>
        <v>-84.53</v>
      </c>
      <c r="AQ28" s="4">
        <f t="shared" si="7"/>
        <v>0</v>
      </c>
      <c r="AR28" s="24">
        <f t="shared" si="7"/>
        <v>0</v>
      </c>
      <c r="AS28" s="17" t="str">
        <f t="shared" si="6"/>
        <v>CCL3</v>
      </c>
    </row>
    <row r="29" spans="1:45" ht="13" x14ac:dyDescent="0.3">
      <c r="A29" s="5" t="s">
        <v>57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T29" s="4">
        <f>'UNIFAC (VLE)'!A42</f>
        <v>99</v>
      </c>
      <c r="U29" s="3">
        <f t="shared" si="0"/>
        <v>46</v>
      </c>
      <c r="V29" s="17" t="str">
        <f t="shared" si="1"/>
        <v>CON(CH2)2</v>
      </c>
      <c r="W29" s="28">
        <f t="shared" si="2"/>
        <v>2.4054000000000002</v>
      </c>
      <c r="X29" s="29">
        <f t="shared" si="3"/>
        <v>1.8120000000000001</v>
      </c>
      <c r="Y29" s="28">
        <f t="shared" si="4"/>
        <v>27.97</v>
      </c>
      <c r="Z29" s="30">
        <f t="shared" si="8"/>
        <v>27.97</v>
      </c>
      <c r="AA29" s="30">
        <f t="shared" si="8"/>
        <v>27.97</v>
      </c>
      <c r="AB29" s="30">
        <f t="shared" si="8"/>
        <v>0</v>
      </c>
      <c r="AC29" s="30">
        <f t="shared" si="8"/>
        <v>0</v>
      </c>
      <c r="AD29" s="30">
        <f t="shared" si="8"/>
        <v>0</v>
      </c>
      <c r="AE29" s="30">
        <f t="shared" si="8"/>
        <v>0</v>
      </c>
      <c r="AF29" s="30">
        <f t="shared" si="8"/>
        <v>394.8</v>
      </c>
      <c r="AG29" s="30">
        <f t="shared" si="8"/>
        <v>0</v>
      </c>
      <c r="AH29" s="30">
        <f t="shared" si="7"/>
        <v>-509.3</v>
      </c>
      <c r="AI29" s="30">
        <f t="shared" si="7"/>
        <v>0</v>
      </c>
      <c r="AJ29" s="30">
        <f t="shared" si="7"/>
        <v>0</v>
      </c>
      <c r="AK29" s="30">
        <f t="shared" si="7"/>
        <v>0</v>
      </c>
      <c r="AL29" s="30">
        <f t="shared" si="7"/>
        <v>0</v>
      </c>
      <c r="AM29" s="30">
        <f t="shared" si="7"/>
        <v>0</v>
      </c>
      <c r="AN29" s="30">
        <f t="shared" si="7"/>
        <v>0</v>
      </c>
      <c r="AO29" s="30">
        <f t="shared" si="7"/>
        <v>-70.25</v>
      </c>
      <c r="AP29" s="30">
        <f t="shared" si="7"/>
        <v>0</v>
      </c>
      <c r="AQ29" s="30">
        <f t="shared" si="7"/>
        <v>0</v>
      </c>
      <c r="AR29" s="29">
        <f t="shared" si="7"/>
        <v>0</v>
      </c>
      <c r="AS29" s="17" t="str">
        <f t="shared" si="6"/>
        <v>CON(CH2)2</v>
      </c>
    </row>
    <row r="30" spans="1:45" x14ac:dyDescent="0.25">
      <c r="A30" s="4" t="s">
        <v>58</v>
      </c>
    </row>
    <row r="31" spans="1:45" x14ac:dyDescent="0.25">
      <c r="A31" s="4" t="s">
        <v>59</v>
      </c>
    </row>
    <row r="32" spans="1:45" x14ac:dyDescent="0.25">
      <c r="A32" s="4" t="s">
        <v>60</v>
      </c>
      <c r="V32" s="4" t="s">
        <v>61</v>
      </c>
    </row>
    <row r="33" spans="1:64" x14ac:dyDescent="0.25">
      <c r="A33" s="31"/>
      <c r="C33" s="12"/>
      <c r="D33" s="12"/>
      <c r="E33" s="12"/>
      <c r="V33" s="4" t="s">
        <v>46</v>
      </c>
    </row>
    <row r="34" spans="1:64" x14ac:dyDescent="0.25">
      <c r="A34" s="4" t="s">
        <v>28</v>
      </c>
      <c r="B34" s="4" t="s">
        <v>62</v>
      </c>
      <c r="D34" s="4" t="s">
        <v>56</v>
      </c>
      <c r="E34" s="4" t="s">
        <v>23</v>
      </c>
      <c r="U34" s="3"/>
      <c r="V34" s="32" t="s">
        <v>63</v>
      </c>
      <c r="AS34" s="1"/>
      <c r="AT34" s="1"/>
      <c r="BK34" s="4"/>
      <c r="BL34" s="4"/>
    </row>
    <row r="35" spans="1:64" s="12" customFormat="1" x14ac:dyDescent="0.25">
      <c r="A35" s="21">
        <v>1</v>
      </c>
      <c r="B35" s="21">
        <v>1</v>
      </c>
      <c r="C35" s="21" t="s">
        <v>64</v>
      </c>
      <c r="D35" s="21">
        <v>0.90110000000000001</v>
      </c>
      <c r="E35" s="21">
        <v>0.84799999999999998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U35" s="3"/>
      <c r="V35" s="4"/>
      <c r="W35" s="4" t="str">
        <f t="shared" ref="W35:AP35" si="9">Y9</f>
        <v>CH3</v>
      </c>
      <c r="X35" s="4" t="str">
        <f t="shared" si="9"/>
        <v>CH2</v>
      </c>
      <c r="Y35" s="4" t="str">
        <f t="shared" si="9"/>
        <v>CH</v>
      </c>
      <c r="Z35" s="4" t="str">
        <f t="shared" si="9"/>
        <v>ACH</v>
      </c>
      <c r="AA35" s="4" t="str">
        <f t="shared" si="9"/>
        <v>AC</v>
      </c>
      <c r="AB35" s="4" t="str">
        <f t="shared" si="9"/>
        <v>ACCH3</v>
      </c>
      <c r="AC35" s="4" t="str">
        <f t="shared" si="9"/>
        <v>ACCH2</v>
      </c>
      <c r="AD35" s="4" t="str">
        <f t="shared" si="9"/>
        <v>OH</v>
      </c>
      <c r="AE35" s="4" t="str">
        <f t="shared" si="9"/>
        <v>CH3OH</v>
      </c>
      <c r="AF35" s="4" t="str">
        <f t="shared" si="9"/>
        <v>H2O</v>
      </c>
      <c r="AG35" s="4" t="str">
        <f t="shared" si="9"/>
        <v>ACOH</v>
      </c>
      <c r="AH35" s="4" t="str">
        <f t="shared" si="9"/>
        <v>CH3CO</v>
      </c>
      <c r="AI35" s="4" t="str">
        <f t="shared" si="9"/>
        <v>CHO</v>
      </c>
      <c r="AJ35" s="4" t="str">
        <f t="shared" si="9"/>
        <v>CH3COO</v>
      </c>
      <c r="AK35" s="4" t="str">
        <f t="shared" si="9"/>
        <v>CH2NH2</v>
      </c>
      <c r="AL35" s="4" t="str">
        <f t="shared" si="9"/>
        <v>ACNH2</v>
      </c>
      <c r="AM35" s="4" t="str">
        <f t="shared" si="9"/>
        <v>COOH</v>
      </c>
      <c r="AN35" s="4" t="str">
        <f t="shared" si="9"/>
        <v>CCL2</v>
      </c>
      <c r="AO35" s="4" t="str">
        <f t="shared" si="9"/>
        <v>CCL3</v>
      </c>
      <c r="AP35" s="4" t="str">
        <f t="shared" si="9"/>
        <v>CON(CH2)2</v>
      </c>
    </row>
    <row r="36" spans="1:64" x14ac:dyDescent="0.25">
      <c r="A36" s="21">
        <v>2</v>
      </c>
      <c r="B36" s="21">
        <v>1</v>
      </c>
      <c r="C36" s="21" t="s">
        <v>65</v>
      </c>
      <c r="D36" s="21">
        <v>0.6744</v>
      </c>
      <c r="E36" s="21">
        <v>0.54</v>
      </c>
      <c r="U36" s="3"/>
      <c r="V36" s="4" t="str">
        <f t="shared" ref="V36:V55" si="10">V10</f>
        <v>CH3</v>
      </c>
      <c r="W36" s="4">
        <f t="shared" ref="W36:AL51" si="11">EXP(-Y10/($U$6+273.15))</f>
        <v>1</v>
      </c>
      <c r="X36" s="4">
        <f t="shared" si="11"/>
        <v>1</v>
      </c>
      <c r="Y36" s="4">
        <f t="shared" si="11"/>
        <v>1</v>
      </c>
      <c r="Z36" s="4">
        <f t="shared" si="11"/>
        <v>0.82764652616706802</v>
      </c>
      <c r="AA36" s="4">
        <f t="shared" si="11"/>
        <v>0.82764652616706802</v>
      </c>
      <c r="AB36" s="4">
        <f t="shared" si="11"/>
        <v>0.78920263365137722</v>
      </c>
      <c r="AC36" s="4">
        <f t="shared" si="11"/>
        <v>0.78920263365137722</v>
      </c>
      <c r="AD36" s="4">
        <f t="shared" si="11"/>
        <v>4.7228305407799584E-2</v>
      </c>
      <c r="AE36" s="4">
        <f t="shared" si="11"/>
        <v>0.11561240817671192</v>
      </c>
      <c r="AF36" s="4">
        <f t="shared" si="11"/>
        <v>1.6931131200104015E-2</v>
      </c>
      <c r="AG36" s="4">
        <f t="shared" si="11"/>
        <v>1.6163181975248467E-2</v>
      </c>
      <c r="AH36" s="4">
        <f t="shared" si="11"/>
        <v>0.22895312974409279</v>
      </c>
      <c r="AI36" s="4">
        <f t="shared" si="11"/>
        <v>0.12306995802012698</v>
      </c>
      <c r="AJ36" s="4">
        <f t="shared" si="11"/>
        <v>0.4876085716145831</v>
      </c>
      <c r="AK36" s="4">
        <f t="shared" si="11"/>
        <v>0.29774684055139039</v>
      </c>
      <c r="AL36" s="4">
        <f t="shared" si="11"/>
        <v>5.7894015113215368E-2</v>
      </c>
      <c r="AM36" s="4">
        <f t="shared" ref="AM36:AP55" si="12">EXP(-AO10/($U$6+273.15))</f>
        <v>0.12832026675866756</v>
      </c>
      <c r="AN36" s="4">
        <f t="shared" si="12"/>
        <v>0.84673934530004824</v>
      </c>
      <c r="AO36" s="4">
        <f t="shared" si="12"/>
        <v>0.9258398571908284</v>
      </c>
      <c r="AP36" s="4">
        <f t="shared" si="12"/>
        <v>0.30767551391865594</v>
      </c>
      <c r="AS36" s="1"/>
      <c r="AT36" s="1"/>
      <c r="BK36" s="4"/>
      <c r="BL36" s="4"/>
    </row>
    <row r="37" spans="1:64" x14ac:dyDescent="0.25">
      <c r="A37" s="21">
        <v>3</v>
      </c>
      <c r="B37" s="21">
        <v>1</v>
      </c>
      <c r="C37" s="21" t="s">
        <v>66</v>
      </c>
      <c r="D37" s="21">
        <v>0.44690000000000002</v>
      </c>
      <c r="E37" s="21">
        <v>0.22800000000000001</v>
      </c>
      <c r="U37" s="3"/>
      <c r="V37" s="4" t="str">
        <f t="shared" si="10"/>
        <v>CH2</v>
      </c>
      <c r="W37" s="4">
        <f t="shared" si="11"/>
        <v>1</v>
      </c>
      <c r="X37" s="4">
        <f t="shared" si="11"/>
        <v>1</v>
      </c>
      <c r="Y37" s="4">
        <f t="shared" si="11"/>
        <v>1</v>
      </c>
      <c r="Z37" s="4">
        <f t="shared" si="11"/>
        <v>0.82764652616706802</v>
      </c>
      <c r="AA37" s="4">
        <f t="shared" si="11"/>
        <v>0.82764652616706802</v>
      </c>
      <c r="AB37" s="4">
        <f t="shared" si="11"/>
        <v>0.78920263365137722</v>
      </c>
      <c r="AC37" s="4">
        <f t="shared" si="11"/>
        <v>0.78920263365137722</v>
      </c>
      <c r="AD37" s="4">
        <f t="shared" si="11"/>
        <v>4.7228305407799584E-2</v>
      </c>
      <c r="AE37" s="4">
        <f t="shared" si="11"/>
        <v>0.11561240817671192</v>
      </c>
      <c r="AF37" s="4">
        <f t="shared" si="11"/>
        <v>1.6931131200104015E-2</v>
      </c>
      <c r="AG37" s="4">
        <f t="shared" si="11"/>
        <v>1.6163181975248467E-2</v>
      </c>
      <c r="AH37" s="4">
        <f t="shared" si="11"/>
        <v>0.22895312974409279</v>
      </c>
      <c r="AI37" s="4">
        <f t="shared" si="11"/>
        <v>0.12306995802012698</v>
      </c>
      <c r="AJ37" s="4">
        <f t="shared" si="11"/>
        <v>0.4876085716145831</v>
      </c>
      <c r="AK37" s="4">
        <f t="shared" si="11"/>
        <v>0.29774684055139039</v>
      </c>
      <c r="AL37" s="4">
        <f t="shared" si="11"/>
        <v>5.7894015113215368E-2</v>
      </c>
      <c r="AM37" s="4">
        <f t="shared" si="12"/>
        <v>0.12832026675866756</v>
      </c>
      <c r="AN37" s="4">
        <f t="shared" si="12"/>
        <v>0.84673934530004824</v>
      </c>
      <c r="AO37" s="4">
        <f t="shared" si="12"/>
        <v>0.9258398571908284</v>
      </c>
      <c r="AP37" s="4">
        <f t="shared" si="12"/>
        <v>0.30767551391865594</v>
      </c>
      <c r="AS37" s="1"/>
      <c r="AT37" s="1"/>
      <c r="BK37" s="4"/>
      <c r="BL37" s="4"/>
    </row>
    <row r="38" spans="1:64" x14ac:dyDescent="0.25">
      <c r="A38" s="21">
        <v>4</v>
      </c>
      <c r="B38" s="21">
        <v>1</v>
      </c>
      <c r="C38" s="21" t="s">
        <v>12</v>
      </c>
      <c r="D38" s="21">
        <v>0.2195</v>
      </c>
      <c r="E38" s="21">
        <v>0</v>
      </c>
      <c r="U38" s="3"/>
      <c r="V38" s="4" t="str">
        <f t="shared" si="10"/>
        <v>CH</v>
      </c>
      <c r="W38" s="4">
        <f t="shared" si="11"/>
        <v>1</v>
      </c>
      <c r="X38" s="4">
        <f t="shared" si="11"/>
        <v>1</v>
      </c>
      <c r="Y38" s="4">
        <f t="shared" si="11"/>
        <v>1</v>
      </c>
      <c r="Z38" s="4">
        <f t="shared" si="11"/>
        <v>0.82764652616706802</v>
      </c>
      <c r="AA38" s="4">
        <f t="shared" si="11"/>
        <v>0.82764652616706802</v>
      </c>
      <c r="AB38" s="4">
        <f t="shared" si="11"/>
        <v>0.78920263365137722</v>
      </c>
      <c r="AC38" s="4">
        <f t="shared" si="11"/>
        <v>0.78920263365137722</v>
      </c>
      <c r="AD38" s="4">
        <f t="shared" si="11"/>
        <v>4.7228305407799584E-2</v>
      </c>
      <c r="AE38" s="4">
        <f t="shared" si="11"/>
        <v>0.11561240817671192</v>
      </c>
      <c r="AF38" s="4">
        <f t="shared" si="11"/>
        <v>1.6931131200104015E-2</v>
      </c>
      <c r="AG38" s="4">
        <f t="shared" si="11"/>
        <v>1.6163181975248467E-2</v>
      </c>
      <c r="AH38" s="4">
        <f t="shared" si="11"/>
        <v>0.22895312974409279</v>
      </c>
      <c r="AI38" s="4">
        <f t="shared" si="11"/>
        <v>0.12306995802012698</v>
      </c>
      <c r="AJ38" s="4">
        <f t="shared" si="11"/>
        <v>0.4876085716145831</v>
      </c>
      <c r="AK38" s="4">
        <f t="shared" si="11"/>
        <v>0.29774684055139039</v>
      </c>
      <c r="AL38" s="4">
        <f t="shared" si="11"/>
        <v>5.7894015113215368E-2</v>
      </c>
      <c r="AM38" s="4">
        <f t="shared" si="12"/>
        <v>0.12832026675866756</v>
      </c>
      <c r="AN38" s="4">
        <f t="shared" si="12"/>
        <v>0.84673934530004824</v>
      </c>
      <c r="AO38" s="4">
        <f t="shared" si="12"/>
        <v>0.9258398571908284</v>
      </c>
      <c r="AP38" s="4">
        <f t="shared" si="12"/>
        <v>0.30767551391865594</v>
      </c>
      <c r="AS38" s="1"/>
      <c r="AT38" s="1"/>
      <c r="BK38" s="4"/>
      <c r="BL38" s="4"/>
    </row>
    <row r="39" spans="1:64" x14ac:dyDescent="0.25">
      <c r="A39" s="21">
        <v>5</v>
      </c>
      <c r="B39" s="21">
        <v>2</v>
      </c>
      <c r="C39" s="21" t="s">
        <v>67</v>
      </c>
      <c r="D39" s="21">
        <v>1.3453999999999999</v>
      </c>
      <c r="E39" s="21">
        <v>1.1759999999999999</v>
      </c>
      <c r="U39" s="3"/>
      <c r="V39" s="4" t="str">
        <f t="shared" si="10"/>
        <v>ACH</v>
      </c>
      <c r="W39" s="4">
        <f t="shared" si="11"/>
        <v>1.0350101817606312</v>
      </c>
      <c r="X39" s="4">
        <f t="shared" si="11"/>
        <v>1.0350101817606312</v>
      </c>
      <c r="Y39" s="4">
        <f t="shared" si="11"/>
        <v>1.0350101817606312</v>
      </c>
      <c r="Z39" s="4">
        <f t="shared" si="11"/>
        <v>1</v>
      </c>
      <c r="AA39" s="4">
        <f t="shared" si="11"/>
        <v>1</v>
      </c>
      <c r="AB39" s="4">
        <f t="shared" si="11"/>
        <v>0.59643329596197903</v>
      </c>
      <c r="AC39" s="4">
        <f t="shared" si="11"/>
        <v>0.59643329596197903</v>
      </c>
      <c r="AD39" s="4">
        <f t="shared" si="11"/>
        <v>0.13967517775984656</v>
      </c>
      <c r="AE39" s="4">
        <f t="shared" si="11"/>
        <v>0.13915746340907761</v>
      </c>
      <c r="AF39" s="4">
        <f t="shared" si="11"/>
        <v>6.1002308510101563E-2</v>
      </c>
      <c r="AG39" s="4">
        <f t="shared" si="11"/>
        <v>1.6364495683087541E-2</v>
      </c>
      <c r="AH39" s="4">
        <f t="shared" si="11"/>
        <v>0.92335061884576719</v>
      </c>
      <c r="AI39" s="4">
        <f t="shared" si="11"/>
        <v>0.3413888611656396</v>
      </c>
      <c r="AJ39" s="4">
        <f t="shared" si="11"/>
        <v>0.98162230610551515</v>
      </c>
      <c r="AK39" s="4">
        <f t="shared" si="11"/>
        <v>0.60629608855118722</v>
      </c>
      <c r="AL39" s="4">
        <f t="shared" si="11"/>
        <v>0.13454189755455359</v>
      </c>
      <c r="AM39" s="4">
        <f t="shared" si="12"/>
        <v>0.18956850865764233</v>
      </c>
      <c r="AN39" s="4">
        <f t="shared" si="12"/>
        <v>1.5633818187615915</v>
      </c>
      <c r="AO39" s="4">
        <f t="shared" si="12"/>
        <v>2.0495564311894778</v>
      </c>
      <c r="AP39" s="4">
        <f t="shared" si="12"/>
        <v>1</v>
      </c>
      <c r="AS39" s="1"/>
      <c r="AT39" s="1"/>
      <c r="BK39" s="4"/>
      <c r="BL39" s="4"/>
    </row>
    <row r="40" spans="1:64" x14ac:dyDescent="0.25">
      <c r="A40" s="21">
        <v>6</v>
      </c>
      <c r="B40" s="21">
        <v>2</v>
      </c>
      <c r="C40" s="21" t="s">
        <v>68</v>
      </c>
      <c r="D40" s="21">
        <v>1.1167</v>
      </c>
      <c r="E40" s="21">
        <v>0.86699999999999999</v>
      </c>
      <c r="U40" s="3"/>
      <c r="V40" s="4" t="str">
        <f t="shared" si="10"/>
        <v>AC</v>
      </c>
      <c r="W40" s="4">
        <f t="shared" si="11"/>
        <v>1.0350101817606312</v>
      </c>
      <c r="X40" s="4">
        <f t="shared" si="11"/>
        <v>1.0350101817606312</v>
      </c>
      <c r="Y40" s="4">
        <f t="shared" si="11"/>
        <v>1.0350101817606312</v>
      </c>
      <c r="Z40" s="4">
        <f t="shared" si="11"/>
        <v>1</v>
      </c>
      <c r="AA40" s="4">
        <f t="shared" si="11"/>
        <v>1</v>
      </c>
      <c r="AB40" s="4">
        <f t="shared" si="11"/>
        <v>0.59643329596197903</v>
      </c>
      <c r="AC40" s="4">
        <f t="shared" si="11"/>
        <v>0.59643329596197903</v>
      </c>
      <c r="AD40" s="4">
        <f t="shared" si="11"/>
        <v>0.13967517775984656</v>
      </c>
      <c r="AE40" s="4">
        <f t="shared" si="11"/>
        <v>0.13915746340907761</v>
      </c>
      <c r="AF40" s="4">
        <f t="shared" si="11"/>
        <v>6.1002308510101563E-2</v>
      </c>
      <c r="AG40" s="4">
        <f t="shared" si="11"/>
        <v>1.6364495683087541E-2</v>
      </c>
      <c r="AH40" s="4">
        <f t="shared" si="11"/>
        <v>0.92335061884576719</v>
      </c>
      <c r="AI40" s="4">
        <f t="shared" si="11"/>
        <v>0.3413888611656396</v>
      </c>
      <c r="AJ40" s="4">
        <f t="shared" si="11"/>
        <v>0.98162230610551515</v>
      </c>
      <c r="AK40" s="4">
        <f t="shared" si="11"/>
        <v>0.60629608855118722</v>
      </c>
      <c r="AL40" s="4">
        <f t="shared" si="11"/>
        <v>0.13454189755455359</v>
      </c>
      <c r="AM40" s="4">
        <f t="shared" si="12"/>
        <v>0.18956850865764233</v>
      </c>
      <c r="AN40" s="4">
        <f t="shared" si="12"/>
        <v>1.5633818187615915</v>
      </c>
      <c r="AO40" s="4">
        <f t="shared" si="12"/>
        <v>2.0495564311894778</v>
      </c>
      <c r="AP40" s="4">
        <f t="shared" si="12"/>
        <v>1</v>
      </c>
      <c r="AS40" s="1"/>
      <c r="AT40" s="1"/>
      <c r="BK40" s="4"/>
      <c r="BL40" s="4"/>
    </row>
    <row r="41" spans="1:64" x14ac:dyDescent="0.25">
      <c r="A41" s="21">
        <v>7</v>
      </c>
      <c r="B41" s="21">
        <v>2</v>
      </c>
      <c r="C41" s="21" t="s">
        <v>69</v>
      </c>
      <c r="D41" s="21">
        <v>1.1173</v>
      </c>
      <c r="E41" s="21">
        <v>0.98799999999999999</v>
      </c>
      <c r="U41" s="3"/>
      <c r="V41" s="4" t="str">
        <f t="shared" si="10"/>
        <v>ACCH3</v>
      </c>
      <c r="W41" s="4">
        <f t="shared" si="11"/>
        <v>1.2407168387756056</v>
      </c>
      <c r="X41" s="4">
        <f t="shared" si="11"/>
        <v>1.2407168387756056</v>
      </c>
      <c r="Y41" s="4">
        <f t="shared" si="11"/>
        <v>1.2407168387756056</v>
      </c>
      <c r="Z41" s="4">
        <f t="shared" si="11"/>
        <v>1.5750361099683392</v>
      </c>
      <c r="AA41" s="4">
        <f t="shared" si="11"/>
        <v>1.5750361099683392</v>
      </c>
      <c r="AB41" s="4">
        <f t="shared" si="11"/>
        <v>1</v>
      </c>
      <c r="AC41" s="4">
        <f t="shared" si="11"/>
        <v>1</v>
      </c>
      <c r="AD41" s="4">
        <f t="shared" si="11"/>
        <v>8.3281150977592602E-2</v>
      </c>
      <c r="AE41" s="4">
        <f t="shared" si="11"/>
        <v>0.15464464513432136</v>
      </c>
      <c r="AF41" s="4">
        <f t="shared" si="11"/>
        <v>2.219509078485209E-8</v>
      </c>
      <c r="AG41" s="4">
        <f t="shared" si="11"/>
        <v>6.4676536092337478E-2</v>
      </c>
      <c r="AH41" s="4">
        <f t="shared" si="11"/>
        <v>1.1749498162428773</v>
      </c>
      <c r="AI41" s="4">
        <f t="shared" si="11"/>
        <v>0.16279621533187921</v>
      </c>
      <c r="AJ41" s="4">
        <f t="shared" si="11"/>
        <v>2.2681120799092029E-8</v>
      </c>
      <c r="AK41" s="4">
        <f t="shared" si="11"/>
        <v>0.94284053419456482</v>
      </c>
      <c r="AL41" s="4">
        <f t="shared" si="11"/>
        <v>0.12804260322962449</v>
      </c>
      <c r="AM41" s="4">
        <f t="shared" si="12"/>
        <v>6.7248160120241693E-2</v>
      </c>
      <c r="AN41" s="4">
        <f t="shared" si="12"/>
        <v>1.4098646876230911</v>
      </c>
      <c r="AO41" s="4">
        <f t="shared" si="12"/>
        <v>1.2818914541315078</v>
      </c>
      <c r="AP41" s="4">
        <f t="shared" si="12"/>
        <v>1</v>
      </c>
      <c r="AS41" s="1"/>
      <c r="AT41" s="1"/>
      <c r="BK41" s="4"/>
      <c r="BL41" s="4"/>
    </row>
    <row r="42" spans="1:64" x14ac:dyDescent="0.25">
      <c r="A42" s="21">
        <v>8</v>
      </c>
      <c r="B42" s="21">
        <v>2</v>
      </c>
      <c r="C42" s="21" t="s">
        <v>70</v>
      </c>
      <c r="D42" s="21">
        <v>0.88859999999999995</v>
      </c>
      <c r="E42" s="21">
        <v>0.67600000000000005</v>
      </c>
      <c r="U42" s="3"/>
      <c r="V42" s="4" t="str">
        <f t="shared" si="10"/>
        <v>ACCH2</v>
      </c>
      <c r="W42" s="4">
        <f t="shared" si="11"/>
        <v>1.2407168387756056</v>
      </c>
      <c r="X42" s="4">
        <f t="shared" si="11"/>
        <v>1.2407168387756056</v>
      </c>
      <c r="Y42" s="4">
        <f t="shared" si="11"/>
        <v>1.2407168387756056</v>
      </c>
      <c r="Z42" s="4">
        <f t="shared" si="11"/>
        <v>1.5750361099683392</v>
      </c>
      <c r="AA42" s="4">
        <f t="shared" si="11"/>
        <v>1.5750361099683392</v>
      </c>
      <c r="AB42" s="4">
        <f t="shared" si="11"/>
        <v>1</v>
      </c>
      <c r="AC42" s="4">
        <f t="shared" si="11"/>
        <v>1</v>
      </c>
      <c r="AD42" s="4">
        <f t="shared" si="11"/>
        <v>8.3281150977592602E-2</v>
      </c>
      <c r="AE42" s="4">
        <f t="shared" si="11"/>
        <v>0.15464464513432136</v>
      </c>
      <c r="AF42" s="4">
        <f t="shared" si="11"/>
        <v>2.219509078485209E-8</v>
      </c>
      <c r="AG42" s="4">
        <f t="shared" si="11"/>
        <v>6.4676536092337478E-2</v>
      </c>
      <c r="AH42" s="4">
        <f t="shared" si="11"/>
        <v>1.1749498162428773</v>
      </c>
      <c r="AI42" s="4">
        <f t="shared" si="11"/>
        <v>0.16279621533187921</v>
      </c>
      <c r="AJ42" s="4">
        <f t="shared" si="11"/>
        <v>2.2681120799092029E-8</v>
      </c>
      <c r="AK42" s="4">
        <f t="shared" si="11"/>
        <v>0.94284053419456482</v>
      </c>
      <c r="AL42" s="4">
        <f t="shared" si="11"/>
        <v>0.12804260322962449</v>
      </c>
      <c r="AM42" s="4">
        <f t="shared" si="12"/>
        <v>6.7248160120241693E-2</v>
      </c>
      <c r="AN42" s="4">
        <f t="shared" si="12"/>
        <v>1.4098646876230911</v>
      </c>
      <c r="AO42" s="4">
        <f t="shared" si="12"/>
        <v>1.2818914541315078</v>
      </c>
      <c r="AP42" s="4">
        <f t="shared" si="12"/>
        <v>1</v>
      </c>
      <c r="AS42" s="1"/>
      <c r="AT42" s="1"/>
      <c r="BK42" s="4"/>
      <c r="BL42" s="4"/>
    </row>
    <row r="43" spans="1:64" x14ac:dyDescent="0.25">
      <c r="A43" s="21">
        <v>70</v>
      </c>
      <c r="B43" s="21">
        <v>2</v>
      </c>
      <c r="C43" s="21" t="s">
        <v>71</v>
      </c>
      <c r="D43" s="21">
        <v>0.66049999999999998</v>
      </c>
      <c r="E43" s="21">
        <v>0.48499999999999999</v>
      </c>
      <c r="U43" s="3"/>
      <c r="V43" s="4" t="str">
        <f t="shared" si="10"/>
        <v>OH</v>
      </c>
      <c r="W43" s="4">
        <f t="shared" si="11"/>
        <v>0.61632197511639641</v>
      </c>
      <c r="X43" s="4">
        <f t="shared" si="11"/>
        <v>0.61632197511639641</v>
      </c>
      <c r="Y43" s="4">
        <f t="shared" si="11"/>
        <v>0.61632197511639641</v>
      </c>
      <c r="Z43" s="4">
        <f t="shared" si="11"/>
        <v>0.75784938215857722</v>
      </c>
      <c r="AA43" s="4">
        <f t="shared" si="11"/>
        <v>0.75784938215857722</v>
      </c>
      <c r="AB43" s="4">
        <f t="shared" si="11"/>
        <v>0.923207762712557</v>
      </c>
      <c r="AC43" s="4">
        <f t="shared" si="11"/>
        <v>0.923207762712557</v>
      </c>
      <c r="AD43" s="4">
        <f t="shared" si="11"/>
        <v>1</v>
      </c>
      <c r="AE43" s="4">
        <f t="shared" si="11"/>
        <v>1.5284607435346425</v>
      </c>
      <c r="AF43" s="4">
        <f t="shared" si="11"/>
        <v>0.33490136191629782</v>
      </c>
      <c r="AG43" s="4">
        <f t="shared" si="11"/>
        <v>2.2336824692050241</v>
      </c>
      <c r="AH43" s="4">
        <f t="shared" si="11"/>
        <v>0.77109692205861957</v>
      </c>
      <c r="AI43" s="4">
        <f t="shared" si="11"/>
        <v>1.8777006416562869</v>
      </c>
      <c r="AJ43" s="4">
        <f t="shared" si="11"/>
        <v>0.73135389933206263</v>
      </c>
      <c r="AK43" s="4">
        <f t="shared" si="11"/>
        <v>0.97361142886672569</v>
      </c>
      <c r="AL43" s="4">
        <f t="shared" si="11"/>
        <v>1.176004708346196</v>
      </c>
      <c r="AM43" s="4">
        <f t="shared" si="12"/>
        <v>0.54020148432432069</v>
      </c>
      <c r="AN43" s="4">
        <f t="shared" si="12"/>
        <v>0.81708557242954705</v>
      </c>
      <c r="AO43" s="4">
        <f t="shared" si="12"/>
        <v>1.3547759394442169</v>
      </c>
      <c r="AP43" s="4">
        <f t="shared" si="12"/>
        <v>3.2683319451668047</v>
      </c>
      <c r="AS43" s="1"/>
      <c r="AT43" s="1"/>
      <c r="BK43" s="4"/>
      <c r="BL43" s="4"/>
    </row>
    <row r="44" spans="1:64" x14ac:dyDescent="0.25">
      <c r="A44" s="21">
        <v>9</v>
      </c>
      <c r="B44" s="21">
        <v>3</v>
      </c>
      <c r="C44" s="21" t="s">
        <v>72</v>
      </c>
      <c r="D44" s="21">
        <v>0.53129999999999999</v>
      </c>
      <c r="E44" s="21">
        <v>0.4</v>
      </c>
      <c r="U44" s="3"/>
      <c r="V44" s="4" t="str">
        <f t="shared" si="10"/>
        <v>CH3OH</v>
      </c>
      <c r="W44" s="4">
        <f t="shared" si="11"/>
        <v>0.95019236568193255</v>
      </c>
      <c r="X44" s="4">
        <f t="shared" si="11"/>
        <v>0.95019236568193255</v>
      </c>
      <c r="Y44" s="4">
        <f t="shared" si="11"/>
        <v>0.95019236568193255</v>
      </c>
      <c r="Z44" s="4">
        <f t="shared" si="11"/>
        <v>1.1673391254380869</v>
      </c>
      <c r="AA44" s="4">
        <f t="shared" si="11"/>
        <v>1.1673391254380869</v>
      </c>
      <c r="AB44" s="4">
        <f t="shared" si="11"/>
        <v>1.1476391821578156</v>
      </c>
      <c r="AC44" s="4">
        <f t="shared" si="11"/>
        <v>1.1476391821578156</v>
      </c>
      <c r="AD44" s="4">
        <f t="shared" si="11"/>
        <v>0.46261992852729822</v>
      </c>
      <c r="AE44" s="4">
        <f t="shared" si="11"/>
        <v>1</v>
      </c>
      <c r="AF44" s="4">
        <f t="shared" si="11"/>
        <v>1.7508675419816833</v>
      </c>
      <c r="AG44" s="4">
        <f t="shared" si="11"/>
        <v>1.3698681972931881</v>
      </c>
      <c r="AH44" s="4">
        <f t="shared" si="11"/>
        <v>0.93017620122420575</v>
      </c>
      <c r="AI44" s="4">
        <f t="shared" si="11"/>
        <v>0.38745076894187352</v>
      </c>
      <c r="AJ44" s="4">
        <f t="shared" si="11"/>
        <v>1.0337298229547676</v>
      </c>
      <c r="AK44" s="4">
        <f t="shared" si="11"/>
        <v>0.32894406634898488</v>
      </c>
      <c r="AL44" s="4">
        <f t="shared" si="11"/>
        <v>0.21972130585703564</v>
      </c>
      <c r="AM44" s="4">
        <f t="shared" si="12"/>
        <v>1.8684266336172439</v>
      </c>
      <c r="AN44" s="4">
        <f t="shared" si="12"/>
        <v>1.3732636860536414</v>
      </c>
      <c r="AO44" s="4">
        <f t="shared" si="12"/>
        <v>1.5393782740213318</v>
      </c>
      <c r="AP44" s="4">
        <f t="shared" si="12"/>
        <v>1</v>
      </c>
      <c r="AS44" s="1"/>
      <c r="AT44" s="1"/>
      <c r="BK44" s="4"/>
      <c r="BL44" s="4"/>
    </row>
    <row r="45" spans="1:64" x14ac:dyDescent="0.25">
      <c r="A45" s="21">
        <v>10</v>
      </c>
      <c r="B45" s="21">
        <v>3</v>
      </c>
      <c r="C45" s="21" t="s">
        <v>73</v>
      </c>
      <c r="D45" s="21">
        <v>0.36520000000000002</v>
      </c>
      <c r="E45" s="21">
        <v>0.12</v>
      </c>
      <c r="U45" s="3"/>
      <c r="V45" s="4" t="str">
        <f t="shared" si="10"/>
        <v>H2O</v>
      </c>
      <c r="W45" s="4">
        <f t="shared" si="11"/>
        <v>0.39520073944109457</v>
      </c>
      <c r="X45" s="4">
        <f t="shared" si="11"/>
        <v>0.39520073944109457</v>
      </c>
      <c r="Y45" s="4">
        <f t="shared" si="11"/>
        <v>0.39520073944109457</v>
      </c>
      <c r="Z45" s="4">
        <f t="shared" si="11"/>
        <v>0.32590440781116681</v>
      </c>
      <c r="AA45" s="4">
        <f t="shared" si="11"/>
        <v>0.32590440781116681</v>
      </c>
      <c r="AB45" s="4">
        <f t="shared" si="11"/>
        <v>0.31083358647589621</v>
      </c>
      <c r="AC45" s="4">
        <f t="shared" si="11"/>
        <v>0.31083358647589621</v>
      </c>
      <c r="AD45" s="4">
        <f t="shared" si="11"/>
        <v>2.0318743413470921</v>
      </c>
      <c r="AE45" s="4">
        <f t="shared" si="11"/>
        <v>0.40812644213450555</v>
      </c>
      <c r="AF45" s="4">
        <f t="shared" si="11"/>
        <v>1</v>
      </c>
      <c r="AG45" s="4">
        <f t="shared" si="11"/>
        <v>0.36634578402703127</v>
      </c>
      <c r="AH45" s="4">
        <f t="shared" si="11"/>
        <v>1.8306530343909249</v>
      </c>
      <c r="AI45" s="4">
        <f t="shared" si="11"/>
        <v>1.4318487253857317</v>
      </c>
      <c r="AJ45" s="4">
        <f t="shared" si="11"/>
        <v>0.79811786313449185</v>
      </c>
      <c r="AK45" s="4">
        <f t="shared" si="11"/>
        <v>0.85959668585319238</v>
      </c>
      <c r="AL45" s="4">
        <f t="shared" si="11"/>
        <v>0.47114391685057883</v>
      </c>
      <c r="AM45" s="4">
        <f t="shared" si="12"/>
        <v>1.0445665789494911</v>
      </c>
      <c r="AN45" s="4">
        <f t="shared" si="12"/>
        <v>0.31783689800866988</v>
      </c>
      <c r="AO45" s="4">
        <f t="shared" si="12"/>
        <v>0.33469415303696021</v>
      </c>
      <c r="AP45" s="4">
        <f t="shared" si="12"/>
        <v>7.5336082932763115E-2</v>
      </c>
      <c r="AS45" s="1"/>
      <c r="AT45" s="1"/>
      <c r="BK45" s="4"/>
      <c r="BL45" s="4"/>
    </row>
    <row r="46" spans="1:64" x14ac:dyDescent="0.25">
      <c r="A46" s="21">
        <v>11</v>
      </c>
      <c r="B46" s="21">
        <v>4</v>
      </c>
      <c r="C46" s="21" t="s">
        <v>74</v>
      </c>
      <c r="D46" s="21">
        <v>1.2663</v>
      </c>
      <c r="E46" s="21">
        <v>0.96799999999999997</v>
      </c>
      <c r="U46" s="3"/>
      <c r="V46" s="4" t="str">
        <f t="shared" si="10"/>
        <v>ACOH</v>
      </c>
      <c r="W46" s="4">
        <f t="shared" si="11"/>
        <v>0.42593283091103873</v>
      </c>
      <c r="X46" s="4">
        <f t="shared" si="11"/>
        <v>0.42593283091103873</v>
      </c>
      <c r="Y46" s="4">
        <f t="shared" si="11"/>
        <v>0.42593283091103873</v>
      </c>
      <c r="Z46" s="4">
        <f t="shared" si="11"/>
        <v>0.92458009445999367</v>
      </c>
      <c r="AA46" s="4">
        <f t="shared" si="11"/>
        <v>0.92458009445999367</v>
      </c>
      <c r="AB46" s="4">
        <f t="shared" si="11"/>
        <v>0.46968819758145353</v>
      </c>
      <c r="AC46" s="4">
        <f t="shared" si="11"/>
        <v>0.46968819758145353</v>
      </c>
      <c r="AD46" s="4">
        <f t="shared" si="11"/>
        <v>4.045048028980947</v>
      </c>
      <c r="AE46" s="4">
        <f t="shared" si="11"/>
        <v>2.2720250237583981</v>
      </c>
      <c r="AF46" s="4">
        <f t="shared" si="11"/>
        <v>6.4384836399865595</v>
      </c>
      <c r="AG46" s="4">
        <f t="shared" si="11"/>
        <v>1</v>
      </c>
      <c r="AH46" s="4">
        <f t="shared" si="11"/>
        <v>3.0100751093413738</v>
      </c>
      <c r="AI46" s="4">
        <f t="shared" si="11"/>
        <v>2.3138881463315433</v>
      </c>
      <c r="AJ46" s="4">
        <f t="shared" si="11"/>
        <v>4.0176029359702135</v>
      </c>
      <c r="AK46" s="4">
        <f t="shared" si="11"/>
        <v>1</v>
      </c>
      <c r="AL46" s="4">
        <f t="shared" si="11"/>
        <v>0.69001970556560743</v>
      </c>
      <c r="AM46" s="4">
        <f t="shared" si="12"/>
        <v>0.28213865470752664</v>
      </c>
      <c r="AN46" s="4">
        <f t="shared" si="12"/>
        <v>1</v>
      </c>
      <c r="AO46" s="4">
        <f t="shared" si="12"/>
        <v>1</v>
      </c>
      <c r="AP46" s="4">
        <f t="shared" si="12"/>
        <v>1</v>
      </c>
      <c r="AS46" s="1"/>
      <c r="AT46" s="1"/>
      <c r="BK46" s="4"/>
      <c r="BL46" s="4"/>
    </row>
    <row r="47" spans="1:64" x14ac:dyDescent="0.25">
      <c r="A47" s="21">
        <v>12</v>
      </c>
      <c r="B47" s="21">
        <v>4</v>
      </c>
      <c r="C47" s="21" t="s">
        <v>75</v>
      </c>
      <c r="D47" s="21">
        <v>1.0396000000000001</v>
      </c>
      <c r="E47" s="21">
        <v>0.66</v>
      </c>
      <c r="F47" s="12"/>
      <c r="G47" s="12"/>
      <c r="H47" s="12"/>
      <c r="U47" s="3"/>
      <c r="V47" s="4" t="str">
        <f t="shared" si="10"/>
        <v>CH3CO</v>
      </c>
      <c r="W47" s="4">
        <f t="shared" si="11"/>
        <v>0.92052617725454844</v>
      </c>
      <c r="X47" s="4">
        <f t="shared" si="11"/>
        <v>0.92052617725454844</v>
      </c>
      <c r="Y47" s="4">
        <f t="shared" si="11"/>
        <v>0.92052617725454844</v>
      </c>
      <c r="Z47" s="4">
        <f t="shared" si="11"/>
        <v>0.6482072565327367</v>
      </c>
      <c r="AA47" s="4">
        <f t="shared" si="11"/>
        <v>0.6482072565327367</v>
      </c>
      <c r="AB47" s="4">
        <f t="shared" si="11"/>
        <v>0.3223936219177807</v>
      </c>
      <c r="AC47" s="4">
        <f t="shared" si="11"/>
        <v>0.3223936219177807</v>
      </c>
      <c r="AD47" s="4">
        <f t="shared" si="11"/>
        <v>0.60106540461113711</v>
      </c>
      <c r="AE47" s="4">
        <f t="shared" si="11"/>
        <v>0.71435424670416492</v>
      </c>
      <c r="AF47" s="4">
        <f t="shared" si="11"/>
        <v>0.23173303728556777</v>
      </c>
      <c r="AG47" s="4">
        <f t="shared" si="11"/>
        <v>1.5096578359763342</v>
      </c>
      <c r="AH47" s="4">
        <f t="shared" si="11"/>
        <v>1</v>
      </c>
      <c r="AI47" s="4">
        <f t="shared" si="11"/>
        <v>1.1225601724203453</v>
      </c>
      <c r="AJ47" s="4">
        <f t="shared" si="11"/>
        <v>1.9373146255974347</v>
      </c>
      <c r="AK47" s="4">
        <f t="shared" si="11"/>
        <v>1</v>
      </c>
      <c r="AL47" s="4">
        <f t="shared" si="11"/>
        <v>4.6368480214070578E-9</v>
      </c>
      <c r="AM47" s="4">
        <f t="shared" si="12"/>
        <v>0.12599868217193924</v>
      </c>
      <c r="AN47" s="4">
        <f t="shared" si="12"/>
        <v>1.4966336005462793</v>
      </c>
      <c r="AO47" s="4">
        <f t="shared" si="12"/>
        <v>2.996135298980843</v>
      </c>
      <c r="AP47" s="4">
        <f t="shared" si="12"/>
        <v>1</v>
      </c>
      <c r="AS47" s="1"/>
      <c r="AT47" s="1"/>
      <c r="BK47" s="4"/>
      <c r="BL47" s="4"/>
    </row>
    <row r="48" spans="1:64" x14ac:dyDescent="0.25">
      <c r="A48" s="21">
        <v>13</v>
      </c>
      <c r="B48" s="21">
        <v>4</v>
      </c>
      <c r="C48" s="21" t="s">
        <v>76</v>
      </c>
      <c r="D48" s="21">
        <v>0.81210000000000004</v>
      </c>
      <c r="E48" s="21">
        <v>0.34799999999999998</v>
      </c>
      <c r="U48" s="3"/>
      <c r="V48" s="4" t="str">
        <f t="shared" si="10"/>
        <v>CHO</v>
      </c>
      <c r="W48" s="4">
        <f t="shared" si="11"/>
        <v>0.20910726322660816</v>
      </c>
      <c r="X48" s="4">
        <f t="shared" si="11"/>
        <v>0.20910726322660816</v>
      </c>
      <c r="Y48" s="4">
        <f t="shared" si="11"/>
        <v>0.20910726322660816</v>
      </c>
      <c r="Z48" s="4">
        <f t="shared" si="11"/>
        <v>0.93017620122420575</v>
      </c>
      <c r="AA48" s="4">
        <f t="shared" si="11"/>
        <v>0.93017620122420575</v>
      </c>
      <c r="AB48" s="4">
        <f t="shared" si="11"/>
        <v>0.7203478613670824</v>
      </c>
      <c r="AC48" s="4">
        <f t="shared" si="11"/>
        <v>0.7203478613670824</v>
      </c>
      <c r="AD48" s="4">
        <f t="shared" si="11"/>
        <v>0.19456077902909011</v>
      </c>
      <c r="AE48" s="4">
        <f t="shared" si="11"/>
        <v>2.8655545031319827</v>
      </c>
      <c r="AF48" s="4">
        <f t="shared" si="11"/>
        <v>0.22585683863414432</v>
      </c>
      <c r="AG48" s="4">
        <f t="shared" si="11"/>
        <v>1.6185167357459436</v>
      </c>
      <c r="AH48" s="4">
        <f t="shared" si="11"/>
        <v>0.67293880513853477</v>
      </c>
      <c r="AI48" s="4">
        <f t="shared" si="11"/>
        <v>1</v>
      </c>
      <c r="AJ48" s="4">
        <f t="shared" si="11"/>
        <v>1.4068139769713217</v>
      </c>
      <c r="AK48" s="4">
        <f t="shared" si="11"/>
        <v>1</v>
      </c>
      <c r="AL48" s="4">
        <f t="shared" si="11"/>
        <v>1</v>
      </c>
      <c r="AM48" s="4">
        <f t="shared" si="12"/>
        <v>0.21448129981999972</v>
      </c>
      <c r="AN48" s="4">
        <f t="shared" si="12"/>
        <v>0.81144131184740098</v>
      </c>
      <c r="AO48" s="4">
        <f t="shared" si="12"/>
        <v>4.4674961148620573</v>
      </c>
      <c r="AP48" s="4">
        <f t="shared" si="12"/>
        <v>1</v>
      </c>
      <c r="AS48" s="1"/>
      <c r="AT48" s="1"/>
      <c r="BK48" s="4"/>
      <c r="BL48" s="4"/>
    </row>
    <row r="49" spans="1:64" x14ac:dyDescent="0.25">
      <c r="A49" s="21">
        <v>14</v>
      </c>
      <c r="B49" s="21">
        <v>5</v>
      </c>
      <c r="C49" s="21" t="s">
        <v>77</v>
      </c>
      <c r="D49" s="21">
        <v>1</v>
      </c>
      <c r="E49" s="21">
        <v>1.2</v>
      </c>
      <c r="R49" s="12"/>
      <c r="U49" s="3"/>
      <c r="V49" s="4" t="str">
        <f t="shared" si="10"/>
        <v>CH3COO</v>
      </c>
      <c r="W49" s="4">
        <f t="shared" si="11"/>
        <v>0.70099608384260437</v>
      </c>
      <c r="X49" s="4">
        <f t="shared" si="11"/>
        <v>0.70099608384260437</v>
      </c>
      <c r="Y49" s="4">
        <f t="shared" si="11"/>
        <v>0.70099608384260437</v>
      </c>
      <c r="Z49" s="4">
        <f t="shared" si="11"/>
        <v>0.76671881080431648</v>
      </c>
      <c r="AA49" s="4">
        <f t="shared" si="11"/>
        <v>0.76671881080431648</v>
      </c>
      <c r="AB49" s="4">
        <f t="shared" si="11"/>
        <v>1.6922711184378123</v>
      </c>
      <c r="AC49" s="4">
        <f t="shared" si="11"/>
        <v>1.6922711184378123</v>
      </c>
      <c r="AD49" s="4">
        <f t="shared" si="11"/>
        <v>0.4679472703517577</v>
      </c>
      <c r="AE49" s="4">
        <f t="shared" si="11"/>
        <v>0.46190468450085359</v>
      </c>
      <c r="AF49" s="4">
        <f t="shared" si="11"/>
        <v>0.53720083576802591</v>
      </c>
      <c r="AG49" s="4">
        <f t="shared" si="11"/>
        <v>1.1203391371597402</v>
      </c>
      <c r="AH49" s="4">
        <f t="shared" si="11"/>
        <v>0.31607141446813536</v>
      </c>
      <c r="AI49" s="4">
        <f t="shared" si="11"/>
        <v>0.56394474071052292</v>
      </c>
      <c r="AJ49" s="4">
        <f t="shared" si="11"/>
        <v>1</v>
      </c>
      <c r="AK49" s="4">
        <f t="shared" si="11"/>
        <v>1</v>
      </c>
      <c r="AL49" s="4">
        <f t="shared" si="11"/>
        <v>0.22959167230185568</v>
      </c>
      <c r="AM49" s="4">
        <f t="shared" si="12"/>
        <v>0.12963738396382629</v>
      </c>
      <c r="AN49" s="4">
        <f t="shared" si="12"/>
        <v>0.71391226419903964</v>
      </c>
      <c r="AO49" s="4">
        <f t="shared" si="12"/>
        <v>1.9134820554967287</v>
      </c>
      <c r="AP49" s="4">
        <f t="shared" si="12"/>
        <v>1</v>
      </c>
      <c r="AS49" s="1"/>
      <c r="AT49" s="1"/>
      <c r="BK49" s="4"/>
      <c r="BL49" s="4"/>
    </row>
    <row r="50" spans="1:64" x14ac:dyDescent="0.25">
      <c r="A50" s="21">
        <v>15</v>
      </c>
      <c r="B50" s="21">
        <v>6</v>
      </c>
      <c r="C50" s="21" t="s">
        <v>78</v>
      </c>
      <c r="D50" s="21">
        <v>1.4311</v>
      </c>
      <c r="E50" s="21">
        <v>1.4319999999999999</v>
      </c>
      <c r="I50" s="12"/>
      <c r="J50" s="12"/>
      <c r="K50" s="12"/>
      <c r="L50" s="12"/>
      <c r="M50" s="12"/>
      <c r="N50" s="12"/>
      <c r="O50" s="12"/>
      <c r="P50" s="12"/>
      <c r="Q50" s="12"/>
      <c r="U50" s="3"/>
      <c r="V50" s="4" t="str">
        <f t="shared" si="10"/>
        <v>CH2NH2</v>
      </c>
      <c r="W50" s="4">
        <f t="shared" si="11"/>
        <v>1.0989130143959447</v>
      </c>
      <c r="X50" s="4">
        <f t="shared" si="11"/>
        <v>1.0989130143959447</v>
      </c>
      <c r="Y50" s="4">
        <f t="shared" si="11"/>
        <v>1.0989130143959447</v>
      </c>
      <c r="Z50" s="4">
        <f t="shared" si="11"/>
        <v>1.1488828501645272</v>
      </c>
      <c r="AA50" s="4">
        <f t="shared" si="11"/>
        <v>1.1488828501645272</v>
      </c>
      <c r="AB50" s="4">
        <f t="shared" si="11"/>
        <v>0.39962802391467739</v>
      </c>
      <c r="AC50" s="4">
        <f t="shared" si="11"/>
        <v>0.39962802391467739</v>
      </c>
      <c r="AD50" s="4">
        <f t="shared" si="11"/>
        <v>2.1198680802197178</v>
      </c>
      <c r="AE50" s="4">
        <f t="shared" si="11"/>
        <v>4.4399318273506294</v>
      </c>
      <c r="AF50" s="4">
        <f t="shared" si="11"/>
        <v>2.779956837537378</v>
      </c>
      <c r="AG50" s="4">
        <f t="shared" si="11"/>
        <v>1</v>
      </c>
      <c r="AH50" s="4">
        <f t="shared" si="11"/>
        <v>1</v>
      </c>
      <c r="AI50" s="4">
        <f t="shared" si="11"/>
        <v>1</v>
      </c>
      <c r="AJ50" s="4">
        <f t="shared" si="11"/>
        <v>1</v>
      </c>
      <c r="AK50" s="4">
        <f t="shared" si="11"/>
        <v>1</v>
      </c>
      <c r="AL50" s="4">
        <f t="shared" si="11"/>
        <v>1.8609252396873799</v>
      </c>
      <c r="AM50" s="4">
        <f t="shared" si="12"/>
        <v>1</v>
      </c>
      <c r="AN50" s="4">
        <f t="shared" si="12"/>
        <v>1</v>
      </c>
      <c r="AO50" s="4">
        <f t="shared" si="12"/>
        <v>1</v>
      </c>
      <c r="AP50" s="4">
        <f t="shared" si="12"/>
        <v>1</v>
      </c>
      <c r="AS50" s="1"/>
      <c r="AT50" s="1"/>
      <c r="BK50" s="4"/>
      <c r="BL50" s="4"/>
    </row>
    <row r="51" spans="1:64" x14ac:dyDescent="0.25">
      <c r="A51" s="21">
        <v>16</v>
      </c>
      <c r="B51" s="21">
        <v>7</v>
      </c>
      <c r="C51" s="21" t="s">
        <v>79</v>
      </c>
      <c r="D51" s="21">
        <v>0.92</v>
      </c>
      <c r="E51" s="21">
        <v>1.4</v>
      </c>
      <c r="V51" s="4" t="str">
        <f t="shared" si="10"/>
        <v>ACNH2</v>
      </c>
      <c r="W51" s="4">
        <f t="shared" si="11"/>
        <v>2.9461264635342713E-2</v>
      </c>
      <c r="X51" s="4">
        <f t="shared" si="11"/>
        <v>2.9461264635342713E-2</v>
      </c>
      <c r="Y51" s="4">
        <f t="shared" si="11"/>
        <v>2.9461264635342713E-2</v>
      </c>
      <c r="Z51" s="4">
        <f t="shared" si="11"/>
        <v>0.46491616047935386</v>
      </c>
      <c r="AA51" s="4">
        <f t="shared" si="11"/>
        <v>0.46491616047935386</v>
      </c>
      <c r="AB51" s="4">
        <f t="shared" si="11"/>
        <v>9.4371732613020287E-2</v>
      </c>
      <c r="AC51" s="4">
        <f t="shared" si="11"/>
        <v>9.4371732613020287E-2</v>
      </c>
      <c r="AD51" s="4">
        <f t="shared" si="11"/>
        <v>1.0553209763477596</v>
      </c>
      <c r="AE51" s="4">
        <f t="shared" si="11"/>
        <v>1.4411839371426876</v>
      </c>
      <c r="AF51" s="4">
        <f t="shared" si="11"/>
        <v>2.8779960289993318</v>
      </c>
      <c r="AG51" s="4">
        <f t="shared" si="11"/>
        <v>2.1885245674322058</v>
      </c>
      <c r="AH51" s="4">
        <f t="shared" si="11"/>
        <v>4.0288078950711341</v>
      </c>
      <c r="AI51" s="4">
        <f t="shared" si="11"/>
        <v>1</v>
      </c>
      <c r="AJ51" s="4">
        <f t="shared" si="11"/>
        <v>2.4899679619966402</v>
      </c>
      <c r="AK51" s="4">
        <f t="shared" si="11"/>
        <v>1.0477391893183692</v>
      </c>
      <c r="AL51" s="4">
        <f t="shared" ref="AL51:AL55" si="13">EXP(-AN25/($U$6+273.15))</f>
        <v>1</v>
      </c>
      <c r="AM51" s="4">
        <f t="shared" si="12"/>
        <v>3.4056543809885511</v>
      </c>
      <c r="AN51" s="4">
        <f t="shared" si="12"/>
        <v>1.4098646876230911</v>
      </c>
      <c r="AO51" s="4">
        <f t="shared" si="12"/>
        <v>1</v>
      </c>
      <c r="AP51" s="4">
        <f t="shared" si="12"/>
        <v>1</v>
      </c>
      <c r="AS51" s="1"/>
      <c r="AT51" s="1"/>
      <c r="BK51" s="4"/>
      <c r="BL51" s="4"/>
    </row>
    <row r="52" spans="1:64" x14ac:dyDescent="0.25">
      <c r="A52" s="21">
        <v>17</v>
      </c>
      <c r="B52" s="21">
        <v>8</v>
      </c>
      <c r="C52" s="21" t="s">
        <v>80</v>
      </c>
      <c r="D52" s="21">
        <v>0.8952</v>
      </c>
      <c r="E52" s="21">
        <v>0.68</v>
      </c>
      <c r="V52" s="4" t="str">
        <f t="shared" si="10"/>
        <v>COOH</v>
      </c>
      <c r="W52" s="4">
        <f t="shared" ref="W52:AK55" si="14">EXP(-Y26/($U$6+273.15))</f>
        <v>0.3769254427806869</v>
      </c>
      <c r="X52" s="4">
        <f t="shared" si="14"/>
        <v>0.3769254427806869</v>
      </c>
      <c r="Y52" s="4">
        <f t="shared" si="14"/>
        <v>0.3769254427806869</v>
      </c>
      <c r="Z52" s="4">
        <f t="shared" si="14"/>
        <v>0.82460432241045967</v>
      </c>
      <c r="AA52" s="4">
        <f t="shared" si="14"/>
        <v>0.82460432241045967</v>
      </c>
      <c r="AB52" s="4">
        <f t="shared" si="14"/>
        <v>0.75700558248215855</v>
      </c>
      <c r="AC52" s="4">
        <f t="shared" si="14"/>
        <v>0.75700558248215855</v>
      </c>
      <c r="AD52" s="4">
        <f t="shared" si="14"/>
        <v>1.5956405576652541</v>
      </c>
      <c r="AE52" s="4">
        <f t="shared" si="14"/>
        <v>0.34940482917747295</v>
      </c>
      <c r="AF52" s="4">
        <f t="shared" si="14"/>
        <v>1.2272373529837439</v>
      </c>
      <c r="AG52" s="4">
        <f t="shared" si="14"/>
        <v>1.0346259076961397</v>
      </c>
      <c r="AH52" s="4">
        <f t="shared" si="14"/>
        <v>2.5131914968527931</v>
      </c>
      <c r="AI52" s="4">
        <f t="shared" si="14"/>
        <v>1.66886885099482</v>
      </c>
      <c r="AJ52" s="4">
        <f t="shared" si="14"/>
        <v>2.2103041385818294</v>
      </c>
      <c r="AK52" s="4">
        <f t="shared" si="14"/>
        <v>1</v>
      </c>
      <c r="AL52" s="4">
        <f t="shared" si="13"/>
        <v>0.21695117871763586</v>
      </c>
      <c r="AM52" s="4">
        <f t="shared" si="12"/>
        <v>1</v>
      </c>
      <c r="AN52" s="4">
        <f t="shared" si="12"/>
        <v>1.1483496846469121</v>
      </c>
      <c r="AO52" s="4">
        <f t="shared" si="12"/>
        <v>0.88458510969994364</v>
      </c>
      <c r="AP52" s="4">
        <f t="shared" si="12"/>
        <v>2.7111411710418638</v>
      </c>
      <c r="AS52" s="1"/>
      <c r="AT52" s="1"/>
      <c r="BK52" s="4"/>
      <c r="BL52" s="4"/>
    </row>
    <row r="53" spans="1:64" s="12" customFormat="1" x14ac:dyDescent="0.25">
      <c r="A53" s="21">
        <v>18</v>
      </c>
      <c r="B53" s="21">
        <v>9</v>
      </c>
      <c r="C53" s="21" t="s">
        <v>81</v>
      </c>
      <c r="D53" s="21">
        <v>1.6724000000000001</v>
      </c>
      <c r="E53" s="21">
        <v>1.488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U53" s="4"/>
      <c r="V53" s="4" t="str">
        <f t="shared" si="10"/>
        <v>CCL2</v>
      </c>
      <c r="W53" s="4">
        <f t="shared" si="14"/>
        <v>0.89985310055972589</v>
      </c>
      <c r="X53" s="4">
        <f t="shared" si="14"/>
        <v>0.89985310055972589</v>
      </c>
      <c r="Y53" s="4">
        <f t="shared" si="14"/>
        <v>0.89985310055972589</v>
      </c>
      <c r="Z53" s="4">
        <f t="shared" si="14"/>
        <v>0.68703676259790647</v>
      </c>
      <c r="AA53" s="4">
        <f t="shared" si="14"/>
        <v>0.68703676259790647</v>
      </c>
      <c r="AB53" s="4">
        <f t="shared" si="14"/>
        <v>0.64680464477898558</v>
      </c>
      <c r="AC53" s="4">
        <f t="shared" si="14"/>
        <v>0.64680464477898558</v>
      </c>
      <c r="AD53" s="4">
        <f t="shared" si="14"/>
        <v>0.19540551360399214</v>
      </c>
      <c r="AE53" s="4">
        <f t="shared" si="14"/>
        <v>0.12580387905342622</v>
      </c>
      <c r="AF53" s="4">
        <f t="shared" si="14"/>
        <v>0.11157043539492623</v>
      </c>
      <c r="AG53" s="4">
        <f t="shared" si="14"/>
        <v>1</v>
      </c>
      <c r="AH53" s="4">
        <f t="shared" si="14"/>
        <v>0.77382198120014978</v>
      </c>
      <c r="AI53" s="4">
        <f t="shared" si="14"/>
        <v>0.55442764395336996</v>
      </c>
      <c r="AJ53" s="4">
        <f t="shared" si="14"/>
        <v>1.5091907388773458</v>
      </c>
      <c r="AK53" s="4">
        <f t="shared" si="14"/>
        <v>1</v>
      </c>
      <c r="AL53" s="4">
        <f t="shared" si="13"/>
        <v>0.64680464477898558</v>
      </c>
      <c r="AM53" s="4">
        <f t="shared" si="12"/>
        <v>0.18613881404317928</v>
      </c>
      <c r="AN53" s="4">
        <f t="shared" si="12"/>
        <v>1</v>
      </c>
      <c r="AO53" s="4">
        <f t="shared" si="12"/>
        <v>1</v>
      </c>
      <c r="AP53" s="4">
        <f t="shared" si="12"/>
        <v>1</v>
      </c>
    </row>
    <row r="54" spans="1:64" x14ac:dyDescent="0.25">
      <c r="A54" s="21">
        <v>19</v>
      </c>
      <c r="B54" s="21">
        <v>9</v>
      </c>
      <c r="C54" s="21" t="s">
        <v>82</v>
      </c>
      <c r="D54" s="21">
        <v>1.4457</v>
      </c>
      <c r="E54" s="21">
        <v>1.18</v>
      </c>
      <c r="V54" s="4" t="str">
        <f t="shared" si="10"/>
        <v>CCL3</v>
      </c>
      <c r="W54" s="4">
        <f t="shared" si="14"/>
        <v>0.89264211122126103</v>
      </c>
      <c r="X54" s="4">
        <f t="shared" si="14"/>
        <v>0.89264211122126103</v>
      </c>
      <c r="Y54" s="4">
        <f t="shared" si="14"/>
        <v>0.89264211122126103</v>
      </c>
      <c r="Z54" s="4">
        <f t="shared" si="14"/>
        <v>0.49307106609611706</v>
      </c>
      <c r="AA54" s="4">
        <f t="shared" si="14"/>
        <v>0.49307106609611706</v>
      </c>
      <c r="AB54" s="4">
        <f t="shared" si="14"/>
        <v>0.80548699963000236</v>
      </c>
      <c r="AC54" s="4">
        <f t="shared" si="14"/>
        <v>0.80548699963000236</v>
      </c>
      <c r="AD54" s="4">
        <f t="shared" si="14"/>
        <v>0.10061471558537251</v>
      </c>
      <c r="AE54" s="4">
        <f t="shared" si="14"/>
        <v>0.13416770834059197</v>
      </c>
      <c r="AF54" s="4">
        <f t="shared" si="14"/>
        <v>7.7415819396466079E-2</v>
      </c>
      <c r="AG54" s="4">
        <f t="shared" si="14"/>
        <v>1</v>
      </c>
      <c r="AH54" s="4">
        <f t="shared" si="14"/>
        <v>0.18113828983644714</v>
      </c>
      <c r="AI54" s="4">
        <f t="shared" si="14"/>
        <v>0.47172746706783425</v>
      </c>
      <c r="AJ54" s="4">
        <f t="shared" si="14"/>
        <v>0.57915450919927469</v>
      </c>
      <c r="AK54" s="4">
        <f t="shared" si="14"/>
        <v>1</v>
      </c>
      <c r="AL54" s="4">
        <f t="shared" si="13"/>
        <v>1</v>
      </c>
      <c r="AM54" s="4">
        <f t="shared" si="12"/>
        <v>0.21008015507010402</v>
      </c>
      <c r="AN54" s="4">
        <f t="shared" si="12"/>
        <v>1.2989825562373447</v>
      </c>
      <c r="AO54" s="4">
        <f t="shared" si="12"/>
        <v>1</v>
      </c>
      <c r="AP54" s="4">
        <f t="shared" si="12"/>
        <v>1</v>
      </c>
      <c r="AS54" s="1"/>
      <c r="AT54" s="1"/>
      <c r="BK54" s="4"/>
      <c r="BL54" s="4"/>
    </row>
    <row r="55" spans="1:64" x14ac:dyDescent="0.25">
      <c r="A55" s="21">
        <v>20</v>
      </c>
      <c r="B55" s="21">
        <v>10</v>
      </c>
      <c r="C55" s="21" t="s">
        <v>83</v>
      </c>
      <c r="D55" s="21">
        <v>0.998</v>
      </c>
      <c r="E55" s="21">
        <v>0.94799999999999995</v>
      </c>
      <c r="V55" s="4" t="str">
        <f t="shared" si="10"/>
        <v>CON(CH2)2</v>
      </c>
      <c r="W55" s="4">
        <f t="shared" si="14"/>
        <v>0.91708581223922514</v>
      </c>
      <c r="X55" s="4">
        <f t="shared" si="14"/>
        <v>0.91708581223922514</v>
      </c>
      <c r="Y55" s="4">
        <f t="shared" si="14"/>
        <v>0.91708581223922514</v>
      </c>
      <c r="Z55" s="4">
        <f t="shared" si="14"/>
        <v>1</v>
      </c>
      <c r="AA55" s="4">
        <f t="shared" si="14"/>
        <v>1</v>
      </c>
      <c r="AB55" s="4">
        <f t="shared" si="14"/>
        <v>1</v>
      </c>
      <c r="AC55" s="4">
        <f t="shared" si="14"/>
        <v>1</v>
      </c>
      <c r="AD55" s="4">
        <f t="shared" si="14"/>
        <v>0.29472172947246494</v>
      </c>
      <c r="AE55" s="4">
        <f t="shared" si="14"/>
        <v>1</v>
      </c>
      <c r="AF55" s="4">
        <f t="shared" si="14"/>
        <v>4.8358082179201123</v>
      </c>
      <c r="AG55" s="4">
        <f t="shared" si="14"/>
        <v>1</v>
      </c>
      <c r="AH55" s="4">
        <f t="shared" si="14"/>
        <v>1</v>
      </c>
      <c r="AI55" s="4">
        <f t="shared" si="14"/>
        <v>1</v>
      </c>
      <c r="AJ55" s="4">
        <f t="shared" si="14"/>
        <v>1</v>
      </c>
      <c r="AK55" s="4">
        <f t="shared" si="14"/>
        <v>1</v>
      </c>
      <c r="AL55" s="4">
        <f t="shared" si="13"/>
        <v>1</v>
      </c>
      <c r="AM55" s="4">
        <f t="shared" si="12"/>
        <v>1.2428303319121348</v>
      </c>
      <c r="AN55" s="4">
        <f t="shared" si="12"/>
        <v>1</v>
      </c>
      <c r="AO55" s="4">
        <f t="shared" si="12"/>
        <v>1</v>
      </c>
      <c r="AP55" s="4">
        <f t="shared" si="12"/>
        <v>1</v>
      </c>
      <c r="AS55" s="1"/>
      <c r="AT55" s="1"/>
      <c r="BK55" s="4"/>
      <c r="BL55" s="4"/>
    </row>
    <row r="56" spans="1:64" x14ac:dyDescent="0.25">
      <c r="A56" s="21">
        <v>21</v>
      </c>
      <c r="B56" s="21">
        <v>11</v>
      </c>
      <c r="C56" s="21" t="s">
        <v>84</v>
      </c>
      <c r="D56" s="21">
        <v>1.9031</v>
      </c>
      <c r="E56" s="21">
        <v>1.728</v>
      </c>
      <c r="V56" s="33"/>
      <c r="W56" s="33"/>
      <c r="AL56" s="33"/>
      <c r="AM56" s="33"/>
      <c r="AN56" s="33"/>
    </row>
    <row r="57" spans="1:64" x14ac:dyDescent="0.25">
      <c r="A57" s="21">
        <v>22</v>
      </c>
      <c r="B57" s="21">
        <v>11</v>
      </c>
      <c r="C57" s="21" t="s">
        <v>85</v>
      </c>
      <c r="D57" s="21">
        <v>1.6763999999999999</v>
      </c>
      <c r="E57" s="21">
        <v>1.42</v>
      </c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</row>
    <row r="58" spans="1:64" x14ac:dyDescent="0.25">
      <c r="A58" s="21">
        <v>29</v>
      </c>
      <c r="B58" s="21">
        <v>14</v>
      </c>
      <c r="C58" s="21" t="s">
        <v>86</v>
      </c>
      <c r="D58" s="21">
        <v>1.3692</v>
      </c>
      <c r="E58" s="21">
        <v>1.236</v>
      </c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</row>
    <row r="59" spans="1:64" x14ac:dyDescent="0.25">
      <c r="A59" s="21">
        <v>36</v>
      </c>
      <c r="B59" s="21">
        <v>17</v>
      </c>
      <c r="C59" s="21" t="s">
        <v>87</v>
      </c>
      <c r="D59" s="21">
        <v>1.06</v>
      </c>
      <c r="E59" s="21">
        <v>0.81599999999999995</v>
      </c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</row>
    <row r="60" spans="1:64" x14ac:dyDescent="0.25">
      <c r="A60" s="21">
        <v>42</v>
      </c>
      <c r="B60" s="21">
        <v>20</v>
      </c>
      <c r="C60" s="21" t="s">
        <v>88</v>
      </c>
      <c r="D60" s="21">
        <v>1.3012999999999999</v>
      </c>
      <c r="E60" s="21">
        <v>1.224</v>
      </c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</row>
    <row r="61" spans="1:64" x14ac:dyDescent="0.25">
      <c r="A61" s="21">
        <v>49</v>
      </c>
      <c r="B61" s="21">
        <v>22</v>
      </c>
      <c r="C61" s="21" t="s">
        <v>89</v>
      </c>
      <c r="D61" s="21">
        <v>1.8016000000000001</v>
      </c>
      <c r="E61" s="21">
        <v>1.448</v>
      </c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</row>
    <row r="62" spans="1:64" x14ac:dyDescent="0.25">
      <c r="A62" s="21">
        <v>51</v>
      </c>
      <c r="B62" s="21">
        <v>23</v>
      </c>
      <c r="C62" s="21" t="s">
        <v>90</v>
      </c>
      <c r="D62" s="21">
        <v>2.6400999999999999</v>
      </c>
      <c r="E62" s="21">
        <v>2.1840000000000002</v>
      </c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</row>
    <row r="63" spans="1:64" x14ac:dyDescent="0.25">
      <c r="A63" s="21">
        <v>99</v>
      </c>
      <c r="B63" s="21">
        <v>46</v>
      </c>
      <c r="C63" s="21" t="s">
        <v>91</v>
      </c>
      <c r="D63" s="21">
        <v>2.4054000000000002</v>
      </c>
      <c r="E63" s="21">
        <v>1.8120000000000001</v>
      </c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</row>
    <row r="64" spans="1:64" x14ac:dyDescent="0.25"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</row>
    <row r="65" spans="21:40" x14ac:dyDescent="0.25"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</row>
    <row r="66" spans="21:40" x14ac:dyDescent="0.25"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</row>
    <row r="67" spans="21:40" x14ac:dyDescent="0.25"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</row>
    <row r="68" spans="21:40" x14ac:dyDescent="0.25">
      <c r="U68" s="12"/>
      <c r="V68" s="12"/>
      <c r="W68" s="12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12"/>
      <c r="AM68" s="12"/>
      <c r="AN68" s="12"/>
    </row>
    <row r="69" spans="21:40" x14ac:dyDescent="0.25"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</row>
    <row r="71" spans="21:40" x14ac:dyDescent="0.25"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</sheetData>
  <sheetProtection sheet="1" objects="1" scenarios="1"/>
  <pageMargins left="0.75" right="0.75" top="1" bottom="1" header="0.5" footer="0.5"/>
  <pageSetup orientation="landscape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UNIFAC (VLE)</vt:lpstr>
      <vt:lpstr>aij-UNIFAC (VLE)</vt:lpstr>
      <vt:lpstr>_Q</vt:lpstr>
      <vt:lpstr>_R</vt:lpstr>
      <vt:lpstr>column</vt:lpstr>
      <vt:lpstr>MGaij</vt:lpstr>
      <vt:lpstr>q</vt:lpstr>
      <vt:lpstr>row</vt:lpstr>
      <vt:lpstr>'UNIFAC (VLE)'!T</vt:lpstr>
      <vt:lpstr>tau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Seshadri (Student)</dc:creator>
  <cp:lastModifiedBy>Vyomesh Seshadri</cp:lastModifiedBy>
  <dcterms:created xsi:type="dcterms:W3CDTF">2024-04-09T23:07:18Z</dcterms:created>
  <dcterms:modified xsi:type="dcterms:W3CDTF">2024-04-15T06:30:34Z</dcterms:modified>
</cp:coreProperties>
</file>