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8" yWindow="30" windowWidth="18348" windowHeight="7200" activeTab="1"/>
  </bookViews>
  <sheets>
    <sheet name="Tabelle1" sheetId="1" r:id="rId1"/>
    <sheet name="Tabelle3" sheetId="3" r:id="rId2"/>
    <sheet name="Tabelle2" sheetId="2" state="hidden" r:id="rId3"/>
  </sheets>
  <calcPr calcId="145621"/>
</workbook>
</file>

<file path=xl/calcChain.xml><?xml version="1.0" encoding="utf-8"?>
<calcChain xmlns="http://schemas.openxmlformats.org/spreadsheetml/2006/main">
  <c r="G10" i="1" l="1"/>
  <c r="G7" i="1"/>
  <c r="I45" i="1"/>
  <c r="K45" i="1" s="1"/>
  <c r="I42" i="1"/>
  <c r="I39" i="1"/>
  <c r="K39" i="1"/>
  <c r="K36" i="1"/>
  <c r="K33" i="1"/>
  <c r="K30" i="1"/>
  <c r="K27" i="1"/>
  <c r="K24" i="1"/>
  <c r="K21" i="1"/>
  <c r="K10" i="1"/>
  <c r="I36" i="1"/>
  <c r="I33" i="1"/>
  <c r="I30" i="1"/>
  <c r="I27" i="1"/>
  <c r="I24" i="1"/>
  <c r="I21" i="1"/>
  <c r="I18" i="1"/>
  <c r="K18" i="1"/>
  <c r="C17" i="1"/>
  <c r="E6" i="1"/>
  <c r="C4" i="1"/>
  <c r="I10" i="1"/>
  <c r="E3" i="1"/>
  <c r="E11" i="1"/>
  <c r="E5" i="1"/>
  <c r="C9" i="2" l="1"/>
  <c r="E9" i="2"/>
  <c r="H9" i="2" s="1"/>
  <c r="C10" i="2"/>
  <c r="E10" i="2"/>
  <c r="H10" i="2"/>
  <c r="E8" i="2"/>
  <c r="C2" i="2"/>
  <c r="E6" i="2"/>
  <c r="H6" i="2"/>
  <c r="E16" i="2"/>
  <c r="E11" i="2"/>
  <c r="C17" i="2"/>
  <c r="C16" i="2"/>
  <c r="C15" i="2"/>
  <c r="H15" i="2" s="1"/>
  <c r="C14" i="2"/>
  <c r="C13" i="2"/>
  <c r="C12" i="2"/>
  <c r="C11" i="2"/>
  <c r="E12" i="2"/>
  <c r="E13" i="2"/>
  <c r="E14" i="2"/>
  <c r="E15" i="2"/>
  <c r="E17" i="2"/>
  <c r="H11" i="2" l="1"/>
  <c r="H13" i="2"/>
  <c r="H17" i="2"/>
  <c r="H16" i="2"/>
  <c r="H12" i="2"/>
  <c r="H14" i="2"/>
  <c r="E10" i="1" l="1"/>
  <c r="K9" i="1"/>
  <c r="G11" i="1"/>
  <c r="K17" i="1" l="1"/>
  <c r="K26" i="1"/>
  <c r="C5" i="3" s="1"/>
  <c r="C4" i="2"/>
  <c r="C3" i="2"/>
  <c r="E2" i="2"/>
  <c r="C2" i="3" l="1"/>
  <c r="K19" i="1"/>
  <c r="C6" i="2"/>
  <c r="C8" i="2" s="1"/>
  <c r="H8" i="2" s="1"/>
  <c r="K44" i="1" l="1"/>
  <c r="C11" i="3" s="1"/>
  <c r="E4" i="1"/>
  <c r="G6" i="1"/>
  <c r="G5" i="1"/>
  <c r="G4" i="1"/>
  <c r="G3" i="1"/>
  <c r="G2" i="1"/>
  <c r="C2" i="1"/>
  <c r="C9" i="1" s="1"/>
  <c r="G9" i="1" l="1"/>
  <c r="C14" i="1"/>
  <c r="E9" i="1"/>
  <c r="E14" i="1" s="1"/>
  <c r="K32" i="1"/>
  <c r="C7" i="3" s="1"/>
  <c r="K41" i="1"/>
  <c r="C10" i="3" s="1"/>
  <c r="K23" i="1"/>
  <c r="C4" i="3" s="1"/>
  <c r="K35" i="1"/>
  <c r="C8" i="3" s="1"/>
  <c r="K38" i="1"/>
  <c r="C9" i="3" s="1"/>
  <c r="K29" i="1"/>
  <c r="C6" i="3" s="1"/>
  <c r="K20" i="1"/>
  <c r="C3" i="3" s="1"/>
  <c r="C12" i="3" l="1"/>
  <c r="E44" i="1"/>
  <c r="E41" i="1"/>
  <c r="E35" i="1"/>
  <c r="E20" i="1"/>
  <c r="E32" i="1"/>
  <c r="E29" i="1"/>
  <c r="E38" i="1"/>
  <c r="E26" i="1"/>
  <c r="E17" i="1"/>
  <c r="E23" i="1"/>
  <c r="G14" i="1"/>
  <c r="H14" i="1" l="1"/>
  <c r="G35" i="1"/>
  <c r="H35" i="1" s="1"/>
  <c r="L37" i="1" s="1"/>
  <c r="D8" i="3" s="1"/>
  <c r="G23" i="1"/>
  <c r="H23" i="1" s="1"/>
  <c r="L25" i="1" s="1"/>
  <c r="D4" i="3" s="1"/>
  <c r="G44" i="1"/>
  <c r="H44" i="1" s="1"/>
  <c r="L46" i="1" s="1"/>
  <c r="D11" i="3" s="1"/>
  <c r="G32" i="1"/>
  <c r="H32" i="1" s="1"/>
  <c r="L34" i="1" s="1"/>
  <c r="D7" i="3" s="1"/>
  <c r="G20" i="1"/>
  <c r="H20" i="1" s="1"/>
  <c r="L22" i="1" s="1"/>
  <c r="D3" i="3" s="1"/>
  <c r="G41" i="1"/>
  <c r="H41" i="1" s="1"/>
  <c r="L43" i="1" s="1"/>
  <c r="D10" i="3" s="1"/>
  <c r="G29" i="1"/>
  <c r="H29" i="1" s="1"/>
  <c r="L31" i="1" s="1"/>
  <c r="D6" i="3" s="1"/>
  <c r="G38" i="1"/>
  <c r="H38" i="1" s="1"/>
  <c r="L40" i="1" s="1"/>
  <c r="D9" i="3" s="1"/>
  <c r="G26" i="1"/>
  <c r="H26" i="1" s="1"/>
  <c r="L28" i="1" s="1"/>
  <c r="D5" i="3" s="1"/>
  <c r="G17" i="1"/>
  <c r="H17" i="1" s="1"/>
  <c r="H19" i="1" s="1"/>
  <c r="L19" i="1" s="1"/>
  <c r="D2" i="3" s="1"/>
  <c r="D12" i="3" l="1"/>
  <c r="B11" i="3"/>
  <c r="B9" i="3"/>
  <c r="B6" i="3"/>
  <c r="B10" i="3"/>
  <c r="B4" i="3"/>
  <c r="B5" i="3"/>
  <c r="B3" i="3"/>
  <c r="B7" i="3"/>
  <c r="B8" i="3"/>
  <c r="B2" i="3"/>
  <c r="B12" i="3" l="1"/>
  <c r="K42" i="1" l="1"/>
</calcChain>
</file>

<file path=xl/sharedStrings.xml><?xml version="1.0" encoding="utf-8"?>
<sst xmlns="http://schemas.openxmlformats.org/spreadsheetml/2006/main" count="100" uniqueCount="52">
  <si>
    <t>Initiale Kosten</t>
  </si>
  <si>
    <t>fixe Kosten</t>
  </si>
  <si>
    <t>variable Kosten</t>
  </si>
  <si>
    <t>Gesamtkosten</t>
  </si>
  <si>
    <t>Hard- /Software</t>
  </si>
  <si>
    <t>Musikanlage</t>
  </si>
  <si>
    <t>Ausstattung</t>
  </si>
  <si>
    <t>Grill</t>
  </si>
  <si>
    <t>Kühlbox</t>
  </si>
  <si>
    <t>Ladegerät</t>
  </si>
  <si>
    <t>Aufbewahrungsbox</t>
  </si>
  <si>
    <t>Büro/Lager</t>
  </si>
  <si>
    <t>Strom/Internet</t>
  </si>
  <si>
    <t>Produktionskosten</t>
  </si>
  <si>
    <t>Personalkosten</t>
  </si>
  <si>
    <t>Transportkosten</t>
  </si>
  <si>
    <t>Versicherung</t>
  </si>
  <si>
    <t>Stk.</t>
  </si>
  <si>
    <t>Gewinn</t>
  </si>
  <si>
    <t xml:space="preserve"> Erlöse </t>
  </si>
  <si>
    <t>Modul</t>
  </si>
  <si>
    <t>Kredit</t>
  </si>
  <si>
    <t>Provision</t>
  </si>
  <si>
    <t>Jahresbetrag</t>
  </si>
  <si>
    <t>Service</t>
  </si>
  <si>
    <t>2. Jahr</t>
  </si>
  <si>
    <t>1. Jahr</t>
  </si>
  <si>
    <t>3. Jahr</t>
  </si>
  <si>
    <t>4. Jahr</t>
  </si>
  <si>
    <t>5. Jahr</t>
  </si>
  <si>
    <t>6. Jahr</t>
  </si>
  <si>
    <t>7. Jahr</t>
  </si>
  <si>
    <t>8. Jahr</t>
  </si>
  <si>
    <t>9. Jahr</t>
  </si>
  <si>
    <t>10. Jahr</t>
  </si>
  <si>
    <t>Erlöse</t>
  </si>
  <si>
    <t>Verleih</t>
  </si>
  <si>
    <t>Stückzahl</t>
  </si>
  <si>
    <t>Kosten Händler</t>
  </si>
  <si>
    <t>Gesamt</t>
  </si>
  <si>
    <t>gesamt</t>
  </si>
  <si>
    <t>gesamt /Materialien</t>
  </si>
  <si>
    <t>Tilgung</t>
  </si>
  <si>
    <t>Zinsen/Kredit</t>
  </si>
  <si>
    <t>Gewinn/Verlust</t>
  </si>
  <si>
    <t>Bank Bestand</t>
  </si>
  <si>
    <t>Kosten</t>
  </si>
  <si>
    <t>Jahr</t>
  </si>
  <si>
    <t>Händler</t>
  </si>
  <si>
    <t>Lizenzen</t>
  </si>
  <si>
    <t>Material (Holz, etc.)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</si>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</sst>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4" xfId="0" applyFont="1" applyBorder="1" applyAlignment="1">
      <alignment horizontal="center"/>
    </xf>
    <xf numFmtId="44" fontId="0" fillId="0" borderId="0" xfId="1" applyFont="1"/>
    <xf numFmtId="0" fontId="0" fillId="0" borderId="5" xfId="0" applyBorder="1"/>
    <xf numFmtId="0" fontId="0" fillId="0" borderId="0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164" fontId="0" fillId="0" borderId="9" xfId="0" applyNumberFormat="1" applyBorder="1"/>
    <xf numFmtId="0" fontId="0" fillId="0" borderId="5" xfId="0" applyFill="1" applyBorder="1" applyAlignment="1">
      <alignment horizontal="left"/>
    </xf>
    <xf numFmtId="164" fontId="0" fillId="0" borderId="11" xfId="0" applyNumberFormat="1" applyBorder="1"/>
    <xf numFmtId="0" fontId="0" fillId="0" borderId="5" xfId="0" applyBorder="1" applyAlignment="1">
      <alignment horizontal="left"/>
    </xf>
    <xf numFmtId="0" fontId="0" fillId="0" borderId="1" xfId="0" applyBorder="1"/>
    <xf numFmtId="0" fontId="0" fillId="0" borderId="3" xfId="0" applyBorder="1"/>
    <xf numFmtId="164" fontId="0" fillId="0" borderId="2" xfId="0" applyNumberFormat="1" applyBorder="1"/>
    <xf numFmtId="0" fontId="0" fillId="0" borderId="3" xfId="0" applyBorder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164" fontId="0" fillId="0" borderId="7" xfId="0" applyNumberFormat="1" applyBorder="1"/>
    <xf numFmtId="0" fontId="0" fillId="0" borderId="15" xfId="0" applyBorder="1"/>
    <xf numFmtId="0" fontId="0" fillId="0" borderId="2" xfId="0" applyBorder="1"/>
    <xf numFmtId="0" fontId="0" fillId="0" borderId="0" xfId="0" applyBorder="1"/>
    <xf numFmtId="44" fontId="0" fillId="0" borderId="11" xfId="0" applyNumberFormat="1" applyBorder="1"/>
    <xf numFmtId="0" fontId="0" fillId="0" borderId="11" xfId="0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2" fillId="0" borderId="6" xfId="0" applyFont="1" applyBorder="1"/>
    <xf numFmtId="0" fontId="2" fillId="0" borderId="11" xfId="0" applyFont="1" applyBorder="1"/>
    <xf numFmtId="44" fontId="2" fillId="0" borderId="11" xfId="0" applyNumberFormat="1" applyFont="1" applyBorder="1"/>
    <xf numFmtId="164" fontId="2" fillId="0" borderId="16" xfId="0" applyNumberFormat="1" applyFont="1" applyBorder="1"/>
    <xf numFmtId="164" fontId="2" fillId="0" borderId="11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/>
    </xf>
    <xf numFmtId="164" fontId="0" fillId="0" borderId="19" xfId="0" applyNumberFormat="1" applyBorder="1"/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17" xfId="0" applyFill="1" applyBorder="1" applyAlignment="1">
      <alignment horizontal="left"/>
    </xf>
    <xf numFmtId="0" fontId="0" fillId="0" borderId="21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0" xfId="1" applyFont="1" applyBorder="1"/>
    <xf numFmtId="44" fontId="0" fillId="0" borderId="1" xfId="1" applyFont="1" applyBorder="1"/>
    <xf numFmtId="164" fontId="0" fillId="0" borderId="16" xfId="0" applyNumberFormat="1" applyFont="1" applyBorder="1"/>
    <xf numFmtId="44" fontId="0" fillId="0" borderId="7" xfId="0" applyNumberFormat="1" applyBorder="1"/>
    <xf numFmtId="164" fontId="0" fillId="0" borderId="14" xfId="0" applyNumberFormat="1" applyBorder="1"/>
    <xf numFmtId="44" fontId="2" fillId="0" borderId="14" xfId="0" applyNumberFormat="1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164" fontId="0" fillId="0" borderId="25" xfId="0" applyNumberFormat="1" applyBorder="1"/>
    <xf numFmtId="0" fontId="0" fillId="0" borderId="27" xfId="0" applyBorder="1"/>
    <xf numFmtId="0" fontId="2" fillId="0" borderId="4" xfId="0" applyFont="1" applyBorder="1" applyAlignment="1">
      <alignment horizontal="center"/>
    </xf>
    <xf numFmtId="164" fontId="0" fillId="0" borderId="24" xfId="0" applyNumberFormat="1" applyFont="1" applyBorder="1"/>
    <xf numFmtId="0" fontId="4" fillId="0" borderId="2" xfId="0" applyFont="1" applyBorder="1"/>
    <xf numFmtId="164" fontId="0" fillId="0" borderId="0" xfId="0" applyNumberFormat="1"/>
    <xf numFmtId="0" fontId="0" fillId="0" borderId="10" xfId="0" applyBorder="1"/>
    <xf numFmtId="164" fontId="0" fillId="0" borderId="12" xfId="0" applyNumberFormat="1" applyBorder="1"/>
    <xf numFmtId="0" fontId="0" fillId="0" borderId="17" xfId="0" applyBorder="1"/>
    <xf numFmtId="0" fontId="0" fillId="0" borderId="28" xfId="0" applyBorder="1"/>
    <xf numFmtId="44" fontId="0" fillId="0" borderId="6" xfId="1" applyFont="1" applyBorder="1"/>
    <xf numFmtId="44" fontId="0" fillId="0" borderId="19" xfId="1" applyFont="1" applyBorder="1"/>
    <xf numFmtId="44" fontId="0" fillId="0" borderId="2" xfId="1" applyFont="1" applyBorder="1"/>
    <xf numFmtId="44" fontId="0" fillId="0" borderId="8" xfId="1" applyFont="1" applyBorder="1"/>
    <xf numFmtId="0" fontId="0" fillId="0" borderId="10" xfId="0" applyFill="1" applyBorder="1" applyAlignment="1">
      <alignment horizontal="left"/>
    </xf>
    <xf numFmtId="0" fontId="0" fillId="0" borderId="8" xfId="0" applyBorder="1" applyAlignment="1">
      <alignment horizontal="center"/>
    </xf>
    <xf numFmtId="164" fontId="0" fillId="0" borderId="8" xfId="0" applyNumberFormat="1" applyBorder="1"/>
    <xf numFmtId="164" fontId="0" fillId="0" borderId="18" xfId="0" applyNumberFormat="1" applyBorder="1"/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2" fillId="0" borderId="6" xfId="0" applyNumberFormat="1" applyFont="1" applyBorder="1"/>
    <xf numFmtId="164" fontId="0" fillId="0" borderId="11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90" zoomScaleNormal="90" workbookViewId="0">
      <pane ySplit="1" topLeftCell="A38" activePane="bottomLeft" state="frozen"/>
      <selection pane="bottomLeft" activeCell="I27" sqref="I27"/>
    </sheetView>
  </sheetViews>
  <sheetFormatPr baseColWidth="10" defaultRowHeight="14.4" x14ac:dyDescent="0.55000000000000004"/>
  <cols>
    <col min="1" max="1" width="12.26171875" bestFit="1" customWidth="1"/>
    <col min="2" max="2" width="17.68359375" customWidth="1"/>
    <col min="3" max="3" width="14.68359375" customWidth="1"/>
    <col min="4" max="4" width="15.83984375" bestFit="1" customWidth="1"/>
    <col min="5" max="5" width="16.41796875" customWidth="1"/>
    <col min="6" max="6" width="19.15625" bestFit="1" customWidth="1"/>
    <col min="7" max="7" width="17.578125" customWidth="1"/>
    <col min="8" max="8" width="15.26171875" bestFit="1" customWidth="1"/>
    <col min="11" max="11" width="13.83984375" bestFit="1" customWidth="1"/>
    <col min="12" max="12" width="18.578125" customWidth="1"/>
    <col min="13" max="13" width="17" customWidth="1"/>
  </cols>
  <sheetData>
    <row r="1" spans="1:12" ht="15.9" thickBot="1" x14ac:dyDescent="0.65">
      <c r="A1" s="60"/>
      <c r="B1" s="80" t="s">
        <v>0</v>
      </c>
      <c r="C1" s="81"/>
      <c r="D1" s="80" t="s">
        <v>1</v>
      </c>
      <c r="E1" s="81"/>
      <c r="F1" s="80" t="s">
        <v>2</v>
      </c>
      <c r="G1" s="81"/>
      <c r="H1" s="1" t="s">
        <v>3</v>
      </c>
      <c r="I1" s="20" t="s">
        <v>17</v>
      </c>
      <c r="J1" s="80" t="s">
        <v>19</v>
      </c>
      <c r="K1" s="81"/>
      <c r="L1" s="20" t="s">
        <v>44</v>
      </c>
    </row>
    <row r="2" spans="1:12" ht="15" x14ac:dyDescent="0.25">
      <c r="A2" s="6"/>
      <c r="B2" t="s">
        <v>4</v>
      </c>
      <c r="C2" s="2">
        <f>-8000</f>
        <v>-8000</v>
      </c>
      <c r="D2" s="13" t="s">
        <v>51</v>
      </c>
      <c r="E2" s="5">
        <v>-3000</v>
      </c>
      <c r="F2" s="4" t="s">
        <v>5</v>
      </c>
      <c r="G2" s="5">
        <f>150*I9</f>
        <v>3000</v>
      </c>
      <c r="H2" s="5"/>
      <c r="I2" s="6"/>
      <c r="J2" s="26"/>
      <c r="K2" s="65"/>
      <c r="L2" s="22"/>
    </row>
    <row r="3" spans="1:12" x14ac:dyDescent="0.55000000000000004">
      <c r="A3" s="6"/>
      <c r="B3" t="s">
        <v>6</v>
      </c>
      <c r="C3" s="2">
        <v>-6000</v>
      </c>
      <c r="D3" s="13" t="s">
        <v>11</v>
      </c>
      <c r="E3" s="5">
        <f>(10*60+100)*-1*12</f>
        <v>-8400</v>
      </c>
      <c r="F3" s="4" t="s">
        <v>7</v>
      </c>
      <c r="G3" s="5">
        <f>50*I9</f>
        <v>1000</v>
      </c>
      <c r="H3" s="7"/>
      <c r="I3" s="6"/>
      <c r="J3" s="26"/>
      <c r="K3" s="6"/>
      <c r="L3" s="23"/>
    </row>
    <row r="4" spans="1:12" x14ac:dyDescent="0.55000000000000004">
      <c r="A4" s="6"/>
      <c r="B4" t="s">
        <v>49</v>
      </c>
      <c r="C4" s="2">
        <f>-200*12</f>
        <v>-2400</v>
      </c>
      <c r="D4" s="13" t="s">
        <v>12</v>
      </c>
      <c r="E4" s="5">
        <f>-100*12</f>
        <v>-1200</v>
      </c>
      <c r="F4" s="4" t="s">
        <v>8</v>
      </c>
      <c r="G4" s="5">
        <f>30</f>
        <v>30</v>
      </c>
      <c r="H4" s="7"/>
      <c r="I4" s="7"/>
      <c r="J4" s="3"/>
      <c r="K4" s="6"/>
      <c r="L4" s="7"/>
    </row>
    <row r="5" spans="1:12" x14ac:dyDescent="0.55000000000000004">
      <c r="A5" s="6"/>
      <c r="D5" s="13" t="s">
        <v>14</v>
      </c>
      <c r="E5" s="5">
        <f>1500*4*-1*12</f>
        <v>-72000</v>
      </c>
      <c r="F5" s="4" t="s">
        <v>9</v>
      </c>
      <c r="G5" s="5">
        <f>5*I9</f>
        <v>100</v>
      </c>
      <c r="H5" s="5"/>
      <c r="I5" s="7"/>
      <c r="J5" s="3"/>
      <c r="K5" s="6"/>
      <c r="L5" s="7"/>
    </row>
    <row r="6" spans="1:12" ht="15" x14ac:dyDescent="0.25">
      <c r="A6" s="6"/>
      <c r="D6" s="13" t="s">
        <v>16</v>
      </c>
      <c r="E6" s="5">
        <f>(40*4+400+20*12*4 +400+600 )*(-1)</f>
        <v>-2520</v>
      </c>
      <c r="F6" s="4" t="s">
        <v>10</v>
      </c>
      <c r="G6" s="5">
        <f>15*I9</f>
        <v>300</v>
      </c>
      <c r="H6" s="5"/>
      <c r="I6" s="7"/>
      <c r="J6" s="3"/>
      <c r="K6" s="6"/>
      <c r="L6" s="7"/>
    </row>
    <row r="7" spans="1:12" ht="15" x14ac:dyDescent="0.25">
      <c r="A7" s="6"/>
      <c r="D7" s="13"/>
      <c r="E7" s="5"/>
      <c r="F7" s="4" t="s">
        <v>50</v>
      </c>
      <c r="G7" s="5">
        <f>20*I9</f>
        <v>400</v>
      </c>
      <c r="H7" s="5"/>
      <c r="I7" s="7"/>
      <c r="J7" s="3"/>
      <c r="K7" s="6"/>
      <c r="L7" s="7"/>
    </row>
    <row r="8" spans="1:12" ht="15" x14ac:dyDescent="0.25">
      <c r="A8" s="9"/>
      <c r="B8" s="8"/>
      <c r="C8" s="9"/>
      <c r="D8" s="10"/>
      <c r="E8" s="9"/>
      <c r="F8" s="11"/>
      <c r="G8" s="12"/>
      <c r="H8" s="12"/>
      <c r="I8" s="21"/>
      <c r="J8" s="62"/>
      <c r="K8" s="9"/>
      <c r="L8" s="21"/>
    </row>
    <row r="9" spans="1:12" ht="15" x14ac:dyDescent="0.25">
      <c r="A9" s="6"/>
      <c r="B9" t="s">
        <v>40</v>
      </c>
      <c r="C9" s="27">
        <f>SUM(C2:C4)</f>
        <v>-16400</v>
      </c>
      <c r="D9" s="13" t="s">
        <v>40</v>
      </c>
      <c r="E9" s="14">
        <f>SUM(E2:E7)</f>
        <v>-87120</v>
      </c>
      <c r="F9" s="4" t="s">
        <v>41</v>
      </c>
      <c r="G9" s="14">
        <f>SUM(G2:G8)*-1</f>
        <v>-4830</v>
      </c>
      <c r="H9" s="5"/>
      <c r="I9" s="45">
        <v>20</v>
      </c>
      <c r="J9" s="3" t="s">
        <v>20</v>
      </c>
      <c r="K9" s="66">
        <f>500*I9</f>
        <v>10000</v>
      </c>
      <c r="L9" s="7"/>
    </row>
    <row r="10" spans="1:12" ht="15" x14ac:dyDescent="0.25">
      <c r="A10" s="6"/>
      <c r="C10" s="6"/>
      <c r="D10" s="15" t="s">
        <v>43</v>
      </c>
      <c r="E10" s="5">
        <f>-H18/100</f>
        <v>-1200</v>
      </c>
      <c r="F10" s="3" t="s">
        <v>13</v>
      </c>
      <c r="G10" s="5">
        <f>50*I9*-1</f>
        <v>-1000</v>
      </c>
      <c r="H10" s="23"/>
      <c r="I10" s="45">
        <f>20*I11*100</f>
        <v>20000</v>
      </c>
      <c r="J10" s="3" t="s">
        <v>22</v>
      </c>
      <c r="K10" s="66">
        <f>I10*15/100*20</f>
        <v>60000</v>
      </c>
      <c r="L10" s="7"/>
    </row>
    <row r="11" spans="1:12" x14ac:dyDescent="0.55000000000000004">
      <c r="A11" s="6"/>
      <c r="C11" s="6"/>
      <c r="D11" s="13" t="s">
        <v>42</v>
      </c>
      <c r="E11" s="61">
        <f>-H18/10</f>
        <v>-12000</v>
      </c>
      <c r="F11" s="15" t="s">
        <v>15</v>
      </c>
      <c r="G11" s="5">
        <f>20*2*-1</f>
        <v>-40</v>
      </c>
      <c r="H11" s="23"/>
      <c r="I11" s="45">
        <v>10</v>
      </c>
      <c r="J11" s="3" t="s">
        <v>48</v>
      </c>
      <c r="K11" s="66"/>
      <c r="L11" s="7"/>
    </row>
    <row r="12" spans="1:12" ht="15" x14ac:dyDescent="0.25">
      <c r="A12" s="6"/>
      <c r="C12" s="6"/>
      <c r="F12" s="3"/>
      <c r="H12" s="23"/>
      <c r="I12" s="7"/>
      <c r="J12" s="3"/>
      <c r="K12" s="66"/>
      <c r="L12" s="7"/>
    </row>
    <row r="13" spans="1:12" ht="15" x14ac:dyDescent="0.25">
      <c r="A13" s="9"/>
      <c r="C13" s="6"/>
      <c r="F13" s="62"/>
      <c r="H13" s="63"/>
      <c r="I13" s="7"/>
      <c r="J13" s="3"/>
      <c r="K13" s="66"/>
      <c r="L13" s="7"/>
    </row>
    <row r="14" spans="1:12" ht="15" x14ac:dyDescent="0.25">
      <c r="A14" s="33" t="s">
        <v>23</v>
      </c>
      <c r="B14" s="29"/>
      <c r="C14" s="34">
        <f>C9</f>
        <v>-16400</v>
      </c>
      <c r="D14" s="29"/>
      <c r="E14" s="35">
        <f>SUM(E9:E11)</f>
        <v>-100320</v>
      </c>
      <c r="F14" s="30"/>
      <c r="G14" s="36">
        <f>SUM(G9:G11)</f>
        <v>-5870</v>
      </c>
      <c r="H14" s="36">
        <f>G14+E14+C14</f>
        <v>-122590</v>
      </c>
      <c r="I14" s="31"/>
      <c r="J14" s="64"/>
      <c r="K14" s="34"/>
      <c r="L14" s="31"/>
    </row>
    <row r="15" spans="1:12" ht="15" x14ac:dyDescent="0.25">
      <c r="A15" s="28"/>
      <c r="B15" s="29"/>
      <c r="C15" s="29"/>
      <c r="D15" s="43"/>
      <c r="E15" s="14"/>
      <c r="F15" s="30"/>
      <c r="G15" s="14"/>
      <c r="H15" s="36"/>
      <c r="I15" s="31"/>
      <c r="J15" s="64"/>
      <c r="K15" s="28"/>
      <c r="L15" s="31"/>
    </row>
    <row r="16" spans="1:12" ht="15.75" thickBot="1" x14ac:dyDescent="0.3">
      <c r="A16" s="37"/>
      <c r="B16" s="44"/>
      <c r="C16" s="38"/>
      <c r="D16" s="39"/>
      <c r="E16" s="40"/>
      <c r="F16" s="41"/>
      <c r="G16" s="40"/>
      <c r="H16" s="40"/>
      <c r="I16" s="42"/>
      <c r="J16" s="44"/>
      <c r="K16" s="67"/>
      <c r="L16" s="42"/>
    </row>
    <row r="17" spans="1:12" ht="15.75" thickTop="1" x14ac:dyDescent="0.25">
      <c r="A17" s="32" t="s">
        <v>26</v>
      </c>
      <c r="B17" s="26"/>
      <c r="C17" s="47">
        <f>C14</f>
        <v>-16400</v>
      </c>
      <c r="D17" s="13"/>
      <c r="E17" s="49">
        <f>E14</f>
        <v>-100320</v>
      </c>
      <c r="F17" s="15"/>
      <c r="G17" s="5">
        <f>I17*G14/I9</f>
        <v>-5870</v>
      </c>
      <c r="H17" s="5">
        <f>G17+E17+C17</f>
        <v>-122590</v>
      </c>
      <c r="I17" s="45">
        <v>20</v>
      </c>
      <c r="J17" s="3" t="s">
        <v>20</v>
      </c>
      <c r="K17" s="66">
        <f>I17*K9/I9</f>
        <v>10000</v>
      </c>
      <c r="L17" s="53"/>
    </row>
    <row r="18" spans="1:12" ht="15" x14ac:dyDescent="0.25">
      <c r="A18" s="9" t="s">
        <v>21</v>
      </c>
      <c r="B18" s="62"/>
      <c r="C18" s="69"/>
      <c r="D18" s="70"/>
      <c r="E18" s="12"/>
      <c r="F18" s="10"/>
      <c r="G18" s="12"/>
      <c r="H18" s="5">
        <v>120000</v>
      </c>
      <c r="I18" s="45">
        <f>20*I17/2*100</f>
        <v>20000</v>
      </c>
      <c r="J18" s="3" t="s">
        <v>22</v>
      </c>
      <c r="K18" s="66">
        <f>I18*15/100*20</f>
        <v>60000</v>
      </c>
      <c r="L18" s="7"/>
    </row>
    <row r="19" spans="1:12" ht="15.75" thickBot="1" x14ac:dyDescent="0.3">
      <c r="A19" s="25" t="s">
        <v>45</v>
      </c>
      <c r="B19" s="16"/>
      <c r="C19" s="48"/>
      <c r="D19" s="17"/>
      <c r="E19" s="18"/>
      <c r="F19" s="19"/>
      <c r="G19" s="18"/>
      <c r="H19" s="51">
        <f>H18+H17</f>
        <v>-2590</v>
      </c>
      <c r="I19" s="46"/>
      <c r="J19" s="17"/>
      <c r="K19" s="68">
        <f>K18+K17</f>
        <v>70000</v>
      </c>
      <c r="L19" s="52">
        <f>H19+K19</f>
        <v>67410</v>
      </c>
    </row>
    <row r="20" spans="1:12" ht="15" x14ac:dyDescent="0.25">
      <c r="A20" s="32" t="s">
        <v>25</v>
      </c>
      <c r="B20" s="26"/>
      <c r="C20" s="47"/>
      <c r="D20" s="13"/>
      <c r="E20" s="5">
        <f>E14</f>
        <v>-100320</v>
      </c>
      <c r="F20" s="15"/>
      <c r="G20" s="5">
        <f>I20*G14/I9</f>
        <v>-8805</v>
      </c>
      <c r="H20" s="5">
        <f>G20+E20</f>
        <v>-109125</v>
      </c>
      <c r="I20" s="45">
        <v>30</v>
      </c>
      <c r="J20" s="3" t="s">
        <v>20</v>
      </c>
      <c r="K20" s="66">
        <f>I20*K9/I9</f>
        <v>15000</v>
      </c>
      <c r="L20" s="50"/>
    </row>
    <row r="21" spans="1:12" ht="15" x14ac:dyDescent="0.25">
      <c r="A21" s="9"/>
      <c r="B21" s="62"/>
      <c r="C21" s="69"/>
      <c r="D21" s="70"/>
      <c r="E21" s="12"/>
      <c r="F21" s="10"/>
      <c r="G21" s="12"/>
      <c r="H21" s="5"/>
      <c r="I21" s="45">
        <f>20*I20/2*100+20*I17/2*100</f>
        <v>50000</v>
      </c>
      <c r="J21" s="3" t="s">
        <v>22</v>
      </c>
      <c r="K21" s="66">
        <f>I21*15/100*20</f>
        <v>150000</v>
      </c>
      <c r="L21" s="23"/>
    </row>
    <row r="22" spans="1:12" ht="14.7" thickBot="1" x14ac:dyDescent="0.6">
      <c r="A22" s="25" t="s">
        <v>45</v>
      </c>
      <c r="B22" s="16"/>
      <c r="C22" s="48"/>
      <c r="D22" s="17"/>
      <c r="E22" s="18"/>
      <c r="F22" s="19"/>
      <c r="G22" s="18"/>
      <c r="H22" s="51"/>
      <c r="I22" s="46"/>
      <c r="J22" s="17"/>
      <c r="K22" s="68"/>
      <c r="L22" s="52">
        <f>K21+K20+H20</f>
        <v>55875</v>
      </c>
    </row>
    <row r="23" spans="1:12" ht="14.7" thickTop="1" x14ac:dyDescent="0.55000000000000004">
      <c r="A23" s="32" t="s">
        <v>27</v>
      </c>
      <c r="B23" s="26"/>
      <c r="C23" s="47"/>
      <c r="D23" s="13"/>
      <c r="E23" s="5">
        <f>E14</f>
        <v>-100320</v>
      </c>
      <c r="F23" s="15"/>
      <c r="G23" s="5">
        <f>I23*G14/I9</f>
        <v>-5870</v>
      </c>
      <c r="H23" s="5">
        <f>G23+E23</f>
        <v>-106190</v>
      </c>
      <c r="I23" s="45">
        <v>20</v>
      </c>
      <c r="J23" s="3" t="s">
        <v>20</v>
      </c>
      <c r="K23" s="66">
        <f>I23*K9/I9</f>
        <v>10000</v>
      </c>
      <c r="L23" s="53"/>
    </row>
    <row r="24" spans="1:12" x14ac:dyDescent="0.55000000000000004">
      <c r="A24" s="9"/>
      <c r="B24" s="8"/>
      <c r="C24" s="69"/>
      <c r="D24" s="70"/>
      <c r="E24" s="12"/>
      <c r="F24" s="10"/>
      <c r="G24" s="12"/>
      <c r="H24" s="5"/>
      <c r="I24" s="45">
        <f>20*I20/2*100+20*I17/2*100+20*I23/2*100</f>
        <v>70000</v>
      </c>
      <c r="J24" s="3" t="s">
        <v>22</v>
      </c>
      <c r="K24" s="66">
        <f>I24*15/100*20</f>
        <v>210000</v>
      </c>
      <c r="L24" s="7"/>
    </row>
    <row r="25" spans="1:12" ht="14.7" thickBot="1" x14ac:dyDescent="0.6">
      <c r="A25" s="25" t="s">
        <v>45</v>
      </c>
      <c r="B25" s="16"/>
      <c r="C25" s="48"/>
      <c r="D25" s="17"/>
      <c r="E25" s="18"/>
      <c r="F25" s="19"/>
      <c r="G25" s="18"/>
      <c r="H25" s="51"/>
      <c r="I25" s="46"/>
      <c r="J25" s="17"/>
      <c r="K25" s="68"/>
      <c r="L25" s="52">
        <f>K24+K23+H23</f>
        <v>113810</v>
      </c>
    </row>
    <row r="26" spans="1:12" x14ac:dyDescent="0.55000000000000004">
      <c r="A26" s="32" t="s">
        <v>28</v>
      </c>
      <c r="B26" s="26"/>
      <c r="C26" s="47"/>
      <c r="D26" s="13"/>
      <c r="E26" s="5">
        <f>E14</f>
        <v>-100320</v>
      </c>
      <c r="F26" s="15"/>
      <c r="G26" s="5">
        <f>I26*G14/I9</f>
        <v>-11740</v>
      </c>
      <c r="H26" s="5">
        <f t="shared" ref="H26" si="0">G26+E26</f>
        <v>-112060</v>
      </c>
      <c r="I26" s="45">
        <v>40</v>
      </c>
      <c r="J26" s="3" t="s">
        <v>20</v>
      </c>
      <c r="K26" s="66">
        <f>I26*K9/I9</f>
        <v>20000</v>
      </c>
      <c r="L26" s="50"/>
    </row>
    <row r="27" spans="1:12" x14ac:dyDescent="0.55000000000000004">
      <c r="A27" s="9"/>
      <c r="B27" s="62"/>
      <c r="C27" s="69"/>
      <c r="D27" s="70"/>
      <c r="E27" s="12"/>
      <c r="F27" s="10"/>
      <c r="G27" s="12"/>
      <c r="H27" s="5"/>
      <c r="I27" s="45">
        <f>20*I20/2*100+20*I17/2*100+20*I23/2*100+20*I26/2*100</f>
        <v>110000</v>
      </c>
      <c r="J27" s="3" t="s">
        <v>22</v>
      </c>
      <c r="K27" s="66">
        <f>I27*15/100*20</f>
        <v>330000</v>
      </c>
      <c r="L27" s="23"/>
    </row>
    <row r="28" spans="1:12" ht="14.7" thickBot="1" x14ac:dyDescent="0.6">
      <c r="A28" s="25" t="s">
        <v>45</v>
      </c>
      <c r="B28" s="16"/>
      <c r="C28" s="48"/>
      <c r="D28" s="17"/>
      <c r="E28" s="18"/>
      <c r="F28" s="19"/>
      <c r="G28" s="18"/>
      <c r="H28" s="51"/>
      <c r="I28" s="46"/>
      <c r="J28" s="17"/>
      <c r="K28" s="68"/>
      <c r="L28" s="52">
        <f>K26+K27+H26</f>
        <v>237940</v>
      </c>
    </row>
    <row r="29" spans="1:12" ht="14.7" thickTop="1" x14ac:dyDescent="0.55000000000000004">
      <c r="A29" s="32" t="s">
        <v>29</v>
      </c>
      <c r="B29" s="26"/>
      <c r="C29" s="47"/>
      <c r="D29" s="13"/>
      <c r="E29" s="5">
        <f>E14</f>
        <v>-100320</v>
      </c>
      <c r="F29" s="15"/>
      <c r="G29" s="5">
        <f>I29*G14/I9</f>
        <v>-5870</v>
      </c>
      <c r="H29" s="5">
        <f t="shared" ref="H29" si="1">G29+E29</f>
        <v>-106190</v>
      </c>
      <c r="I29" s="45">
        <v>20</v>
      </c>
      <c r="J29" s="3" t="s">
        <v>20</v>
      </c>
      <c r="K29" s="66">
        <f>I29*K9/I9</f>
        <v>10000</v>
      </c>
      <c r="L29" s="53"/>
    </row>
    <row r="30" spans="1:12" x14ac:dyDescent="0.55000000000000004">
      <c r="A30" s="9"/>
      <c r="B30" s="8"/>
      <c r="C30" s="69"/>
      <c r="D30" s="70"/>
      <c r="E30" s="12"/>
      <c r="F30" s="10"/>
      <c r="G30" s="12"/>
      <c r="H30" s="5"/>
      <c r="I30" s="45">
        <f>20*I20/2*100+20*I17/2*100+20*I23/2*100+20*I26/2*100+20*I29/2*100</f>
        <v>130000</v>
      </c>
      <c r="J30" s="3" t="s">
        <v>22</v>
      </c>
      <c r="K30" s="66">
        <f>I30*15/100*20</f>
        <v>390000</v>
      </c>
      <c r="L30" s="7"/>
    </row>
    <row r="31" spans="1:12" ht="14.7" thickBot="1" x14ac:dyDescent="0.6">
      <c r="A31" s="25" t="s">
        <v>45</v>
      </c>
      <c r="B31" s="16"/>
      <c r="C31" s="48"/>
      <c r="D31" s="17"/>
      <c r="E31" s="18"/>
      <c r="F31" s="19"/>
      <c r="G31" s="18"/>
      <c r="H31" s="51"/>
      <c r="I31" s="46"/>
      <c r="J31" s="17"/>
      <c r="K31" s="68"/>
      <c r="L31" s="52">
        <f>K29+K30+H29</f>
        <v>293810</v>
      </c>
    </row>
    <row r="32" spans="1:12" x14ac:dyDescent="0.55000000000000004">
      <c r="A32" s="32" t="s">
        <v>30</v>
      </c>
      <c r="B32" s="26"/>
      <c r="C32" s="47"/>
      <c r="D32" s="13"/>
      <c r="E32" s="5">
        <f>E14</f>
        <v>-100320</v>
      </c>
      <c r="F32" s="15"/>
      <c r="G32" s="5">
        <f>I32*G14/I9</f>
        <v>-8805</v>
      </c>
      <c r="H32" s="5">
        <f t="shared" ref="H32" si="2">G32+E32</f>
        <v>-109125</v>
      </c>
      <c r="I32" s="45">
        <v>30</v>
      </c>
      <c r="J32" s="3" t="s">
        <v>20</v>
      </c>
      <c r="K32" s="66">
        <f>I32*K9/I9</f>
        <v>15000</v>
      </c>
      <c r="L32" s="50"/>
    </row>
    <row r="33" spans="1:12" x14ac:dyDescent="0.55000000000000004">
      <c r="A33" s="9"/>
      <c r="B33" s="62"/>
      <c r="C33" s="69"/>
      <c r="D33" s="70"/>
      <c r="E33" s="12"/>
      <c r="F33" s="10"/>
      <c r="G33" s="12"/>
      <c r="H33" s="5"/>
      <c r="I33" s="45">
        <f>20*I20/2*100+20*I17/2*100+20*I23/2*100+20*I26/2*100+20*I29/2*100+20*I32/2*100</f>
        <v>160000</v>
      </c>
      <c r="J33" s="3" t="s">
        <v>22</v>
      </c>
      <c r="K33" s="66">
        <f>I33*15/100*20</f>
        <v>480000</v>
      </c>
      <c r="L33" s="23"/>
    </row>
    <row r="34" spans="1:12" ht="14.7" thickBot="1" x14ac:dyDescent="0.6">
      <c r="A34" s="25" t="s">
        <v>45</v>
      </c>
      <c r="B34" s="16"/>
      <c r="C34" s="48"/>
      <c r="D34" s="17"/>
      <c r="E34" s="18"/>
      <c r="F34" s="19"/>
      <c r="G34" s="18"/>
      <c r="H34" s="51"/>
      <c r="I34" s="46"/>
      <c r="J34" s="17"/>
      <c r="K34" s="68"/>
      <c r="L34" s="52">
        <f>K32+K33+H32</f>
        <v>385875</v>
      </c>
    </row>
    <row r="35" spans="1:12" ht="14.7" thickTop="1" x14ac:dyDescent="0.55000000000000004">
      <c r="A35" s="32" t="s">
        <v>31</v>
      </c>
      <c r="B35" s="26"/>
      <c r="C35" s="47"/>
      <c r="D35" s="13"/>
      <c r="E35" s="5">
        <f>E14</f>
        <v>-100320</v>
      </c>
      <c r="F35" s="15"/>
      <c r="G35" s="5">
        <f>I35*G14/I9</f>
        <v>-8805</v>
      </c>
      <c r="H35" s="5">
        <f t="shared" ref="H35" si="3">G35+E35</f>
        <v>-109125</v>
      </c>
      <c r="I35" s="45">
        <v>30</v>
      </c>
      <c r="J35" s="3" t="s">
        <v>20</v>
      </c>
      <c r="K35" s="66">
        <f>I35*K9/I9</f>
        <v>15000</v>
      </c>
      <c r="L35" s="53"/>
    </row>
    <row r="36" spans="1:12" x14ac:dyDescent="0.55000000000000004">
      <c r="A36" s="9"/>
      <c r="B36" s="8"/>
      <c r="C36" s="69"/>
      <c r="D36" s="70"/>
      <c r="E36" s="12"/>
      <c r="F36" s="10"/>
      <c r="G36" s="12"/>
      <c r="H36" s="5"/>
      <c r="I36" s="45">
        <f>20*I20/2*100+20*I17/2*100+20*I23/2*100+20*I26/2*100+20*I29/2*100+20*I32/2*100+20*I35/2*100</f>
        <v>190000</v>
      </c>
      <c r="J36" s="3" t="s">
        <v>22</v>
      </c>
      <c r="K36" s="66">
        <f>I36*15/100*20</f>
        <v>570000</v>
      </c>
      <c r="L36" s="7"/>
    </row>
    <row r="37" spans="1:12" ht="14.7" thickBot="1" x14ac:dyDescent="0.6">
      <c r="A37" s="25" t="s">
        <v>45</v>
      </c>
      <c r="B37" s="16"/>
      <c r="C37" s="48"/>
      <c r="D37" s="17"/>
      <c r="E37" s="18"/>
      <c r="F37" s="19"/>
      <c r="G37" s="18"/>
      <c r="H37" s="51"/>
      <c r="I37" s="46"/>
      <c r="J37" s="17"/>
      <c r="K37" s="68"/>
      <c r="L37" s="52">
        <f>K36+K35+H35</f>
        <v>475875</v>
      </c>
    </row>
    <row r="38" spans="1:12" x14ac:dyDescent="0.55000000000000004">
      <c r="A38" s="32" t="s">
        <v>32</v>
      </c>
      <c r="B38" s="26"/>
      <c r="C38" s="47"/>
      <c r="D38" s="13"/>
      <c r="E38" s="5">
        <f>E14</f>
        <v>-100320</v>
      </c>
      <c r="F38" s="15"/>
      <c r="G38" s="5">
        <f>I38*G14/I9</f>
        <v>-14675</v>
      </c>
      <c r="H38" s="5">
        <f t="shared" ref="H38" si="4">G38+E38</f>
        <v>-114995</v>
      </c>
      <c r="I38" s="45">
        <v>50</v>
      </c>
      <c r="J38" s="3" t="s">
        <v>20</v>
      </c>
      <c r="K38" s="66">
        <f>I38*K9/I9</f>
        <v>25000</v>
      </c>
      <c r="L38" s="50"/>
    </row>
    <row r="39" spans="1:12" x14ac:dyDescent="0.55000000000000004">
      <c r="A39" s="9"/>
      <c r="B39" s="62"/>
      <c r="C39" s="69"/>
      <c r="D39" s="70"/>
      <c r="E39" s="12"/>
      <c r="F39" s="10"/>
      <c r="G39" s="12"/>
      <c r="H39" s="5"/>
      <c r="I39" s="45">
        <f>20*I20/2*100+20*I17/2*100+20*I23/2*100+20*I26/2*100+20*I29/2*100+20*I32/2*100+20*I35/2*100+20*I38/2*100</f>
        <v>240000</v>
      </c>
      <c r="J39" s="3" t="s">
        <v>22</v>
      </c>
      <c r="K39" s="66">
        <f>I39*15/100*20</f>
        <v>720000</v>
      </c>
      <c r="L39" s="23"/>
    </row>
    <row r="40" spans="1:12" ht="14.7" thickBot="1" x14ac:dyDescent="0.6">
      <c r="A40" s="25" t="s">
        <v>45</v>
      </c>
      <c r="B40" s="16"/>
      <c r="C40" s="48"/>
      <c r="D40" s="17"/>
      <c r="E40" s="18"/>
      <c r="F40" s="19"/>
      <c r="G40" s="18"/>
      <c r="H40" s="51"/>
      <c r="I40" s="46"/>
      <c r="J40" s="17"/>
      <c r="K40" s="68"/>
      <c r="L40" s="52">
        <f>K39+K38+H38</f>
        <v>630005</v>
      </c>
    </row>
    <row r="41" spans="1:12" ht="14.7" thickTop="1" x14ac:dyDescent="0.55000000000000004">
      <c r="A41" s="32" t="s">
        <v>33</v>
      </c>
      <c r="B41" s="26"/>
      <c r="C41" s="47"/>
      <c r="D41" s="13"/>
      <c r="E41" s="5">
        <f>E14</f>
        <v>-100320</v>
      </c>
      <c r="F41" s="15"/>
      <c r="G41" s="5">
        <f>I41*G14/I9</f>
        <v>-5870</v>
      </c>
      <c r="H41" s="5">
        <f t="shared" ref="H41" si="5">G41+E41</f>
        <v>-106190</v>
      </c>
      <c r="I41" s="45">
        <v>20</v>
      </c>
      <c r="J41" s="3" t="s">
        <v>20</v>
      </c>
      <c r="K41" s="66">
        <f>I41*K9/I9</f>
        <v>10000</v>
      </c>
      <c r="L41" s="53"/>
    </row>
    <row r="42" spans="1:12" x14ac:dyDescent="0.55000000000000004">
      <c r="A42" s="9"/>
      <c r="B42" s="8"/>
      <c r="C42" s="69"/>
      <c r="D42" s="70"/>
      <c r="E42" s="12"/>
      <c r="F42" s="10"/>
      <c r="G42" s="12"/>
      <c r="H42" s="5"/>
      <c r="I42" s="45">
        <f>20*I20/2*100+20*I17/2*100+20*I23/2*100+20*I26/2*100+20*I29/2*100+20*I32/2*100+20*I35/2*100+20*I38/2*100+20*I41/2*100</f>
        <v>260000</v>
      </c>
      <c r="J42" s="3" t="s">
        <v>22</v>
      </c>
      <c r="K42" s="66">
        <f>I42*15/100*20</f>
        <v>780000</v>
      </c>
      <c r="L42" s="7"/>
    </row>
    <row r="43" spans="1:12" ht="14.7" thickBot="1" x14ac:dyDescent="0.6">
      <c r="A43" s="25" t="s">
        <v>45</v>
      </c>
      <c r="B43" s="16"/>
      <c r="C43" s="48"/>
      <c r="D43" s="17"/>
      <c r="E43" s="18"/>
      <c r="F43" s="19"/>
      <c r="G43" s="18"/>
      <c r="H43" s="51"/>
      <c r="I43" s="46"/>
      <c r="J43" s="17"/>
      <c r="K43" s="68"/>
      <c r="L43" s="52">
        <f>K42+K41+H41</f>
        <v>683810</v>
      </c>
    </row>
    <row r="44" spans="1:12" x14ac:dyDescent="0.55000000000000004">
      <c r="A44" s="32" t="s">
        <v>34</v>
      </c>
      <c r="B44" s="26"/>
      <c r="C44" s="47"/>
      <c r="D44" s="13"/>
      <c r="E44" s="5">
        <f>E14</f>
        <v>-100320</v>
      </c>
      <c r="F44" s="15"/>
      <c r="G44" s="5">
        <f>I44*G14/I9</f>
        <v>-8805</v>
      </c>
      <c r="H44" s="5">
        <f>G44+E44</f>
        <v>-109125</v>
      </c>
      <c r="I44" s="45">
        <v>30</v>
      </c>
      <c r="J44" s="3" t="s">
        <v>20</v>
      </c>
      <c r="K44" s="66">
        <f>I44*K9/I9</f>
        <v>15000</v>
      </c>
      <c r="L44" s="50"/>
    </row>
    <row r="45" spans="1:12" x14ac:dyDescent="0.55000000000000004">
      <c r="A45" s="9"/>
      <c r="B45" s="62"/>
      <c r="C45" s="69"/>
      <c r="D45" s="70"/>
      <c r="E45" s="12"/>
      <c r="F45" s="10"/>
      <c r="G45" s="12"/>
      <c r="H45" s="5"/>
      <c r="I45" s="45">
        <f>20*I20/2*100+20*I17/2*100+20*I23/2*100+20*I26/2*100+20*I29/2*100+20*I32/2*100+20*I35/2*100+20*I38/2*100+20*I41/2*100+20*I44/2*100</f>
        <v>290000</v>
      </c>
      <c r="J45" s="3" t="s">
        <v>22</v>
      </c>
      <c r="K45" s="66">
        <f>I45*15/100*20</f>
        <v>870000</v>
      </c>
      <c r="L45" s="23"/>
    </row>
    <row r="46" spans="1:12" ht="14.7" thickBot="1" x14ac:dyDescent="0.6">
      <c r="A46" s="25" t="s">
        <v>45</v>
      </c>
      <c r="B46" s="16"/>
      <c r="C46" s="48"/>
      <c r="D46" s="17"/>
      <c r="E46" s="18"/>
      <c r="F46" s="19"/>
      <c r="G46" s="18"/>
      <c r="H46" s="51"/>
      <c r="I46" s="46"/>
      <c r="J46" s="17"/>
      <c r="K46" s="68"/>
      <c r="L46" s="52">
        <f>K44+K45+H44</f>
        <v>775875</v>
      </c>
    </row>
    <row r="47" spans="1:12" x14ac:dyDescent="0.55000000000000004">
      <c r="C47" s="2"/>
      <c r="K47" s="2"/>
    </row>
    <row r="48" spans="1:12" x14ac:dyDescent="0.55000000000000004">
      <c r="C48" s="2"/>
    </row>
    <row r="49" spans="3:3" x14ac:dyDescent="0.55000000000000004">
      <c r="C49" s="2"/>
    </row>
    <row r="50" spans="3:3" x14ac:dyDescent="0.55000000000000004">
      <c r="C50" s="2"/>
    </row>
    <row r="51" spans="3:3" x14ac:dyDescent="0.55000000000000004">
      <c r="C51" s="2"/>
    </row>
    <row r="52" spans="3:3" x14ac:dyDescent="0.55000000000000004">
      <c r="C52" s="2"/>
    </row>
    <row r="53" spans="3:3" x14ac:dyDescent="0.55000000000000004">
      <c r="C53" s="2"/>
    </row>
    <row r="54" spans="3:3" x14ac:dyDescent="0.55000000000000004">
      <c r="C54" s="2"/>
    </row>
    <row r="55" spans="3:3" x14ac:dyDescent="0.55000000000000004">
      <c r="C55" s="2"/>
    </row>
    <row r="56" spans="3:3" x14ac:dyDescent="0.55000000000000004">
      <c r="C56" s="2"/>
    </row>
    <row r="57" spans="3:3" x14ac:dyDescent="0.55000000000000004">
      <c r="C57" s="2"/>
    </row>
    <row r="58" spans="3:3" x14ac:dyDescent="0.55000000000000004">
      <c r="C58" s="2"/>
    </row>
    <row r="59" spans="3:3" x14ac:dyDescent="0.55000000000000004">
      <c r="C59" s="2"/>
    </row>
  </sheetData>
  <mergeCells count="4">
    <mergeCell ref="D1:E1"/>
    <mergeCell ref="F1:G1"/>
    <mergeCell ref="B1:C1"/>
    <mergeCell ref="J1:K1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" sqref="B2"/>
    </sheetView>
  </sheetViews>
  <sheetFormatPr baseColWidth="10" defaultRowHeight="14.4" x14ac:dyDescent="0.55000000000000004"/>
  <cols>
    <col min="1" max="1" width="4.578125" bestFit="1" customWidth="1"/>
    <col min="2" max="2" width="13.68359375" bestFit="1" customWidth="1"/>
    <col min="3" max="4" width="14.578125" bestFit="1" customWidth="1"/>
  </cols>
  <sheetData>
    <row r="1" spans="1:4" x14ac:dyDescent="0.55000000000000004">
      <c r="A1" s="71" t="s">
        <v>47</v>
      </c>
      <c r="B1" s="11" t="s">
        <v>46</v>
      </c>
      <c r="C1" s="77" t="s">
        <v>35</v>
      </c>
      <c r="D1" s="77" t="s">
        <v>18</v>
      </c>
    </row>
    <row r="2" spans="1:4" x14ac:dyDescent="0.55000000000000004">
      <c r="A2" s="74">
        <v>1</v>
      </c>
      <c r="B2" s="14">
        <f>Tabelle1!H17</f>
        <v>-122590</v>
      </c>
      <c r="C2" s="73">
        <f>Tabelle1!K18+Tabelle1!K17</f>
        <v>70000</v>
      </c>
      <c r="D2" s="61">
        <f>Tabelle1!L19</f>
        <v>67410</v>
      </c>
    </row>
    <row r="3" spans="1:4" x14ac:dyDescent="0.55000000000000004">
      <c r="A3" s="75">
        <v>2</v>
      </c>
      <c r="B3" s="5">
        <f>Tabelle1!H20</f>
        <v>-109125</v>
      </c>
      <c r="C3" s="23">
        <f>Tabelle1!K20+Tabelle1!K21</f>
        <v>165000</v>
      </c>
      <c r="D3" s="61">
        <f>Tabelle1!L22</f>
        <v>55875</v>
      </c>
    </row>
    <row r="4" spans="1:4" x14ac:dyDescent="0.55000000000000004">
      <c r="A4" s="75">
        <v>3</v>
      </c>
      <c r="B4" s="61">
        <f>Tabelle1!H23</f>
        <v>-106190</v>
      </c>
      <c r="C4" s="23">
        <f>Tabelle1!K23+Tabelle1!K24</f>
        <v>220000</v>
      </c>
      <c r="D4" s="61">
        <f>Tabelle1!L25</f>
        <v>113810</v>
      </c>
    </row>
    <row r="5" spans="1:4" x14ac:dyDescent="0.55000000000000004">
      <c r="A5" s="75">
        <v>4</v>
      </c>
      <c r="B5" s="61">
        <f>Tabelle1!H26</f>
        <v>-112060</v>
      </c>
      <c r="C5" s="23">
        <f>Tabelle1!K26+Tabelle1!K27</f>
        <v>350000</v>
      </c>
      <c r="D5" s="61">
        <f>Tabelle1!L28</f>
        <v>237940</v>
      </c>
    </row>
    <row r="6" spans="1:4" x14ac:dyDescent="0.55000000000000004">
      <c r="A6" s="75">
        <v>5</v>
      </c>
      <c r="B6" s="61">
        <f>Tabelle1!H29</f>
        <v>-106190</v>
      </c>
      <c r="C6" s="23">
        <f>Tabelle1!K29+Tabelle1!K30</f>
        <v>400000</v>
      </c>
      <c r="D6" s="61">
        <f>Tabelle1!L31</f>
        <v>293810</v>
      </c>
    </row>
    <row r="7" spans="1:4" x14ac:dyDescent="0.55000000000000004">
      <c r="A7" s="75">
        <v>6</v>
      </c>
      <c r="B7" s="61">
        <f>Tabelle1!H32</f>
        <v>-109125</v>
      </c>
      <c r="C7" s="23">
        <f>Tabelle1!K32+Tabelle1!K33</f>
        <v>495000</v>
      </c>
      <c r="D7" s="61">
        <f>Tabelle1!L34</f>
        <v>385875</v>
      </c>
    </row>
    <row r="8" spans="1:4" x14ac:dyDescent="0.55000000000000004">
      <c r="A8" s="75">
        <v>7</v>
      </c>
      <c r="B8" s="61">
        <f>Tabelle1!H35</f>
        <v>-109125</v>
      </c>
      <c r="C8" s="23">
        <f>Tabelle1!K35+Tabelle1!K36</f>
        <v>585000</v>
      </c>
      <c r="D8" s="61">
        <f>Tabelle1!L37</f>
        <v>475875</v>
      </c>
    </row>
    <row r="9" spans="1:4" x14ac:dyDescent="0.55000000000000004">
      <c r="A9" s="75">
        <v>8</v>
      </c>
      <c r="B9" s="61">
        <f>Tabelle1!H38</f>
        <v>-114995</v>
      </c>
      <c r="C9" s="23">
        <f>Tabelle1!K38+Tabelle1!K39</f>
        <v>745000</v>
      </c>
      <c r="D9" s="61">
        <f>Tabelle1!L40</f>
        <v>630005</v>
      </c>
    </row>
    <row r="10" spans="1:4" x14ac:dyDescent="0.55000000000000004">
      <c r="A10" s="75">
        <v>9</v>
      </c>
      <c r="B10" s="61">
        <f>Tabelle1!H41</f>
        <v>-106190</v>
      </c>
      <c r="C10" s="23">
        <f>Tabelle1!K41+Tabelle1!K42</f>
        <v>790000</v>
      </c>
      <c r="D10" s="61">
        <f>Tabelle1!L43</f>
        <v>683810</v>
      </c>
    </row>
    <row r="11" spans="1:4" x14ac:dyDescent="0.55000000000000004">
      <c r="A11" s="76">
        <v>10</v>
      </c>
      <c r="B11" s="72">
        <f>Tabelle1!H44</f>
        <v>-109125</v>
      </c>
      <c r="C11" s="63">
        <f>Tabelle1!K44+Tabelle1!K45</f>
        <v>885000</v>
      </c>
      <c r="D11" s="72">
        <f>Tabelle1!L46</f>
        <v>775875</v>
      </c>
    </row>
    <row r="12" spans="1:4" x14ac:dyDescent="0.55000000000000004">
      <c r="A12" s="6"/>
      <c r="B12" s="61">
        <f>SUM(B2:B11)</f>
        <v>-1104715</v>
      </c>
      <c r="C12" s="23">
        <f>SUM(C2:C11)</f>
        <v>4705000</v>
      </c>
      <c r="D12" s="61">
        <f>SUM(D2:D11)</f>
        <v>3720285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9" sqref="F9"/>
    </sheetView>
  </sheetViews>
  <sheetFormatPr baseColWidth="10" defaultRowHeight="14.4" x14ac:dyDescent="0.55000000000000004"/>
  <cols>
    <col min="2" max="2" width="13.41796875" customWidth="1"/>
    <col min="6" max="6" width="12" customWidth="1"/>
  </cols>
  <sheetData>
    <row r="1" spans="1:11" ht="14.7" thickBot="1" x14ac:dyDescent="0.6">
      <c r="A1" s="24"/>
      <c r="B1" s="82" t="s">
        <v>38</v>
      </c>
      <c r="C1" s="83"/>
      <c r="D1" s="82" t="s">
        <v>35</v>
      </c>
      <c r="E1" s="83"/>
      <c r="F1" s="82" t="s">
        <v>37</v>
      </c>
      <c r="G1" s="83"/>
      <c r="H1" s="58" t="s">
        <v>18</v>
      </c>
      <c r="I1" s="26"/>
      <c r="J1" s="26"/>
      <c r="K1" s="26"/>
    </row>
    <row r="2" spans="1:11" ht="15" x14ac:dyDescent="0.25">
      <c r="A2" s="6"/>
      <c r="B2" s="3" t="s">
        <v>20</v>
      </c>
      <c r="C2" s="5">
        <f>G2*500*-1</f>
        <v>-1000</v>
      </c>
      <c r="D2" t="s">
        <v>36</v>
      </c>
      <c r="E2" s="5">
        <f>30*G3</f>
        <v>9000</v>
      </c>
      <c r="F2" t="s">
        <v>20</v>
      </c>
      <c r="G2" s="6">
        <v>2</v>
      </c>
      <c r="H2" s="23"/>
      <c r="I2" s="26"/>
      <c r="J2" s="26"/>
      <c r="K2" s="26"/>
    </row>
    <row r="3" spans="1:11" ht="15" x14ac:dyDescent="0.25">
      <c r="A3" s="6"/>
      <c r="B3" s="3" t="s">
        <v>16</v>
      </c>
      <c r="C3" s="5">
        <f>G2*10*-1</f>
        <v>-20</v>
      </c>
      <c r="E3" s="5"/>
      <c r="F3" t="s">
        <v>36</v>
      </c>
      <c r="G3" s="6">
        <v>300</v>
      </c>
      <c r="H3" s="23"/>
    </row>
    <row r="4" spans="1:11" ht="15" x14ac:dyDescent="0.25">
      <c r="A4" s="6"/>
      <c r="B4" s="3" t="s">
        <v>24</v>
      </c>
      <c r="C4" s="5">
        <f>50*12*-1</f>
        <v>-600</v>
      </c>
      <c r="E4" s="5"/>
      <c r="G4" s="6"/>
      <c r="H4" s="23"/>
    </row>
    <row r="5" spans="1:11" ht="15" x14ac:dyDescent="0.25">
      <c r="A5" s="6"/>
      <c r="B5" s="3"/>
      <c r="C5" s="5"/>
      <c r="D5" s="26"/>
      <c r="E5" s="5"/>
      <c r="F5" s="26"/>
      <c r="G5" s="6"/>
      <c r="H5" s="23"/>
    </row>
    <row r="6" spans="1:11" ht="15" x14ac:dyDescent="0.25">
      <c r="A6" s="54" t="s">
        <v>39</v>
      </c>
      <c r="B6" s="57"/>
      <c r="C6" s="56">
        <f>C2+C3+C4</f>
        <v>-1620</v>
      </c>
      <c r="D6" s="55"/>
      <c r="E6" s="56">
        <f>E2</f>
        <v>9000</v>
      </c>
      <c r="F6" s="55"/>
      <c r="G6" s="54"/>
      <c r="H6" s="59">
        <f>E6+C6</f>
        <v>7380</v>
      </c>
    </row>
    <row r="7" spans="1:11" ht="15" x14ac:dyDescent="0.25">
      <c r="A7" s="28"/>
      <c r="B7" s="64"/>
      <c r="C7" s="14"/>
      <c r="D7" s="29"/>
      <c r="E7" s="14"/>
      <c r="F7" s="29"/>
      <c r="G7" s="28"/>
      <c r="H7" s="79"/>
    </row>
    <row r="8" spans="1:11" ht="15" x14ac:dyDescent="0.25">
      <c r="A8" s="6" t="s">
        <v>26</v>
      </c>
      <c r="B8" s="26"/>
      <c r="C8" s="5">
        <f>C6</f>
        <v>-1620</v>
      </c>
      <c r="D8" s="26"/>
      <c r="E8" s="5">
        <f>E2</f>
        <v>9000</v>
      </c>
      <c r="F8" t="s">
        <v>20</v>
      </c>
      <c r="G8" s="6">
        <v>2</v>
      </c>
      <c r="H8" s="78">
        <f>E8+C8</f>
        <v>7380</v>
      </c>
    </row>
    <row r="9" spans="1:11" ht="15" x14ac:dyDescent="0.25">
      <c r="A9" s="6" t="s">
        <v>25</v>
      </c>
      <c r="B9" s="26"/>
      <c r="C9" s="5">
        <f>C3+C4</f>
        <v>-620</v>
      </c>
      <c r="D9" s="26"/>
      <c r="E9" s="5">
        <f>E2</f>
        <v>9000</v>
      </c>
      <c r="F9" t="s">
        <v>36</v>
      </c>
      <c r="G9" s="6">
        <v>5</v>
      </c>
      <c r="H9" s="78">
        <f>E9+C9</f>
        <v>8380</v>
      </c>
    </row>
    <row r="10" spans="1:11" ht="15" x14ac:dyDescent="0.25">
      <c r="A10" s="6" t="s">
        <v>27</v>
      </c>
      <c r="B10" s="26"/>
      <c r="C10" s="5">
        <f>SUM(C3:C4)</f>
        <v>-620</v>
      </c>
      <c r="D10" s="26"/>
      <c r="E10" s="5">
        <f>E6</f>
        <v>9000</v>
      </c>
      <c r="F10" s="26"/>
      <c r="G10" s="6"/>
      <c r="H10" s="78">
        <f t="shared" ref="H10:H17" si="0">E10+C10</f>
        <v>8380</v>
      </c>
    </row>
    <row r="11" spans="1:11" ht="15" x14ac:dyDescent="0.25">
      <c r="A11" s="6" t="s">
        <v>28</v>
      </c>
      <c r="B11" s="26"/>
      <c r="C11" s="5">
        <f>SUM(C3:C4)</f>
        <v>-620</v>
      </c>
      <c r="D11" s="26"/>
      <c r="E11" s="5">
        <f>E6</f>
        <v>9000</v>
      </c>
      <c r="F11" s="26"/>
      <c r="G11" s="6"/>
      <c r="H11" s="78">
        <f t="shared" si="0"/>
        <v>8380</v>
      </c>
    </row>
    <row r="12" spans="1:11" ht="15" x14ac:dyDescent="0.25">
      <c r="A12" s="6" t="s">
        <v>29</v>
      </c>
      <c r="B12" s="26"/>
      <c r="C12" s="5">
        <f>SUM(C3:C4)</f>
        <v>-620</v>
      </c>
      <c r="D12" s="26"/>
      <c r="E12" s="5">
        <f t="shared" ref="E12" si="1">E6</f>
        <v>9000</v>
      </c>
      <c r="F12" s="26"/>
      <c r="G12" s="6"/>
      <c r="H12" s="78">
        <f t="shared" si="0"/>
        <v>8380</v>
      </c>
    </row>
    <row r="13" spans="1:11" ht="15" x14ac:dyDescent="0.25">
      <c r="A13" s="6" t="s">
        <v>30</v>
      </c>
      <c r="B13" s="26"/>
      <c r="C13" s="5">
        <f>SUM(C3:C4)</f>
        <v>-620</v>
      </c>
      <c r="D13" s="26"/>
      <c r="E13" s="5">
        <f t="shared" ref="E13" si="2">E6</f>
        <v>9000</v>
      </c>
      <c r="F13" s="26"/>
      <c r="G13" s="6"/>
      <c r="H13" s="78">
        <f t="shared" si="0"/>
        <v>8380</v>
      </c>
    </row>
    <row r="14" spans="1:11" ht="15" x14ac:dyDescent="0.25">
      <c r="A14" s="6" t="s">
        <v>31</v>
      </c>
      <c r="B14" s="26"/>
      <c r="C14" s="5">
        <f>SUM(C3:C4)</f>
        <v>-620</v>
      </c>
      <c r="D14" s="26"/>
      <c r="E14" s="5">
        <f t="shared" ref="E14" si="3">E8</f>
        <v>9000</v>
      </c>
      <c r="F14" s="26"/>
      <c r="G14" s="6"/>
      <c r="H14" s="78">
        <f t="shared" si="0"/>
        <v>8380</v>
      </c>
    </row>
    <row r="15" spans="1:11" ht="15" x14ac:dyDescent="0.25">
      <c r="A15" s="6" t="s">
        <v>32</v>
      </c>
      <c r="B15" s="26"/>
      <c r="C15" s="5">
        <f>SUM(C3:C4)</f>
        <v>-620</v>
      </c>
      <c r="D15" s="26"/>
      <c r="E15" s="5">
        <f t="shared" ref="E15" si="4">E8</f>
        <v>9000</v>
      </c>
      <c r="F15" s="26"/>
      <c r="G15" s="6"/>
      <c r="H15" s="78">
        <f t="shared" si="0"/>
        <v>8380</v>
      </c>
    </row>
    <row r="16" spans="1:11" ht="15" x14ac:dyDescent="0.25">
      <c r="A16" s="6" t="s">
        <v>33</v>
      </c>
      <c r="B16" s="26"/>
      <c r="C16" s="5">
        <f>SUM(C3:C4)</f>
        <v>-620</v>
      </c>
      <c r="D16" s="26"/>
      <c r="E16" s="5">
        <f t="shared" ref="E16" si="5">E10</f>
        <v>9000</v>
      </c>
      <c r="F16" s="26"/>
      <c r="G16" s="6"/>
      <c r="H16" s="78">
        <f t="shared" si="0"/>
        <v>8380</v>
      </c>
    </row>
    <row r="17" spans="1:8" ht="15" x14ac:dyDescent="0.25">
      <c r="A17" s="6" t="s">
        <v>34</v>
      </c>
      <c r="B17" s="26"/>
      <c r="C17" s="5">
        <f>SUM(C3:C4)</f>
        <v>-620</v>
      </c>
      <c r="D17" s="26"/>
      <c r="E17" s="5">
        <f t="shared" ref="E17" si="6">E10</f>
        <v>9000</v>
      </c>
      <c r="F17" s="26"/>
      <c r="G17" s="6"/>
      <c r="H17" s="78">
        <f t="shared" si="0"/>
        <v>8380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Uta</cp:lastModifiedBy>
  <dcterms:created xsi:type="dcterms:W3CDTF">2016-11-17T18:41:35Z</dcterms:created>
  <dcterms:modified xsi:type="dcterms:W3CDTF">2017-01-28T22:20:43Z</dcterms:modified>
</cp:coreProperties>
</file>