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 Forma" sheetId="1" r:id="rId4"/>
    <sheet state="visible" name="Cost of capital" sheetId="2" r:id="rId5"/>
    <sheet state="visible" name="Project valuation" sheetId="3" r:id="rId6"/>
  </sheets>
  <definedNames/>
  <calcPr/>
  <extLst>
    <ext uri="GoogleSheetsCustomDataVersion1">
      <go:sheetsCustomData xmlns:go="http://customooxmlschemas.google.com/" r:id="rId7" roundtripDataSignature="AMtx7mjALihAv9f1OHq7uYUz4EpmOxhL6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8">
      <text>
        <t xml:space="preserve">======
ID#AAAAKgSKRrk
Lois M    (2020-10-14 00:35:53)
midterm</t>
      </text>
    </comment>
  </commentList>
  <extLst>
    <ext uri="GoogleSheetsCustomDataVersion1">
      <go:sheetsCustomData xmlns:go="http://customooxmlschemas.google.com/" r:id="rId1" roundtripDataSignature="AMtx7mgRtfh5uJiwRue1DSmRdXTMTjcQ1Q=="/>
    </ext>
  </extLst>
</comments>
</file>

<file path=xl/sharedStrings.xml><?xml version="1.0" encoding="utf-8"?>
<sst xmlns="http://schemas.openxmlformats.org/spreadsheetml/2006/main" count="63" uniqueCount="55">
  <si>
    <t>Projected Income Statement for Kingsport plant 2019-2023 (p.335)</t>
  </si>
  <si>
    <t>($millions)</t>
  </si>
  <si>
    <t>Sales</t>
  </si>
  <si>
    <t>Cost of goods sold</t>
  </si>
  <si>
    <t>Gross profit</t>
  </si>
  <si>
    <t>Selling and distribution</t>
  </si>
  <si>
    <t>Depreciation</t>
  </si>
  <si>
    <t>Operating profit (EBIT)</t>
  </si>
  <si>
    <t>Interest expense</t>
  </si>
  <si>
    <t>Profit before tax</t>
  </si>
  <si>
    <t>Income tax (21%)</t>
  </si>
  <si>
    <t>Net profit</t>
  </si>
  <si>
    <t xml:space="preserve">Projected Balance Sheet for Kingsport plant 2019-2023  </t>
  </si>
  <si>
    <t>Cash</t>
  </si>
  <si>
    <t>Receivables (13% of sales)</t>
  </si>
  <si>
    <t>Inventory (12% of sales)</t>
  </si>
  <si>
    <t>PP&amp;E</t>
  </si>
  <si>
    <t>Total assets</t>
  </si>
  <si>
    <t>Payable (11% of sales)</t>
  </si>
  <si>
    <t>Debt (at 22.5% debt ratio)</t>
  </si>
  <si>
    <t>Equity (at 77.5% equity ratio)</t>
  </si>
  <si>
    <t>Total liabilities and equity</t>
  </si>
  <si>
    <t>Note: initial investment of $375m ($330m in mill + $45m for printing plant) is depreciated over 40 years.</t>
  </si>
  <si>
    <t>PPE = previous PPE balance + CAPEX - depreciation</t>
  </si>
  <si>
    <t>Projected Free Cash Flow for Kingsport plant 2019-2023</t>
  </si>
  <si>
    <t>Tax</t>
  </si>
  <si>
    <t>EBIT*(1-t)</t>
  </si>
  <si>
    <t>CAPEX</t>
  </si>
  <si>
    <t>NWC</t>
  </si>
  <si>
    <t>Change in NWC</t>
  </si>
  <si>
    <t>Projected free cash flow</t>
  </si>
  <si>
    <t>Note: CAPEX is calculated as % of depreciation following the assumption.</t>
  </si>
  <si>
    <t>Cost of Equity</t>
  </si>
  <si>
    <t>Risk-free rate*</t>
  </si>
  <si>
    <t>Market risk premium**</t>
  </si>
  <si>
    <t>Beta (using average of peer firms)</t>
  </si>
  <si>
    <t>Cost of equity (using CAPM)</t>
  </si>
  <si>
    <t>*Risk free rate is calcuated using 20-year Treasury bond rate minus 1% liquidity premium.</t>
  </si>
  <si>
    <t>**Market risk premium estimate is the mean market risk premium for 1926-2016.</t>
  </si>
  <si>
    <t xml:space="preserve">tax rate </t>
  </si>
  <si>
    <t xml:space="preserve"> WACC</t>
  </si>
  <si>
    <t>Weight % (using avg of peers)</t>
  </si>
  <si>
    <t>Cost of capital</t>
  </si>
  <si>
    <t>Debt (assuming at A rating)</t>
  </si>
  <si>
    <t xml:space="preserve">Table 16.3 </t>
  </si>
  <si>
    <t>Equity</t>
  </si>
  <si>
    <t>WACC</t>
  </si>
  <si>
    <t>Year</t>
  </si>
  <si>
    <t>WACC=</t>
  </si>
  <si>
    <t>Terminal value (3% LT growth*)</t>
  </si>
  <si>
    <t>Initial investment</t>
  </si>
  <si>
    <t>Total expected cash flows</t>
  </si>
  <si>
    <t>NPV for Kingsport plant</t>
  </si>
  <si>
    <t>Initial investment for the project is $410 million.</t>
  </si>
  <si>
    <t xml:space="preserve">*Assume sales to grow at the rate of inflation after 2023 (3%), NWC to grow in line with sales, operating margin and tax remain unchanged, CAPEX equal to depreciatiton.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</si>
</sst>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FF0000"/>
      <name val="Calibri"/>
    </font>
    <font>
      <b/>
      <sz val="11.0"/>
      <color rgb="FFFF0000"/>
      <name val="Calibri"/>
    </font>
    <font>
      <b/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bottom style="double">
        <color rgb="FF000000"/>
      </bottom>
    </border>
    <border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top style="double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double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2" fillId="0" fontId="3" numFmtId="0" xfId="0" applyBorder="1" applyFont="1"/>
    <xf borderId="3" fillId="0" fontId="2" numFmtId="0" xfId="0" applyBorder="1" applyFont="1"/>
    <xf borderId="0" fillId="0" fontId="4" numFmtId="0" xfId="0" applyFont="1"/>
    <xf borderId="0" fillId="0" fontId="2" numFmtId="2" xfId="0" applyAlignment="1" applyFont="1" applyNumberFormat="1">
      <alignment readingOrder="0"/>
    </xf>
    <xf borderId="0" fillId="0" fontId="2" numFmtId="2" xfId="0" applyFont="1" applyNumberFormat="1"/>
    <xf borderId="0" fillId="0" fontId="3" numFmtId="0" xfId="0" applyFont="1"/>
    <xf borderId="0" fillId="0" fontId="3" numFmtId="2" xfId="0" applyFont="1" applyNumberFormat="1"/>
    <xf borderId="2" fillId="0" fontId="2" numFmtId="0" xfId="0" applyBorder="1" applyFont="1"/>
    <xf borderId="2" fillId="0" fontId="3" numFmtId="2" xfId="0" applyBorder="1" applyFont="1" applyNumberFormat="1"/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2" xfId="0" applyFont="1" applyNumberFormat="1"/>
    <xf borderId="0" fillId="0" fontId="6" numFmtId="0" xfId="0" applyFont="1"/>
    <xf borderId="2" fillId="0" fontId="6" numFmtId="0" xfId="0" applyBorder="1" applyFont="1"/>
    <xf borderId="2" fillId="0" fontId="2" numFmtId="2" xfId="0" applyBorder="1" applyFont="1" applyNumberFormat="1"/>
    <xf borderId="2" fillId="0" fontId="6" numFmtId="2" xfId="0" applyBorder="1" applyFont="1" applyNumberFormat="1"/>
    <xf borderId="1" fillId="0" fontId="7" numFmtId="0" xfId="0" applyBorder="1" applyFont="1"/>
    <xf borderId="0" fillId="0" fontId="2" numFmtId="10" xfId="0" applyFont="1" applyNumberFormat="1"/>
    <xf borderId="0" fillId="0" fontId="2" numFmtId="9" xfId="0" applyFont="1" applyNumberFormat="1"/>
    <xf borderId="1" fillId="0" fontId="3" numFmtId="0" xfId="0" applyBorder="1" applyFont="1"/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4" fillId="0" fontId="2" numFmtId="0" xfId="0" applyBorder="1" applyFont="1"/>
    <xf borderId="5" fillId="2" fontId="2" numFmtId="10" xfId="0" applyAlignment="1" applyBorder="1" applyFill="1" applyFont="1" applyNumberFormat="1">
      <alignment readingOrder="0"/>
    </xf>
    <xf borderId="1" fillId="0" fontId="6" numFmtId="0" xfId="0" applyBorder="1" applyFont="1"/>
    <xf borderId="6" fillId="2" fontId="2" numFmtId="10" xfId="0" applyBorder="1" applyFont="1" applyNumberFormat="1"/>
    <xf borderId="0" fillId="0" fontId="2" numFmtId="37" xfId="0" applyFont="1" applyNumberFormat="1"/>
    <xf borderId="0" fillId="0" fontId="2" numFmtId="39" xfId="0" applyFont="1" applyNumberFormat="1"/>
    <xf borderId="1" fillId="0" fontId="3" numFmtId="2" xfId="0" applyBorder="1" applyFont="1" applyNumberFormat="1"/>
    <xf borderId="1" fillId="0" fontId="2" numFmtId="2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7.13"/>
    <col customWidth="1" min="3" max="3" width="10.25"/>
    <col customWidth="1" min="4" max="4" width="11.5"/>
    <col customWidth="1" min="5" max="5" width="11.25"/>
    <col customWidth="1" min="6" max="6" width="11.38"/>
    <col customWidth="1" min="7" max="7" width="10.13"/>
    <col customWidth="1" min="8" max="26" width="7.63"/>
  </cols>
  <sheetData>
    <row r="1" ht="24.0" customHeight="1">
      <c r="A1" s="1" t="s">
        <v>0</v>
      </c>
      <c r="B1" s="2"/>
      <c r="C1" s="3"/>
      <c r="D1" s="3"/>
      <c r="E1" s="3"/>
      <c r="F1" s="3"/>
      <c r="G1" s="3"/>
    </row>
    <row r="2" ht="14.25" customHeight="1">
      <c r="A2" s="4" t="s">
        <v>1</v>
      </c>
      <c r="B2" s="5"/>
      <c r="C2" s="4">
        <v>2019.0</v>
      </c>
      <c r="D2" s="4">
        <v>2020.0</v>
      </c>
      <c r="E2" s="4">
        <v>2021.0</v>
      </c>
      <c r="F2" s="4">
        <v>2022.0</v>
      </c>
      <c r="G2" s="4">
        <v>2023.0</v>
      </c>
    </row>
    <row r="3" ht="14.25" customHeight="1">
      <c r="A3" s="6" t="s">
        <v>2</v>
      </c>
      <c r="C3" s="7">
        <f>0.35*740</f>
        <v>259</v>
      </c>
      <c r="D3" s="8">
        <f t="shared" ref="D3:E3" si="1">C3*1.05</f>
        <v>271.95</v>
      </c>
      <c r="E3" s="8">
        <f t="shared" si="1"/>
        <v>285.5475</v>
      </c>
      <c r="F3" s="8">
        <f t="shared" ref="F3:G3" si="2">E3*1.04</f>
        <v>296.9694</v>
      </c>
      <c r="G3" s="8">
        <f t="shared" si="2"/>
        <v>308.848176</v>
      </c>
    </row>
    <row r="4" ht="14.25" customHeight="1">
      <c r="A4" s="6" t="s">
        <v>3</v>
      </c>
      <c r="C4" s="8">
        <f t="shared" ref="C4:G4" si="3">0.72*C3</f>
        <v>186.48</v>
      </c>
      <c r="D4" s="8">
        <f t="shared" si="3"/>
        <v>195.804</v>
      </c>
      <c r="E4" s="8">
        <f t="shared" si="3"/>
        <v>205.5942</v>
      </c>
      <c r="F4" s="8">
        <f t="shared" si="3"/>
        <v>213.817968</v>
      </c>
      <c r="G4" s="8">
        <f t="shared" si="3"/>
        <v>222.3706867</v>
      </c>
    </row>
    <row r="5" ht="14.25" customHeight="1">
      <c r="A5" s="9" t="s">
        <v>4</v>
      </c>
      <c r="C5" s="10">
        <f t="shared" ref="C5:G5" si="4">C3-C4</f>
        <v>72.52</v>
      </c>
      <c r="D5" s="10">
        <f t="shared" si="4"/>
        <v>76.146</v>
      </c>
      <c r="E5" s="10">
        <f t="shared" si="4"/>
        <v>79.9533</v>
      </c>
      <c r="F5" s="10">
        <f t="shared" si="4"/>
        <v>83.151432</v>
      </c>
      <c r="G5" s="10">
        <f t="shared" si="4"/>
        <v>86.47748928</v>
      </c>
    </row>
    <row r="6" ht="14.25" customHeight="1">
      <c r="A6" s="6" t="s">
        <v>5</v>
      </c>
      <c r="C6" s="8">
        <f t="shared" ref="C6:G6" si="5">11%*C3</f>
        <v>28.49</v>
      </c>
      <c r="D6" s="8">
        <f t="shared" si="5"/>
        <v>29.9145</v>
      </c>
      <c r="E6" s="8">
        <f t="shared" si="5"/>
        <v>31.410225</v>
      </c>
      <c r="F6" s="8">
        <f t="shared" si="5"/>
        <v>32.666634</v>
      </c>
      <c r="G6" s="8">
        <f t="shared" si="5"/>
        <v>33.97329936</v>
      </c>
    </row>
    <row r="7" ht="14.25" customHeight="1">
      <c r="A7" s="6" t="s">
        <v>6</v>
      </c>
      <c r="C7" s="8">
        <f t="shared" ref="C7:G7" si="6">B19/40</f>
        <v>9.375</v>
      </c>
      <c r="D7" s="8">
        <f t="shared" si="6"/>
        <v>9.28125</v>
      </c>
      <c r="E7" s="8">
        <f t="shared" si="6"/>
        <v>9.211640625</v>
      </c>
      <c r="F7" s="8">
        <f t="shared" si="6"/>
        <v>9.165582422</v>
      </c>
      <c r="G7" s="8">
        <f t="shared" si="6"/>
        <v>9.142668466</v>
      </c>
    </row>
    <row r="8" ht="14.25" customHeight="1">
      <c r="A8" s="9" t="s">
        <v>7</v>
      </c>
      <c r="C8" s="10">
        <f t="shared" ref="C8:G8" si="7">C5-C6-C7</f>
        <v>34.655</v>
      </c>
      <c r="D8" s="10">
        <f t="shared" si="7"/>
        <v>36.95025</v>
      </c>
      <c r="E8" s="10">
        <f t="shared" si="7"/>
        <v>39.33143438</v>
      </c>
      <c r="F8" s="10">
        <f t="shared" si="7"/>
        <v>41.31921558</v>
      </c>
      <c r="G8" s="10">
        <f t="shared" si="7"/>
        <v>43.36152145</v>
      </c>
    </row>
    <row r="9" ht="14.25" customHeight="1">
      <c r="A9" s="6" t="s">
        <v>8</v>
      </c>
      <c r="C9" s="8">
        <f t="shared" ref="C9:G9" si="8">0.0448*B23</f>
        <v>4.1328</v>
      </c>
      <c r="D9" s="8">
        <f t="shared" si="8"/>
        <v>4.1077008</v>
      </c>
      <c r="E9" s="8">
        <f t="shared" si="8"/>
        <v>4.09790934</v>
      </c>
      <c r="F9" s="8">
        <f t="shared" si="8"/>
        <v>4.098527465</v>
      </c>
      <c r="G9" s="8">
        <f t="shared" si="8"/>
        <v>4.105407143</v>
      </c>
    </row>
    <row r="10" ht="14.25" customHeight="1">
      <c r="A10" s="9" t="s">
        <v>9</v>
      </c>
      <c r="C10" s="10">
        <f t="shared" ref="C10:G10" si="9">C8-C9</f>
        <v>30.5222</v>
      </c>
      <c r="D10" s="10">
        <f t="shared" si="9"/>
        <v>32.8425492</v>
      </c>
      <c r="E10" s="10">
        <f t="shared" si="9"/>
        <v>35.23352504</v>
      </c>
      <c r="F10" s="10">
        <f t="shared" si="9"/>
        <v>37.22068811</v>
      </c>
      <c r="G10" s="10">
        <f t="shared" si="9"/>
        <v>39.25611431</v>
      </c>
    </row>
    <row r="11" ht="14.25" customHeight="1">
      <c r="A11" s="6" t="s">
        <v>10</v>
      </c>
      <c r="C11" s="8">
        <f t="shared" ref="C11:G11" si="10">0.21*C10</f>
        <v>6.409662</v>
      </c>
      <c r="D11" s="8">
        <f t="shared" si="10"/>
        <v>6.896935332</v>
      </c>
      <c r="E11" s="8">
        <f t="shared" si="10"/>
        <v>7.399040257</v>
      </c>
      <c r="F11" s="8">
        <f t="shared" si="10"/>
        <v>7.816344504</v>
      </c>
      <c r="G11" s="8">
        <f t="shared" si="10"/>
        <v>8.243784005</v>
      </c>
    </row>
    <row r="12" ht="14.25" customHeight="1">
      <c r="A12" s="4" t="s">
        <v>11</v>
      </c>
      <c r="B12" s="11"/>
      <c r="C12" s="12">
        <f t="shared" ref="C12:G12" si="11">C10-C11</f>
        <v>24.112538</v>
      </c>
      <c r="D12" s="12">
        <f t="shared" si="11"/>
        <v>25.94561387</v>
      </c>
      <c r="E12" s="12">
        <f t="shared" si="11"/>
        <v>27.83448478</v>
      </c>
      <c r="F12" s="12">
        <f t="shared" si="11"/>
        <v>29.40434361</v>
      </c>
      <c r="G12" s="12">
        <f t="shared" si="11"/>
        <v>31.01233031</v>
      </c>
    </row>
    <row r="13" ht="14.25" customHeight="1">
      <c r="G13" s="13"/>
    </row>
    <row r="14" ht="14.25" customHeight="1">
      <c r="A14" s="2" t="s">
        <v>12</v>
      </c>
      <c r="B14" s="3"/>
      <c r="C14" s="3"/>
      <c r="D14" s="3"/>
      <c r="E14" s="3"/>
      <c r="F14" s="3"/>
      <c r="G14" s="3"/>
    </row>
    <row r="15" ht="14.25" customHeight="1">
      <c r="A15" s="4" t="s">
        <v>1</v>
      </c>
      <c r="B15" s="4">
        <v>2018.0</v>
      </c>
      <c r="C15" s="4">
        <v>2019.0</v>
      </c>
      <c r="D15" s="4">
        <v>2020.0</v>
      </c>
      <c r="E15" s="4">
        <v>2021.0</v>
      </c>
      <c r="F15" s="4">
        <v>2022.0</v>
      </c>
      <c r="G15" s="4">
        <v>2023.0</v>
      </c>
    </row>
    <row r="16" ht="14.25" customHeight="1">
      <c r="A16" s="6" t="s">
        <v>13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</row>
    <row r="17" ht="14.25" customHeight="1">
      <c r="A17" s="6" t="s">
        <v>14</v>
      </c>
      <c r="B17" s="8">
        <v>33.0</v>
      </c>
      <c r="C17" s="8">
        <f t="shared" ref="C17:G17" si="12">0.13*C3</f>
        <v>33.67</v>
      </c>
      <c r="D17" s="8">
        <f t="shared" si="12"/>
        <v>35.3535</v>
      </c>
      <c r="E17" s="8">
        <f t="shared" si="12"/>
        <v>37.121175</v>
      </c>
      <c r="F17" s="8">
        <f t="shared" si="12"/>
        <v>38.606022</v>
      </c>
      <c r="G17" s="8">
        <f t="shared" si="12"/>
        <v>40.15026288</v>
      </c>
    </row>
    <row r="18" ht="14.25" customHeight="1">
      <c r="A18" s="6" t="s">
        <v>15</v>
      </c>
      <c r="B18" s="8">
        <v>30.0</v>
      </c>
      <c r="C18" s="8">
        <f t="shared" ref="C18:G18" si="13">0.12*C3</f>
        <v>31.08</v>
      </c>
      <c r="D18" s="8">
        <f t="shared" si="13"/>
        <v>32.634</v>
      </c>
      <c r="E18" s="8">
        <f t="shared" si="13"/>
        <v>34.2657</v>
      </c>
      <c r="F18" s="8">
        <f t="shared" si="13"/>
        <v>35.636328</v>
      </c>
      <c r="G18" s="8">
        <f t="shared" si="13"/>
        <v>37.06178112</v>
      </c>
    </row>
    <row r="19" ht="14.25" customHeight="1">
      <c r="A19" s="6" t="s">
        <v>16</v>
      </c>
      <c r="B19" s="7">
        <v>375.0</v>
      </c>
      <c r="C19" s="7">
        <f>B19+C35-C36</f>
        <v>371.25</v>
      </c>
      <c r="D19" s="7">
        <f t="shared" ref="D19:G19" si="14">C19+D35-D7</f>
        <v>368.465625</v>
      </c>
      <c r="E19" s="7">
        <f t="shared" si="14"/>
        <v>366.6232969</v>
      </c>
      <c r="F19" s="7">
        <f t="shared" si="14"/>
        <v>365.7067386</v>
      </c>
      <c r="G19" s="7">
        <f t="shared" si="14"/>
        <v>365.7067386</v>
      </c>
    </row>
    <row r="20" ht="14.25" customHeight="1">
      <c r="A20" s="9" t="s">
        <v>17</v>
      </c>
      <c r="B20" s="10">
        <f t="shared" ref="B20:G20" si="15">SUM(B16:B19)</f>
        <v>438</v>
      </c>
      <c r="C20" s="10">
        <f t="shared" si="15"/>
        <v>436</v>
      </c>
      <c r="D20" s="10">
        <f t="shared" si="15"/>
        <v>436.453125</v>
      </c>
      <c r="E20" s="10">
        <f t="shared" si="15"/>
        <v>438.0101719</v>
      </c>
      <c r="F20" s="10">
        <f t="shared" si="15"/>
        <v>439.9490886</v>
      </c>
      <c r="G20" s="10">
        <f t="shared" si="15"/>
        <v>442.9187826</v>
      </c>
    </row>
    <row r="21" ht="14.25" customHeight="1">
      <c r="A21" s="9"/>
      <c r="B21" s="8"/>
      <c r="C21" s="8"/>
      <c r="D21" s="8"/>
      <c r="E21" s="8"/>
      <c r="F21" s="8"/>
      <c r="G21" s="8"/>
    </row>
    <row r="22" ht="14.25" customHeight="1">
      <c r="A22" s="6" t="s">
        <v>18</v>
      </c>
      <c r="B22" s="8">
        <v>28.0</v>
      </c>
      <c r="C22" s="8">
        <f t="shared" ref="C22:G22" si="16">0.11*C3</f>
        <v>28.49</v>
      </c>
      <c r="D22" s="8">
        <f t="shared" si="16"/>
        <v>29.9145</v>
      </c>
      <c r="E22" s="8">
        <f t="shared" si="16"/>
        <v>31.410225</v>
      </c>
      <c r="F22" s="8">
        <f t="shared" si="16"/>
        <v>32.666634</v>
      </c>
      <c r="G22" s="8">
        <f t="shared" si="16"/>
        <v>33.97329936</v>
      </c>
    </row>
    <row r="23" ht="14.25" customHeight="1">
      <c r="A23" s="6" t="s">
        <v>19</v>
      </c>
      <c r="B23" s="8">
        <f t="shared" ref="B23:G23" si="17">0.225*(B25-B22)</f>
        <v>92.25</v>
      </c>
      <c r="C23" s="8">
        <f t="shared" si="17"/>
        <v>91.68975</v>
      </c>
      <c r="D23" s="8">
        <f t="shared" si="17"/>
        <v>91.47119063</v>
      </c>
      <c r="E23" s="8">
        <f t="shared" si="17"/>
        <v>91.48498805</v>
      </c>
      <c r="F23" s="8">
        <f t="shared" si="17"/>
        <v>91.63855229</v>
      </c>
      <c r="G23" s="8">
        <f t="shared" si="17"/>
        <v>92.01273374</v>
      </c>
    </row>
    <row r="24" ht="14.25" customHeight="1">
      <c r="A24" s="6" t="s">
        <v>20</v>
      </c>
      <c r="B24" s="8">
        <f t="shared" ref="B24:G24" si="18">0.775*(B25-B22)</f>
        <v>317.75</v>
      </c>
      <c r="C24" s="8">
        <f t="shared" si="18"/>
        <v>315.82025</v>
      </c>
      <c r="D24" s="8">
        <f t="shared" si="18"/>
        <v>315.0674344</v>
      </c>
      <c r="E24" s="8">
        <f t="shared" si="18"/>
        <v>315.1149588</v>
      </c>
      <c r="F24" s="8">
        <f t="shared" si="18"/>
        <v>315.6439023</v>
      </c>
      <c r="G24" s="8">
        <f t="shared" si="18"/>
        <v>316.9327495</v>
      </c>
    </row>
    <row r="25" ht="14.25" customHeight="1">
      <c r="A25" s="4" t="s">
        <v>21</v>
      </c>
      <c r="B25" s="12">
        <f t="shared" ref="B25:G25" si="19">B20</f>
        <v>438</v>
      </c>
      <c r="C25" s="12">
        <f t="shared" si="19"/>
        <v>436</v>
      </c>
      <c r="D25" s="12">
        <f t="shared" si="19"/>
        <v>436.453125</v>
      </c>
      <c r="E25" s="12">
        <f t="shared" si="19"/>
        <v>438.0101719</v>
      </c>
      <c r="F25" s="12">
        <f t="shared" si="19"/>
        <v>439.9490886</v>
      </c>
      <c r="G25" s="12">
        <f t="shared" si="19"/>
        <v>442.9187826</v>
      </c>
    </row>
    <row r="26" ht="14.25" customHeight="1"/>
    <row r="27" ht="14.25" customHeight="1">
      <c r="A27" s="6" t="s">
        <v>22</v>
      </c>
    </row>
    <row r="28" ht="14.25" customHeight="1">
      <c r="A28" s="6" t="s">
        <v>23</v>
      </c>
    </row>
    <row r="29" ht="14.25" customHeight="1"/>
    <row r="30" ht="14.25" customHeight="1">
      <c r="A30" s="2" t="s">
        <v>24</v>
      </c>
      <c r="B30" s="3"/>
      <c r="C30" s="3"/>
      <c r="D30" s="3"/>
      <c r="E30" s="3"/>
      <c r="F30" s="3"/>
      <c r="G30" s="3"/>
    </row>
    <row r="31" ht="14.25" customHeight="1">
      <c r="A31" s="4" t="s">
        <v>1</v>
      </c>
      <c r="B31" s="4">
        <v>2018.0</v>
      </c>
      <c r="C31" s="4">
        <v>2019.0</v>
      </c>
      <c r="D31" s="4">
        <v>2020.0</v>
      </c>
      <c r="E31" s="4">
        <v>2021.0</v>
      </c>
      <c r="F31" s="4">
        <v>2022.0</v>
      </c>
      <c r="G31" s="4">
        <v>2023.0</v>
      </c>
    </row>
    <row r="32" ht="14.25" customHeight="1">
      <c r="A32" s="6" t="s">
        <v>7</v>
      </c>
      <c r="B32" s="8"/>
      <c r="C32" s="8">
        <v>34.655000000000015</v>
      </c>
      <c r="D32" s="8">
        <v>36.95025000000001</v>
      </c>
      <c r="E32" s="8">
        <v>39.331434375000015</v>
      </c>
      <c r="F32" s="8">
        <v>41.319215578125</v>
      </c>
      <c r="G32" s="8">
        <v>43.361521454179695</v>
      </c>
    </row>
    <row r="33" ht="14.25" customHeight="1">
      <c r="A33" s="15" t="s">
        <v>25</v>
      </c>
      <c r="B33" s="16"/>
      <c r="C33" s="16">
        <f t="shared" ref="C33:G33" si="20">0.21*C32</f>
        <v>7.27755</v>
      </c>
      <c r="D33" s="16">
        <f t="shared" si="20"/>
        <v>7.7595525</v>
      </c>
      <c r="E33" s="16">
        <f t="shared" si="20"/>
        <v>8.259601219</v>
      </c>
      <c r="F33" s="16">
        <f t="shared" si="20"/>
        <v>8.677035271</v>
      </c>
      <c r="G33" s="16">
        <f t="shared" si="20"/>
        <v>9.105919505</v>
      </c>
    </row>
    <row r="34" ht="14.25" customHeight="1">
      <c r="A34" s="17" t="s">
        <v>26</v>
      </c>
      <c r="B34" s="16"/>
      <c r="C34" s="16">
        <f t="shared" ref="C34:G34" si="21">C32-C33</f>
        <v>27.37745</v>
      </c>
      <c r="D34" s="16">
        <f t="shared" si="21"/>
        <v>29.1906975</v>
      </c>
      <c r="E34" s="16">
        <f t="shared" si="21"/>
        <v>31.07183316</v>
      </c>
      <c r="F34" s="16">
        <f t="shared" si="21"/>
        <v>32.64218031</v>
      </c>
      <c r="G34" s="16">
        <f t="shared" si="21"/>
        <v>34.25560195</v>
      </c>
    </row>
    <row r="35" ht="14.25" customHeight="1">
      <c r="A35" s="6" t="s">
        <v>27</v>
      </c>
      <c r="B35" s="8"/>
      <c r="C35" s="8">
        <f>0.6*C7</f>
        <v>5.625</v>
      </c>
      <c r="D35" s="8">
        <f>0.7*D7</f>
        <v>6.496875</v>
      </c>
      <c r="E35" s="8">
        <f>0.8*E7</f>
        <v>7.3693125</v>
      </c>
      <c r="F35" s="8">
        <f>0.9*F7</f>
        <v>8.24902418</v>
      </c>
      <c r="G35" s="8">
        <f>1*G7</f>
        <v>9.142668466</v>
      </c>
    </row>
    <row r="36" ht="14.25" customHeight="1">
      <c r="A36" s="6" t="s">
        <v>6</v>
      </c>
      <c r="B36" s="8"/>
      <c r="C36" s="8">
        <v>9.375</v>
      </c>
      <c r="D36" s="8">
        <v>9.28125</v>
      </c>
      <c r="E36" s="8">
        <v>9.211640625</v>
      </c>
      <c r="F36" s="8">
        <v>9.165582421875</v>
      </c>
      <c r="G36" s="8">
        <v>9.142668465820313</v>
      </c>
    </row>
    <row r="37" ht="14.25" customHeight="1">
      <c r="B37" s="8"/>
      <c r="C37" s="8"/>
      <c r="D37" s="8"/>
      <c r="E37" s="8"/>
      <c r="F37" s="8"/>
      <c r="G37" s="8"/>
    </row>
    <row r="38" ht="14.25" customHeight="1">
      <c r="A38" s="6" t="s">
        <v>14</v>
      </c>
      <c r="B38" s="8">
        <v>33.0</v>
      </c>
      <c r="C38" s="8">
        <f t="shared" ref="C38:G38" si="22">0.13*C3</f>
        <v>33.67</v>
      </c>
      <c r="D38" s="8">
        <f t="shared" si="22"/>
        <v>35.3535</v>
      </c>
      <c r="E38" s="8">
        <f t="shared" si="22"/>
        <v>37.121175</v>
      </c>
      <c r="F38" s="8">
        <f t="shared" si="22"/>
        <v>38.606022</v>
      </c>
      <c r="G38" s="8">
        <f t="shared" si="22"/>
        <v>40.15026288</v>
      </c>
    </row>
    <row r="39" ht="14.25" customHeight="1">
      <c r="A39" s="6" t="s">
        <v>15</v>
      </c>
      <c r="B39" s="8">
        <v>30.0</v>
      </c>
      <c r="C39" s="7">
        <f t="shared" ref="C39:G39" si="23">0.12*C3</f>
        <v>31.08</v>
      </c>
      <c r="D39" s="7">
        <f t="shared" si="23"/>
        <v>32.634</v>
      </c>
      <c r="E39" s="7">
        <f t="shared" si="23"/>
        <v>34.2657</v>
      </c>
      <c r="F39" s="7">
        <f t="shared" si="23"/>
        <v>35.636328</v>
      </c>
      <c r="G39" s="7">
        <f t="shared" si="23"/>
        <v>37.06178112</v>
      </c>
    </row>
    <row r="40" ht="14.25" customHeight="1">
      <c r="A40" s="6" t="s">
        <v>18</v>
      </c>
      <c r="B40" s="8">
        <v>28.0</v>
      </c>
      <c r="C40" s="8">
        <f t="shared" ref="C40:G40" si="24">0.11*C3</f>
        <v>28.49</v>
      </c>
      <c r="D40" s="8">
        <f t="shared" si="24"/>
        <v>29.9145</v>
      </c>
      <c r="E40" s="8">
        <f t="shared" si="24"/>
        <v>31.410225</v>
      </c>
      <c r="F40" s="8">
        <f t="shared" si="24"/>
        <v>32.666634</v>
      </c>
      <c r="G40" s="8">
        <f t="shared" si="24"/>
        <v>33.97329936</v>
      </c>
    </row>
    <row r="41" ht="14.25" customHeight="1">
      <c r="A41" s="15" t="s">
        <v>28</v>
      </c>
      <c r="B41" s="16">
        <f t="shared" ref="B41:G41" si="25">B38+B39-B40</f>
        <v>35</v>
      </c>
      <c r="C41" s="16">
        <f t="shared" si="25"/>
        <v>36.26</v>
      </c>
      <c r="D41" s="16">
        <f t="shared" si="25"/>
        <v>38.073</v>
      </c>
      <c r="E41" s="16">
        <f t="shared" si="25"/>
        <v>39.97665</v>
      </c>
      <c r="F41" s="16">
        <f t="shared" si="25"/>
        <v>41.575716</v>
      </c>
      <c r="G41" s="16">
        <f t="shared" si="25"/>
        <v>43.23874464</v>
      </c>
    </row>
    <row r="42" ht="14.25" customHeight="1">
      <c r="A42" s="15" t="s">
        <v>29</v>
      </c>
      <c r="B42" s="16"/>
      <c r="C42" s="16">
        <f t="shared" ref="C42:G42" si="26">C41-B41</f>
        <v>1.26</v>
      </c>
      <c r="D42" s="16">
        <f t="shared" si="26"/>
        <v>1.813</v>
      </c>
      <c r="E42" s="16">
        <f t="shared" si="26"/>
        <v>1.90365</v>
      </c>
      <c r="F42" s="16">
        <f t="shared" si="26"/>
        <v>1.599066</v>
      </c>
      <c r="G42" s="16">
        <f t="shared" si="26"/>
        <v>1.66302864</v>
      </c>
    </row>
    <row r="43" ht="14.25" customHeight="1">
      <c r="A43" s="18" t="s">
        <v>30</v>
      </c>
      <c r="B43" s="19"/>
      <c r="C43" s="20">
        <f t="shared" ref="C43:G43" si="27">C34+C36-C35-C42</f>
        <v>29.86745</v>
      </c>
      <c r="D43" s="20">
        <f t="shared" si="27"/>
        <v>30.1620725</v>
      </c>
      <c r="E43" s="20">
        <f t="shared" si="27"/>
        <v>31.01051128</v>
      </c>
      <c r="F43" s="20">
        <f t="shared" si="27"/>
        <v>31.95967255</v>
      </c>
      <c r="G43" s="20">
        <f t="shared" si="27"/>
        <v>32.59257331</v>
      </c>
    </row>
    <row r="44" ht="14.25" customHeight="1"/>
    <row r="45" ht="14.25" customHeight="1">
      <c r="A45" s="6" t="s">
        <v>31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22.38"/>
    <col customWidth="1" min="3" max="3" width="11.0"/>
    <col customWidth="1" min="4" max="4" width="12.63"/>
    <col customWidth="1" min="5" max="5" width="7.63"/>
    <col customWidth="1" min="6" max="6" width="11.88"/>
    <col customWidth="1" min="7" max="7" width="14.0"/>
    <col customWidth="1" min="8" max="8" width="11.0"/>
    <col customWidth="1" min="9" max="26" width="7.63"/>
  </cols>
  <sheetData>
    <row r="1" ht="14.25" customHeight="1"/>
    <row r="2" ht="14.25" customHeight="1">
      <c r="A2" s="21" t="s">
        <v>32</v>
      </c>
      <c r="B2" s="3"/>
      <c r="C2" s="13"/>
      <c r="D2" s="13"/>
      <c r="I2" s="13"/>
    </row>
    <row r="3" ht="14.25" customHeight="1">
      <c r="A3" s="6" t="s">
        <v>33</v>
      </c>
      <c r="B3" s="22">
        <v>0.0196</v>
      </c>
      <c r="C3" s="13"/>
      <c r="I3" s="13"/>
    </row>
    <row r="4" ht="14.25" customHeight="1">
      <c r="A4" s="6" t="s">
        <v>34</v>
      </c>
      <c r="B4" s="23">
        <v>0.06</v>
      </c>
      <c r="C4" s="13"/>
      <c r="I4" s="13"/>
    </row>
    <row r="5" ht="14.25" customHeight="1">
      <c r="A5" s="6" t="s">
        <v>35</v>
      </c>
      <c r="B5" s="14">
        <v>1.46</v>
      </c>
      <c r="C5" s="13"/>
      <c r="D5" s="13"/>
      <c r="I5" s="13"/>
    </row>
    <row r="6" ht="14.25" customHeight="1">
      <c r="A6" s="24" t="s">
        <v>36</v>
      </c>
      <c r="B6" s="22">
        <f>B3+B5*(B4)</f>
        <v>0.1072</v>
      </c>
      <c r="C6" s="25"/>
      <c r="D6" s="26"/>
      <c r="I6" s="13"/>
    </row>
    <row r="7" ht="14.25" customHeight="1">
      <c r="A7" s="13" t="s">
        <v>37</v>
      </c>
      <c r="C7" s="13"/>
      <c r="D7" s="13"/>
      <c r="I7" s="13"/>
    </row>
    <row r="8" ht="14.25" customHeight="1">
      <c r="A8" s="13" t="s">
        <v>38</v>
      </c>
      <c r="I8" s="13"/>
    </row>
    <row r="9" ht="14.25" customHeight="1">
      <c r="D9" s="14" t="s">
        <v>39</v>
      </c>
      <c r="E9" s="27">
        <v>0.21</v>
      </c>
      <c r="G9" s="22"/>
    </row>
    <row r="10" ht="14.25" customHeight="1">
      <c r="A10" s="21" t="s">
        <v>40</v>
      </c>
      <c r="G10" s="22"/>
    </row>
    <row r="11" ht="14.25" customHeight="1">
      <c r="A11" s="28"/>
      <c r="B11" s="28" t="s">
        <v>41</v>
      </c>
      <c r="C11" s="28" t="s">
        <v>42</v>
      </c>
    </row>
    <row r="12" ht="14.25" customHeight="1">
      <c r="A12" s="6" t="s">
        <v>43</v>
      </c>
      <c r="B12" s="29">
        <v>0.225</v>
      </c>
      <c r="C12" s="25">
        <v>0.0448</v>
      </c>
      <c r="D12" s="14" t="s">
        <v>44</v>
      </c>
    </row>
    <row r="13" ht="14.25" customHeight="1">
      <c r="A13" s="6" t="s">
        <v>45</v>
      </c>
      <c r="B13" s="29">
        <v>0.775</v>
      </c>
      <c r="C13" s="22">
        <f>B6</f>
        <v>0.1072</v>
      </c>
    </row>
    <row r="14" ht="14.25" customHeight="1">
      <c r="A14" s="30" t="s">
        <v>46</v>
      </c>
      <c r="B14" s="31">
        <f>B12*C12*(1-E9)+B13*C13</f>
        <v>0.0910432</v>
      </c>
      <c r="C14" s="3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8.63"/>
    <col customWidth="1" min="3" max="26" width="7.63"/>
  </cols>
  <sheetData>
    <row r="1" ht="14.25" customHeight="1">
      <c r="A1" s="3"/>
      <c r="B1" s="3"/>
      <c r="C1" s="3"/>
      <c r="D1" s="3"/>
      <c r="E1" s="3"/>
      <c r="F1" s="3"/>
      <c r="G1" s="3"/>
      <c r="H1" s="13"/>
    </row>
    <row r="2" ht="14.25" customHeight="1">
      <c r="A2" s="5" t="s">
        <v>47</v>
      </c>
      <c r="B2" s="4">
        <v>2018.0</v>
      </c>
      <c r="C2" s="4">
        <v>2019.0</v>
      </c>
      <c r="D2" s="4">
        <v>2020.0</v>
      </c>
      <c r="E2" s="4">
        <v>2021.0</v>
      </c>
      <c r="F2" s="4">
        <v>2022.0</v>
      </c>
      <c r="G2" s="4">
        <v>2023.0</v>
      </c>
      <c r="H2" s="13"/>
      <c r="I2" s="13" t="s">
        <v>48</v>
      </c>
      <c r="J2" s="25">
        <v>0.091</v>
      </c>
    </row>
    <row r="3" ht="14.25" customHeight="1">
      <c r="A3" s="6" t="s">
        <v>30</v>
      </c>
      <c r="C3" s="8">
        <v>29.867450000000005</v>
      </c>
      <c r="D3" s="8">
        <v>30.162072500000026</v>
      </c>
      <c r="E3" s="7">
        <v>31.00051128125</v>
      </c>
      <c r="F3" s="8">
        <v>31.959672548906255</v>
      </c>
      <c r="G3" s="7">
        <v>32.6</v>
      </c>
      <c r="H3" s="32"/>
    </row>
    <row r="4" ht="14.25" customHeight="1">
      <c r="A4" s="13" t="s">
        <v>49</v>
      </c>
      <c r="B4" s="8"/>
      <c r="C4" s="8"/>
      <c r="D4" s="8"/>
      <c r="E4" s="8"/>
      <c r="F4" s="8"/>
      <c r="G4" s="8">
        <f>G3*(1+3%)/(J2-3%)</f>
        <v>550.4590164</v>
      </c>
      <c r="H4" s="32"/>
    </row>
    <row r="5" ht="14.25" customHeight="1">
      <c r="A5" s="13" t="s">
        <v>50</v>
      </c>
      <c r="B5" s="7">
        <v>-410.0</v>
      </c>
      <c r="C5" s="8"/>
      <c r="D5" s="8"/>
      <c r="E5" s="8"/>
      <c r="F5" s="8"/>
      <c r="G5" s="8"/>
      <c r="H5" s="32"/>
    </row>
    <row r="6" ht="14.25" customHeight="1">
      <c r="A6" s="13" t="s">
        <v>51</v>
      </c>
      <c r="B6" s="8">
        <f t="shared" ref="B6:G6" si="1">SUM(B3:B5)</f>
        <v>-410</v>
      </c>
      <c r="C6" s="8">
        <f t="shared" si="1"/>
        <v>29.86745</v>
      </c>
      <c r="D6" s="8">
        <f t="shared" si="1"/>
        <v>30.1620725</v>
      </c>
      <c r="E6" s="8">
        <f t="shared" si="1"/>
        <v>31.00051128</v>
      </c>
      <c r="F6" s="8">
        <f t="shared" si="1"/>
        <v>31.95967255</v>
      </c>
      <c r="G6" s="8">
        <f t="shared" si="1"/>
        <v>583.0590164</v>
      </c>
      <c r="H6" s="33"/>
      <c r="I6" s="8"/>
    </row>
    <row r="7" ht="14.25" customHeight="1">
      <c r="A7" s="24" t="s">
        <v>52</v>
      </c>
      <c r="B7" s="34">
        <f t="array" ref="B7">NPV(J2,C6:G6)+B6</f>
        <v>66.36180423</v>
      </c>
      <c r="C7" s="35"/>
      <c r="D7" s="35"/>
      <c r="E7" s="35"/>
      <c r="F7" s="35"/>
      <c r="G7" s="35"/>
      <c r="H7" s="13"/>
    </row>
    <row r="8" ht="14.25" customHeight="1"/>
    <row r="9" ht="14.25" customHeight="1">
      <c r="A9" s="6" t="s">
        <v>53</v>
      </c>
    </row>
    <row r="10" ht="14.25" customHeight="1">
      <c r="A10" s="6" t="s">
        <v>54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2019-08-14T23:16:25Z</dcterms:created>
  <dc:creator>xiaoyanx</dc:creator>
</cp:coreProperties>
</file>