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6" rupBuild="24816"/>
  <workbookPr showInkAnnotation="0" autoCompressPictures="0"/>
  <bookViews>
    <workbookView xWindow="1540" yWindow="0" windowWidth="25600" windowHeight="14240" tabRatio="500"/>
  </bookViews>
  <sheets>
    <sheet name="Sheet1" sheetId="1" r:id="rId1"/>
  </sheets>
  <externalReferences>
    <externalReference r:id="rId2"/>
    <externalReference r:id="rId3"/>
    <externalReference r:id="rId4"/>
    <externalReference r:id="rId5"/>
  </externalReferenc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X154" i="1" l="1"/>
  <c r="Y154" i="1"/>
  <c r="Z154" i="1"/>
  <c r="Q154" i="1"/>
  <c r="R154" i="1"/>
  <c r="S154" i="1"/>
  <c r="T154" i="1"/>
  <c r="P154" i="1"/>
  <c r="N154" i="1"/>
  <c r="L154" i="1"/>
  <c r="J154" i="1"/>
  <c r="I154" i="1"/>
  <c r="G154" i="1"/>
  <c r="F154" i="1"/>
  <c r="C154" i="1"/>
  <c r="B154" i="1"/>
  <c r="X153" i="1"/>
  <c r="Y153" i="1"/>
  <c r="Z153" i="1"/>
  <c r="Q153" i="1"/>
  <c r="R153" i="1"/>
  <c r="S153" i="1"/>
  <c r="T153" i="1"/>
  <c r="P153" i="1"/>
  <c r="N153" i="1"/>
  <c r="L153" i="1"/>
  <c r="J153" i="1"/>
  <c r="I153" i="1"/>
  <c r="G153" i="1"/>
  <c r="F153" i="1"/>
  <c r="C153" i="1"/>
  <c r="B153" i="1"/>
  <c r="X152" i="1"/>
  <c r="Y152" i="1"/>
  <c r="Z152" i="1"/>
  <c r="Q152" i="1"/>
  <c r="R152" i="1"/>
  <c r="S152" i="1"/>
  <c r="T152" i="1"/>
  <c r="P152" i="1"/>
  <c r="N152" i="1"/>
  <c r="L152" i="1"/>
  <c r="J152" i="1"/>
  <c r="I152" i="1"/>
  <c r="G152" i="1"/>
  <c r="F152" i="1"/>
  <c r="C152" i="1"/>
  <c r="B152" i="1"/>
  <c r="X151" i="1"/>
  <c r="Y151" i="1"/>
  <c r="Z151" i="1"/>
  <c r="Q151" i="1"/>
  <c r="R151" i="1"/>
  <c r="S151" i="1"/>
  <c r="T151" i="1"/>
  <c r="P151" i="1"/>
  <c r="N151" i="1"/>
  <c r="L151" i="1"/>
  <c r="J151" i="1"/>
  <c r="I151" i="1"/>
  <c r="G151" i="1"/>
  <c r="F151" i="1"/>
  <c r="C151" i="1"/>
  <c r="B151" i="1"/>
  <c r="X150" i="1"/>
  <c r="Y150" i="1"/>
  <c r="Z150" i="1"/>
  <c r="Q150" i="1"/>
  <c r="R150" i="1"/>
  <c r="S150" i="1"/>
  <c r="T150" i="1"/>
  <c r="P150" i="1"/>
  <c r="N150" i="1"/>
  <c r="L150" i="1"/>
  <c r="J150" i="1"/>
  <c r="I150" i="1"/>
  <c r="G150" i="1"/>
  <c r="F150" i="1"/>
  <c r="C150" i="1"/>
  <c r="B150" i="1"/>
  <c r="X149" i="1"/>
  <c r="Y149" i="1"/>
  <c r="Z149" i="1"/>
  <c r="Q149" i="1"/>
  <c r="R149" i="1"/>
  <c r="S149" i="1"/>
  <c r="T149" i="1"/>
  <c r="P149" i="1"/>
  <c r="N149" i="1"/>
  <c r="L149" i="1"/>
  <c r="J149" i="1"/>
  <c r="I149" i="1"/>
  <c r="G149" i="1"/>
  <c r="F149" i="1"/>
  <c r="C149" i="1"/>
  <c r="B149" i="1"/>
  <c r="X148" i="1"/>
  <c r="Y148" i="1"/>
  <c r="Z148" i="1"/>
  <c r="Q148" i="1"/>
  <c r="R148" i="1"/>
  <c r="S148" i="1"/>
  <c r="T148" i="1"/>
  <c r="P148" i="1"/>
  <c r="N148" i="1"/>
  <c r="L148" i="1"/>
  <c r="J148" i="1"/>
  <c r="I148" i="1"/>
  <c r="G148" i="1"/>
  <c r="F148" i="1"/>
  <c r="C148" i="1"/>
  <c r="B148" i="1"/>
  <c r="X147" i="1"/>
  <c r="Y147" i="1"/>
  <c r="Z147" i="1"/>
  <c r="Q147" i="1"/>
  <c r="R147" i="1"/>
  <c r="S147" i="1"/>
  <c r="T147" i="1"/>
  <c r="P147" i="1"/>
  <c r="N147" i="1"/>
  <c r="L147" i="1"/>
  <c r="J147" i="1"/>
  <c r="I147" i="1"/>
  <c r="G147" i="1"/>
  <c r="F147" i="1"/>
  <c r="C147" i="1"/>
  <c r="B147" i="1"/>
  <c r="X146" i="1"/>
  <c r="Y146" i="1"/>
  <c r="Z146" i="1"/>
  <c r="Q146" i="1"/>
  <c r="R146" i="1"/>
  <c r="S146" i="1"/>
  <c r="T146" i="1"/>
  <c r="P146" i="1"/>
  <c r="N146" i="1"/>
  <c r="L146" i="1"/>
  <c r="J146" i="1"/>
  <c r="I146" i="1"/>
  <c r="G146" i="1"/>
  <c r="F146" i="1"/>
  <c r="C146" i="1"/>
  <c r="B146" i="1"/>
  <c r="X145" i="1"/>
  <c r="Y145" i="1"/>
  <c r="Z145" i="1"/>
  <c r="Q145" i="1"/>
  <c r="R145" i="1"/>
  <c r="S145" i="1"/>
  <c r="T145" i="1"/>
  <c r="P145" i="1"/>
  <c r="N145" i="1"/>
  <c r="L145" i="1"/>
  <c r="J145" i="1"/>
  <c r="I145" i="1"/>
  <c r="G145" i="1"/>
  <c r="F145" i="1"/>
  <c r="C145" i="1"/>
  <c r="B145" i="1"/>
  <c r="X144" i="1"/>
  <c r="Y144" i="1"/>
  <c r="Z144" i="1"/>
  <c r="Q144" i="1"/>
  <c r="R144" i="1"/>
  <c r="S144" i="1"/>
  <c r="T144" i="1"/>
  <c r="P144" i="1"/>
  <c r="N144" i="1"/>
  <c r="L144" i="1"/>
  <c r="J144" i="1"/>
  <c r="I144" i="1"/>
  <c r="G144" i="1"/>
  <c r="F144" i="1"/>
  <c r="C144" i="1"/>
  <c r="B144" i="1"/>
  <c r="X143" i="1"/>
  <c r="Y143" i="1"/>
  <c r="Z143" i="1"/>
  <c r="Q143" i="1"/>
  <c r="R143" i="1"/>
  <c r="S143" i="1"/>
  <c r="T143" i="1"/>
  <c r="P143" i="1"/>
  <c r="N143" i="1"/>
  <c r="L143" i="1"/>
  <c r="J143" i="1"/>
  <c r="I143" i="1"/>
  <c r="G143" i="1"/>
  <c r="F143" i="1"/>
  <c r="C143" i="1"/>
  <c r="B143" i="1"/>
  <c r="X142" i="1"/>
  <c r="Y142" i="1"/>
  <c r="Z142" i="1"/>
  <c r="Q142" i="1"/>
  <c r="R142" i="1"/>
  <c r="S142" i="1"/>
  <c r="T142" i="1"/>
  <c r="P142" i="1"/>
  <c r="N142" i="1"/>
  <c r="L142" i="1"/>
  <c r="J142" i="1"/>
  <c r="I142" i="1"/>
  <c r="G142" i="1"/>
  <c r="F142" i="1"/>
  <c r="C142" i="1"/>
  <c r="B142" i="1"/>
  <c r="X141" i="1"/>
  <c r="Y141" i="1"/>
  <c r="Z141" i="1"/>
  <c r="Q141" i="1"/>
  <c r="R141" i="1"/>
  <c r="S141" i="1"/>
  <c r="T141" i="1"/>
  <c r="P141" i="1"/>
  <c r="N141" i="1"/>
  <c r="L141" i="1"/>
  <c r="J141" i="1"/>
  <c r="I141" i="1"/>
  <c r="G141" i="1"/>
  <c r="F141" i="1"/>
  <c r="C141" i="1"/>
  <c r="B141" i="1"/>
  <c r="X140" i="1"/>
  <c r="Y140" i="1"/>
  <c r="Z140" i="1"/>
  <c r="Q140" i="1"/>
  <c r="R140" i="1"/>
  <c r="S140" i="1"/>
  <c r="T140" i="1"/>
  <c r="P140" i="1"/>
  <c r="N140" i="1"/>
  <c r="L140" i="1"/>
  <c r="J140" i="1"/>
  <c r="I140" i="1"/>
  <c r="G140" i="1"/>
  <c r="F140" i="1"/>
  <c r="C140" i="1"/>
  <c r="B140" i="1"/>
  <c r="X139" i="1"/>
  <c r="Y139" i="1"/>
  <c r="Z139" i="1"/>
  <c r="Q139" i="1"/>
  <c r="R139" i="1"/>
  <c r="S139" i="1"/>
  <c r="T139" i="1"/>
  <c r="P139" i="1"/>
  <c r="N139" i="1"/>
  <c r="L139" i="1"/>
  <c r="J139" i="1"/>
  <c r="I139" i="1"/>
  <c r="G139" i="1"/>
  <c r="F139" i="1"/>
  <c r="C139" i="1"/>
  <c r="B139" i="1"/>
  <c r="X138" i="1"/>
  <c r="Y138" i="1"/>
  <c r="Z138" i="1"/>
  <c r="Q138" i="1"/>
  <c r="R138" i="1"/>
  <c r="S138" i="1"/>
  <c r="T138" i="1"/>
  <c r="P138" i="1"/>
  <c r="N138" i="1"/>
  <c r="L138" i="1"/>
  <c r="J138" i="1"/>
  <c r="I138" i="1"/>
  <c r="G138" i="1"/>
  <c r="F138" i="1"/>
  <c r="C138" i="1"/>
  <c r="B138" i="1"/>
  <c r="X137" i="1"/>
  <c r="Y137" i="1"/>
  <c r="Z137" i="1"/>
  <c r="Q137" i="1"/>
  <c r="R137" i="1"/>
  <c r="S137" i="1"/>
  <c r="T137" i="1"/>
  <c r="P137" i="1"/>
  <c r="N137" i="1"/>
  <c r="L137" i="1"/>
  <c r="J137" i="1"/>
  <c r="I137" i="1"/>
  <c r="G137" i="1"/>
  <c r="F137" i="1"/>
  <c r="C137" i="1"/>
  <c r="B137" i="1"/>
  <c r="X136" i="1"/>
  <c r="Y136" i="1"/>
  <c r="Z136" i="1"/>
  <c r="Q136" i="1"/>
  <c r="R136" i="1"/>
  <c r="S136" i="1"/>
  <c r="T136" i="1"/>
  <c r="P136" i="1"/>
  <c r="N136" i="1"/>
  <c r="L136" i="1"/>
  <c r="J136" i="1"/>
  <c r="I136" i="1"/>
  <c r="G136" i="1"/>
  <c r="F136" i="1"/>
  <c r="C136" i="1"/>
  <c r="B136" i="1"/>
  <c r="X135" i="1"/>
  <c r="Y135" i="1"/>
  <c r="Z135" i="1"/>
  <c r="Q135" i="1"/>
  <c r="R135" i="1"/>
  <c r="S135" i="1"/>
  <c r="T135" i="1"/>
  <c r="P135" i="1"/>
  <c r="N135" i="1"/>
  <c r="L135" i="1"/>
  <c r="J135" i="1"/>
  <c r="I135" i="1"/>
  <c r="G135" i="1"/>
  <c r="F135" i="1"/>
  <c r="C135" i="1"/>
  <c r="B135" i="1"/>
  <c r="X134" i="1"/>
  <c r="Y134" i="1"/>
  <c r="Z134" i="1"/>
  <c r="Q134" i="1"/>
  <c r="R134" i="1"/>
  <c r="S134" i="1"/>
  <c r="T134" i="1"/>
  <c r="P134" i="1"/>
  <c r="N134" i="1"/>
  <c r="L134" i="1"/>
  <c r="J134" i="1"/>
  <c r="I134" i="1"/>
  <c r="G134" i="1"/>
  <c r="F134" i="1"/>
  <c r="C134" i="1"/>
  <c r="B134" i="1"/>
  <c r="X133" i="1"/>
  <c r="Y133" i="1"/>
  <c r="Z133" i="1"/>
  <c r="Q133" i="1"/>
  <c r="R133" i="1"/>
  <c r="S133" i="1"/>
  <c r="T133" i="1"/>
  <c r="P133" i="1"/>
  <c r="N133" i="1"/>
  <c r="L133" i="1"/>
  <c r="J133" i="1"/>
  <c r="I133" i="1"/>
  <c r="G133" i="1"/>
  <c r="F133" i="1"/>
  <c r="C133" i="1"/>
  <c r="B133" i="1"/>
  <c r="X132" i="1"/>
  <c r="Y132" i="1"/>
  <c r="Z132" i="1"/>
  <c r="Q132" i="1"/>
  <c r="R132" i="1"/>
  <c r="S132" i="1"/>
  <c r="T132" i="1"/>
  <c r="P132" i="1"/>
  <c r="N132" i="1"/>
  <c r="L132" i="1"/>
  <c r="J132" i="1"/>
  <c r="I132" i="1"/>
  <c r="G132" i="1"/>
  <c r="F132" i="1"/>
  <c r="C132" i="1"/>
  <c r="B132" i="1"/>
  <c r="X131" i="1"/>
  <c r="Y131" i="1"/>
  <c r="Z131" i="1"/>
  <c r="Q131" i="1"/>
  <c r="R131" i="1"/>
  <c r="S131" i="1"/>
  <c r="T131" i="1"/>
  <c r="P131" i="1"/>
  <c r="N131" i="1"/>
  <c r="L131" i="1"/>
  <c r="J131" i="1"/>
  <c r="I131" i="1"/>
  <c r="G131" i="1"/>
  <c r="F131" i="1"/>
  <c r="C131" i="1"/>
  <c r="B131" i="1"/>
  <c r="X130" i="1"/>
  <c r="Y130" i="1"/>
  <c r="Z130" i="1"/>
  <c r="Q130" i="1"/>
  <c r="R130" i="1"/>
  <c r="S130" i="1"/>
  <c r="T130" i="1"/>
  <c r="P130" i="1"/>
  <c r="N130" i="1"/>
  <c r="L130" i="1"/>
  <c r="J130" i="1"/>
  <c r="I130" i="1"/>
  <c r="G130" i="1"/>
  <c r="F130" i="1"/>
  <c r="C130" i="1"/>
  <c r="B130" i="1"/>
  <c r="X129" i="1"/>
  <c r="Y129" i="1"/>
  <c r="Z129" i="1"/>
  <c r="Q129" i="1"/>
  <c r="R129" i="1"/>
  <c r="S129" i="1"/>
  <c r="T129" i="1"/>
  <c r="P129" i="1"/>
  <c r="N129" i="1"/>
  <c r="L129" i="1"/>
  <c r="J129" i="1"/>
  <c r="I129" i="1"/>
  <c r="G129" i="1"/>
  <c r="F129" i="1"/>
  <c r="C129" i="1"/>
  <c r="B129" i="1"/>
  <c r="X128" i="1"/>
  <c r="Y128" i="1"/>
  <c r="Z128" i="1"/>
  <c r="Q128" i="1"/>
  <c r="R128" i="1"/>
  <c r="S128" i="1"/>
  <c r="T128" i="1"/>
  <c r="P128" i="1"/>
  <c r="N128" i="1"/>
  <c r="L128" i="1"/>
  <c r="J128" i="1"/>
  <c r="I128" i="1"/>
  <c r="G128" i="1"/>
  <c r="F128" i="1"/>
  <c r="C128" i="1"/>
  <c r="B128" i="1"/>
  <c r="X127" i="1"/>
  <c r="Y127" i="1"/>
  <c r="Z127" i="1"/>
  <c r="Q127" i="1"/>
  <c r="R127" i="1"/>
  <c r="S127" i="1"/>
  <c r="T127" i="1"/>
  <c r="P127" i="1"/>
  <c r="N127" i="1"/>
  <c r="L127" i="1"/>
  <c r="J127" i="1"/>
  <c r="I127" i="1"/>
  <c r="G127" i="1"/>
  <c r="F127" i="1"/>
  <c r="C127" i="1"/>
  <c r="B127" i="1"/>
  <c r="X126" i="1"/>
  <c r="Y126" i="1"/>
  <c r="Z126" i="1"/>
  <c r="Q126" i="1"/>
  <c r="R126" i="1"/>
  <c r="S126" i="1"/>
  <c r="T126" i="1"/>
  <c r="P126" i="1"/>
  <c r="N126" i="1"/>
  <c r="L126" i="1"/>
  <c r="J126" i="1"/>
  <c r="I126" i="1"/>
  <c r="G126" i="1"/>
  <c r="F126" i="1"/>
  <c r="C126" i="1"/>
  <c r="B126" i="1"/>
  <c r="X125" i="1"/>
  <c r="Y125" i="1"/>
  <c r="Z125" i="1"/>
  <c r="Q125" i="1"/>
  <c r="R125" i="1"/>
  <c r="S125" i="1"/>
  <c r="T125" i="1"/>
  <c r="P125" i="1"/>
  <c r="N125" i="1"/>
  <c r="L125" i="1"/>
  <c r="J125" i="1"/>
  <c r="I125" i="1"/>
  <c r="G125" i="1"/>
  <c r="F125" i="1"/>
  <c r="C125" i="1"/>
  <c r="B125" i="1"/>
  <c r="X124" i="1"/>
  <c r="Y124" i="1"/>
  <c r="Z124" i="1"/>
  <c r="Q124" i="1"/>
  <c r="R124" i="1"/>
  <c r="S124" i="1"/>
  <c r="T124" i="1"/>
  <c r="P124" i="1"/>
  <c r="N124" i="1"/>
  <c r="L124" i="1"/>
  <c r="J124" i="1"/>
  <c r="I124" i="1"/>
  <c r="G124" i="1"/>
  <c r="F124" i="1"/>
  <c r="C124" i="1"/>
  <c r="B124" i="1"/>
  <c r="X123" i="1"/>
  <c r="Y123" i="1"/>
  <c r="Z123" i="1"/>
  <c r="Q123" i="1"/>
  <c r="R123" i="1"/>
  <c r="S123" i="1"/>
  <c r="T123" i="1"/>
  <c r="P123" i="1"/>
  <c r="N123" i="1"/>
  <c r="L123" i="1"/>
  <c r="J123" i="1"/>
  <c r="I123" i="1"/>
  <c r="G123" i="1"/>
  <c r="F123" i="1"/>
  <c r="C123" i="1"/>
  <c r="B123" i="1"/>
  <c r="X122" i="1"/>
  <c r="Y122" i="1"/>
  <c r="Z122" i="1"/>
  <c r="Q122" i="1"/>
  <c r="R122" i="1"/>
  <c r="S122" i="1"/>
  <c r="T122" i="1"/>
  <c r="P122" i="1"/>
  <c r="N122" i="1"/>
  <c r="L122" i="1"/>
  <c r="J122" i="1"/>
  <c r="I122" i="1"/>
  <c r="G122" i="1"/>
  <c r="F122" i="1"/>
  <c r="C122" i="1"/>
  <c r="B122" i="1"/>
  <c r="X121" i="1"/>
  <c r="Y121" i="1"/>
  <c r="Z121" i="1"/>
  <c r="Q121" i="1"/>
  <c r="R121" i="1"/>
  <c r="S121" i="1"/>
  <c r="T121" i="1"/>
  <c r="P121" i="1"/>
  <c r="N121" i="1"/>
  <c r="L121" i="1"/>
  <c r="J121" i="1"/>
  <c r="I121" i="1"/>
  <c r="G121" i="1"/>
  <c r="F121" i="1"/>
  <c r="C121" i="1"/>
  <c r="B121" i="1"/>
  <c r="X120" i="1"/>
  <c r="Y120" i="1"/>
  <c r="Z120" i="1"/>
  <c r="Q120" i="1"/>
  <c r="R120" i="1"/>
  <c r="S120" i="1"/>
  <c r="T120" i="1"/>
  <c r="P120" i="1"/>
  <c r="N120" i="1"/>
  <c r="L120" i="1"/>
  <c r="J120" i="1"/>
  <c r="I120" i="1"/>
  <c r="G120" i="1"/>
  <c r="F120" i="1"/>
  <c r="C120" i="1"/>
  <c r="B120" i="1"/>
  <c r="X119" i="1"/>
  <c r="Y119" i="1"/>
  <c r="Z119" i="1"/>
  <c r="Q119" i="1"/>
  <c r="R119" i="1"/>
  <c r="S119" i="1"/>
  <c r="T119" i="1"/>
  <c r="P119" i="1"/>
  <c r="N119" i="1"/>
  <c r="L119" i="1"/>
  <c r="J119" i="1"/>
  <c r="I119" i="1"/>
  <c r="G119" i="1"/>
  <c r="F119" i="1"/>
  <c r="C119" i="1"/>
  <c r="B119" i="1"/>
  <c r="X118" i="1"/>
  <c r="Y118" i="1"/>
  <c r="Z118" i="1"/>
  <c r="Q118" i="1"/>
  <c r="R118" i="1"/>
  <c r="S118" i="1"/>
  <c r="T118" i="1"/>
  <c r="P118" i="1"/>
  <c r="N118" i="1"/>
  <c r="L118" i="1"/>
  <c r="J118" i="1"/>
  <c r="I118" i="1"/>
  <c r="G118" i="1"/>
  <c r="F118" i="1"/>
  <c r="C118" i="1"/>
  <c r="B118" i="1"/>
  <c r="X117" i="1"/>
  <c r="Y117" i="1"/>
  <c r="Z117" i="1"/>
  <c r="Q117" i="1"/>
  <c r="R117" i="1"/>
  <c r="S117" i="1"/>
  <c r="T117" i="1"/>
  <c r="P117" i="1"/>
  <c r="N117" i="1"/>
  <c r="L117" i="1"/>
  <c r="J117" i="1"/>
  <c r="I117" i="1"/>
  <c r="G117" i="1"/>
  <c r="F117" i="1"/>
  <c r="C117" i="1"/>
  <c r="B117" i="1"/>
  <c r="X116" i="1"/>
  <c r="Y116" i="1"/>
  <c r="Z116" i="1"/>
  <c r="Q116" i="1"/>
  <c r="R116" i="1"/>
  <c r="S116" i="1"/>
  <c r="T116" i="1"/>
  <c r="P116" i="1"/>
  <c r="N116" i="1"/>
  <c r="L116" i="1"/>
  <c r="J116" i="1"/>
  <c r="I116" i="1"/>
  <c r="G116" i="1"/>
  <c r="F116" i="1"/>
  <c r="C116" i="1"/>
  <c r="B116" i="1"/>
  <c r="X115" i="1"/>
  <c r="Y115" i="1"/>
  <c r="Z115" i="1"/>
  <c r="Q115" i="1"/>
  <c r="R115" i="1"/>
  <c r="S115" i="1"/>
  <c r="T115" i="1"/>
  <c r="P115" i="1"/>
  <c r="N115" i="1"/>
  <c r="L115" i="1"/>
  <c r="J115" i="1"/>
  <c r="I115" i="1"/>
  <c r="G115" i="1"/>
  <c r="F115" i="1"/>
  <c r="C115" i="1"/>
  <c r="B115" i="1"/>
  <c r="X114" i="1"/>
  <c r="Y114" i="1"/>
  <c r="Z114" i="1"/>
  <c r="Q114" i="1"/>
  <c r="R114" i="1"/>
  <c r="S114" i="1"/>
  <c r="T114" i="1"/>
  <c r="P114" i="1"/>
  <c r="N114" i="1"/>
  <c r="L114" i="1"/>
  <c r="J114" i="1"/>
  <c r="I114" i="1"/>
  <c r="G114" i="1"/>
  <c r="F114" i="1"/>
  <c r="C114" i="1"/>
  <c r="B114" i="1"/>
  <c r="X113" i="1"/>
  <c r="Y113" i="1"/>
  <c r="Z113" i="1"/>
  <c r="Q113" i="1"/>
  <c r="R113" i="1"/>
  <c r="S113" i="1"/>
  <c r="T113" i="1"/>
  <c r="P113" i="1"/>
  <c r="N113" i="1"/>
  <c r="L113" i="1"/>
  <c r="J113" i="1"/>
  <c r="I113" i="1"/>
  <c r="G113" i="1"/>
  <c r="F113" i="1"/>
  <c r="C113" i="1"/>
  <c r="B113" i="1"/>
  <c r="X112" i="1"/>
  <c r="Y112" i="1"/>
  <c r="Z112" i="1"/>
  <c r="Q112" i="1"/>
  <c r="R112" i="1"/>
  <c r="S112" i="1"/>
  <c r="T112" i="1"/>
  <c r="P112" i="1"/>
  <c r="N112" i="1"/>
  <c r="L112" i="1"/>
  <c r="J112" i="1"/>
  <c r="I112" i="1"/>
  <c r="G112" i="1"/>
  <c r="F112" i="1"/>
  <c r="C112" i="1"/>
  <c r="B112" i="1"/>
  <c r="X111" i="1"/>
  <c r="Y111" i="1"/>
  <c r="Z111" i="1"/>
  <c r="Q111" i="1"/>
  <c r="R111" i="1"/>
  <c r="S111" i="1"/>
  <c r="T111" i="1"/>
  <c r="P111" i="1"/>
  <c r="N111" i="1"/>
  <c r="L111" i="1"/>
  <c r="J111" i="1"/>
  <c r="I111" i="1"/>
  <c r="G111" i="1"/>
  <c r="F111" i="1"/>
  <c r="C111" i="1"/>
  <c r="B111" i="1"/>
  <c r="X110" i="1"/>
  <c r="Y110" i="1"/>
  <c r="Z110" i="1"/>
  <c r="Q110" i="1"/>
  <c r="R110" i="1"/>
  <c r="S110" i="1"/>
  <c r="T110" i="1"/>
  <c r="P110" i="1"/>
  <c r="N110" i="1"/>
  <c r="L110" i="1"/>
  <c r="J110" i="1"/>
  <c r="I110" i="1"/>
  <c r="G110" i="1"/>
  <c r="F110" i="1"/>
  <c r="C110" i="1"/>
  <c r="B110" i="1"/>
  <c r="X109" i="1"/>
  <c r="Y109" i="1"/>
  <c r="Z109" i="1"/>
  <c r="Q109" i="1"/>
  <c r="R109" i="1"/>
  <c r="S109" i="1"/>
  <c r="T109" i="1"/>
  <c r="P109" i="1"/>
  <c r="N109" i="1"/>
  <c r="L109" i="1"/>
  <c r="J109" i="1"/>
  <c r="I109" i="1"/>
  <c r="G109" i="1"/>
  <c r="F109" i="1"/>
  <c r="C109" i="1"/>
  <c r="B109" i="1"/>
  <c r="X108" i="1"/>
  <c r="Y108" i="1"/>
  <c r="Z108" i="1"/>
  <c r="Q108" i="1"/>
  <c r="R108" i="1"/>
  <c r="S108" i="1"/>
  <c r="T108" i="1"/>
  <c r="P108" i="1"/>
  <c r="N108" i="1"/>
  <c r="L108" i="1"/>
  <c r="J108" i="1"/>
  <c r="I108" i="1"/>
  <c r="G108" i="1"/>
  <c r="F108" i="1"/>
  <c r="C108" i="1"/>
  <c r="B108" i="1"/>
  <c r="X107" i="1"/>
  <c r="Y107" i="1"/>
  <c r="Z107" i="1"/>
  <c r="Q107" i="1"/>
  <c r="R107" i="1"/>
  <c r="S107" i="1"/>
  <c r="T107" i="1"/>
  <c r="P107" i="1"/>
  <c r="N107" i="1"/>
  <c r="L107" i="1"/>
  <c r="J107" i="1"/>
  <c r="I107" i="1"/>
  <c r="G107" i="1"/>
  <c r="F107" i="1"/>
  <c r="C107" i="1"/>
  <c r="B107" i="1"/>
  <c r="X106" i="1"/>
  <c r="Y106" i="1"/>
  <c r="Z106" i="1"/>
  <c r="Q106" i="1"/>
  <c r="R106" i="1"/>
  <c r="S106" i="1"/>
  <c r="T106" i="1"/>
  <c r="P106" i="1"/>
  <c r="N106" i="1"/>
  <c r="L106" i="1"/>
  <c r="J106" i="1"/>
  <c r="I106" i="1"/>
  <c r="G106" i="1"/>
  <c r="F106" i="1"/>
  <c r="C106" i="1"/>
  <c r="B106" i="1"/>
  <c r="X105" i="1"/>
  <c r="Y105" i="1"/>
  <c r="Z105" i="1"/>
  <c r="Q105" i="1"/>
  <c r="R105" i="1"/>
  <c r="S105" i="1"/>
  <c r="T105" i="1"/>
  <c r="P105" i="1"/>
  <c r="N105" i="1"/>
  <c r="L105" i="1"/>
  <c r="J105" i="1"/>
  <c r="I105" i="1"/>
  <c r="G105" i="1"/>
  <c r="F105" i="1"/>
  <c r="C105" i="1"/>
  <c r="B105" i="1"/>
  <c r="X104" i="1"/>
  <c r="Y104" i="1"/>
  <c r="Z104" i="1"/>
  <c r="Q104" i="1"/>
  <c r="R104" i="1"/>
  <c r="S104" i="1"/>
  <c r="T104" i="1"/>
  <c r="P104" i="1"/>
  <c r="N104" i="1"/>
  <c r="L104" i="1"/>
  <c r="J104" i="1"/>
  <c r="I104" i="1"/>
  <c r="G104" i="1"/>
  <c r="F104" i="1"/>
  <c r="C104" i="1"/>
  <c r="B104" i="1"/>
  <c r="X103" i="1"/>
  <c r="Y103" i="1"/>
  <c r="Z103" i="1"/>
  <c r="Q102" i="1"/>
  <c r="S102" i="1"/>
  <c r="T102" i="1"/>
  <c r="T103" i="1"/>
  <c r="S103" i="1"/>
  <c r="R103" i="1"/>
  <c r="Q103" i="1"/>
  <c r="P103" i="1"/>
  <c r="N103" i="1"/>
  <c r="L103" i="1"/>
  <c r="J103" i="1"/>
  <c r="I103" i="1"/>
  <c r="G103" i="1"/>
  <c r="F103" i="1"/>
  <c r="C103" i="1"/>
  <c r="B103" i="1"/>
  <c r="X102" i="1"/>
  <c r="Y102" i="1"/>
  <c r="Z102" i="1"/>
  <c r="L102" i="1"/>
  <c r="Q101" i="1"/>
  <c r="S101" i="1"/>
  <c r="T101" i="1"/>
  <c r="L101" i="1"/>
  <c r="Q100" i="1"/>
  <c r="S100" i="1"/>
  <c r="T100" i="1"/>
  <c r="L100" i="1"/>
  <c r="Q99" i="1"/>
  <c r="S99" i="1"/>
  <c r="T99" i="1"/>
  <c r="L99" i="1"/>
  <c r="Q98" i="1"/>
  <c r="S98" i="1"/>
  <c r="T98" i="1"/>
  <c r="Q97" i="1"/>
  <c r="S97" i="1"/>
  <c r="T97" i="1"/>
  <c r="Q96" i="1"/>
  <c r="S96" i="1"/>
  <c r="T96" i="1"/>
  <c r="Q95" i="1"/>
  <c r="S95" i="1"/>
  <c r="T95" i="1"/>
  <c r="Q94" i="1"/>
  <c r="S94" i="1"/>
  <c r="T94" i="1"/>
  <c r="Q93" i="1"/>
  <c r="S93" i="1"/>
  <c r="T93" i="1"/>
  <c r="Q92" i="1"/>
  <c r="S92" i="1"/>
  <c r="T92" i="1"/>
  <c r="Q91" i="1"/>
  <c r="S91" i="1"/>
  <c r="T91" i="1"/>
  <c r="Q90" i="1"/>
  <c r="S90" i="1"/>
  <c r="T90" i="1"/>
  <c r="Q89" i="1"/>
  <c r="S89" i="1"/>
  <c r="T89" i="1"/>
  <c r="Q88" i="1"/>
  <c r="S88" i="1"/>
  <c r="T88" i="1"/>
  <c r="Q87" i="1"/>
  <c r="S87" i="1"/>
  <c r="T87" i="1"/>
  <c r="Q86" i="1"/>
  <c r="S86" i="1"/>
  <c r="T86" i="1"/>
  <c r="Q85" i="1"/>
  <c r="S85" i="1"/>
  <c r="T85" i="1"/>
  <c r="Q84" i="1"/>
  <c r="S84" i="1"/>
  <c r="T84" i="1"/>
  <c r="Q83" i="1"/>
  <c r="S83" i="1"/>
  <c r="T83" i="1"/>
  <c r="D74" i="1"/>
  <c r="D75" i="1"/>
  <c r="D76" i="1"/>
  <c r="D77" i="1"/>
  <c r="D78" i="1"/>
  <c r="D79" i="1"/>
  <c r="D80" i="1"/>
  <c r="D81" i="1"/>
  <c r="D82" i="1"/>
  <c r="D83" i="1"/>
  <c r="Q82" i="1"/>
  <c r="S82" i="1"/>
  <c r="T82" i="1"/>
  <c r="Q81" i="1"/>
  <c r="S81" i="1"/>
  <c r="T81" i="1"/>
  <c r="Q80" i="1"/>
  <c r="S80" i="1"/>
  <c r="T80" i="1"/>
  <c r="Q79" i="1"/>
  <c r="S79" i="1"/>
  <c r="T79" i="1"/>
  <c r="Q78" i="1"/>
  <c r="S78" i="1"/>
  <c r="T78" i="1"/>
  <c r="Q77" i="1"/>
  <c r="S77" i="1"/>
  <c r="T77" i="1"/>
  <c r="Q76" i="1"/>
  <c r="S76" i="1"/>
  <c r="T76" i="1"/>
  <c r="Q75" i="1"/>
  <c r="S75" i="1"/>
  <c r="T75" i="1"/>
  <c r="Q74" i="1"/>
  <c r="S74" i="1"/>
  <c r="T74" i="1"/>
  <c r="Q73" i="1"/>
  <c r="S73" i="1"/>
  <c r="T73" i="1"/>
  <c r="Q72" i="1"/>
  <c r="S72" i="1"/>
  <c r="T72" i="1"/>
  <c r="Q71" i="1"/>
  <c r="S71" i="1"/>
  <c r="T71" i="1"/>
  <c r="Q70" i="1"/>
  <c r="S70" i="1"/>
  <c r="T70" i="1"/>
  <c r="Q69" i="1"/>
  <c r="S69" i="1"/>
  <c r="T69" i="1"/>
  <c r="S68" i="1"/>
  <c r="Q68" i="1"/>
  <c r="M68"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S67" i="1"/>
  <c r="Q67" i="1"/>
  <c r="M67" i="1"/>
  <c r="S66" i="1"/>
  <c r="Q66" i="1"/>
  <c r="M66" i="1"/>
  <c r="S65" i="1"/>
  <c r="Q65" i="1"/>
  <c r="M65" i="1"/>
  <c r="S64" i="1"/>
  <c r="Q64" i="1"/>
  <c r="M64" i="1"/>
  <c r="S63" i="1"/>
  <c r="Q63" i="1"/>
  <c r="N63" i="1"/>
  <c r="J63" i="1"/>
  <c r="S62" i="1"/>
  <c r="Q62" i="1"/>
  <c r="N62" i="1"/>
  <c r="J62" i="1"/>
  <c r="S61" i="1"/>
  <c r="Q61" i="1"/>
  <c r="N61" i="1"/>
  <c r="J61" i="1"/>
  <c r="S60" i="1"/>
  <c r="Q60" i="1"/>
  <c r="N60" i="1"/>
  <c r="J60" i="1"/>
  <c r="S59" i="1"/>
  <c r="Q59" i="1"/>
  <c r="N59" i="1"/>
  <c r="J59" i="1"/>
  <c r="S58" i="1"/>
  <c r="Q58" i="1"/>
  <c r="N58" i="1"/>
  <c r="J58" i="1"/>
  <c r="S57" i="1"/>
  <c r="Q57" i="1"/>
  <c r="N57" i="1"/>
  <c r="J57" i="1"/>
  <c r="S56" i="1"/>
  <c r="Q56" i="1"/>
  <c r="N56" i="1"/>
  <c r="J56" i="1"/>
  <c r="S55" i="1"/>
  <c r="Q55" i="1"/>
  <c r="N55" i="1"/>
  <c r="J55" i="1"/>
  <c r="S54" i="1"/>
  <c r="Q54" i="1"/>
  <c r="N54" i="1"/>
  <c r="J54" i="1"/>
  <c r="E50" i="1"/>
  <c r="E51" i="1"/>
  <c r="E52" i="1"/>
  <c r="E53" i="1"/>
  <c r="E54" i="1"/>
  <c r="Q53" i="1"/>
  <c r="N53" i="1"/>
  <c r="J53" i="1"/>
  <c r="B52" i="1"/>
  <c r="B53" i="1"/>
  <c r="Q52" i="1"/>
  <c r="N52" i="1"/>
  <c r="J52" i="1"/>
  <c r="Q51" i="1"/>
  <c r="N51" i="1"/>
  <c r="J51" i="1"/>
  <c r="Q50" i="1"/>
  <c r="N50" i="1"/>
  <c r="J50" i="1"/>
  <c r="Q49" i="1"/>
  <c r="N49" i="1"/>
  <c r="J49" i="1"/>
  <c r="Q48" i="1"/>
  <c r="N48" i="1"/>
  <c r="J48" i="1"/>
  <c r="E47" i="1"/>
  <c r="E48" i="1"/>
  <c r="Q47" i="1"/>
  <c r="N47" i="1"/>
  <c r="J47" i="1"/>
  <c r="Q46" i="1"/>
  <c r="N46" i="1"/>
  <c r="J46" i="1"/>
  <c r="Q45" i="1"/>
  <c r="N45" i="1"/>
  <c r="J45" i="1"/>
  <c r="E40" i="1"/>
  <c r="E41" i="1"/>
  <c r="E42" i="1"/>
  <c r="E43" i="1"/>
  <c r="E44" i="1"/>
  <c r="E45" i="1"/>
  <c r="Q44" i="1"/>
  <c r="N44" i="1"/>
  <c r="J44" i="1"/>
  <c r="Q43" i="1"/>
  <c r="N43" i="1"/>
  <c r="J43" i="1"/>
  <c r="Q42" i="1"/>
  <c r="N42" i="1"/>
  <c r="J42" i="1"/>
  <c r="Q41" i="1"/>
  <c r="N41" i="1"/>
  <c r="J41" i="1"/>
  <c r="Q40" i="1"/>
  <c r="N40" i="1"/>
  <c r="J40" i="1"/>
  <c r="Q39" i="1"/>
  <c r="N39" i="1"/>
  <c r="J39" i="1"/>
  <c r="Q38" i="1"/>
  <c r="N38" i="1"/>
  <c r="J38" i="1"/>
  <c r="E38" i="1"/>
  <c r="B38" i="1"/>
  <c r="Q37" i="1"/>
  <c r="N37" i="1"/>
  <c r="J37" i="1"/>
  <c r="E37" i="1"/>
  <c r="Q36" i="1"/>
  <c r="N36" i="1"/>
  <c r="J36" i="1"/>
  <c r="E36" i="1"/>
  <c r="B36" i="1"/>
  <c r="Q35" i="1"/>
  <c r="N35" i="1"/>
  <c r="J35" i="1"/>
  <c r="E35" i="1"/>
  <c r="Q34" i="1"/>
  <c r="N34" i="1"/>
  <c r="J34" i="1"/>
  <c r="E34" i="1"/>
  <c r="Q33" i="1"/>
  <c r="N33" i="1"/>
  <c r="J33" i="1"/>
  <c r="E33" i="1"/>
  <c r="Q32" i="1"/>
  <c r="N32" i="1"/>
  <c r="J32" i="1"/>
  <c r="E32" i="1"/>
  <c r="B30" i="1"/>
  <c r="B31" i="1"/>
  <c r="B32" i="1"/>
  <c r="Q31" i="1"/>
  <c r="N31" i="1"/>
  <c r="J31" i="1"/>
  <c r="E31" i="1"/>
  <c r="Q30" i="1"/>
  <c r="N30" i="1"/>
  <c r="J30" i="1"/>
  <c r="E30" i="1"/>
  <c r="Q29" i="1"/>
  <c r="N29" i="1"/>
  <c r="J29" i="1"/>
  <c r="E29" i="1"/>
  <c r="Q28" i="1"/>
  <c r="E28" i="1"/>
  <c r="B24" i="1"/>
  <c r="B25" i="1"/>
  <c r="B26" i="1"/>
  <c r="B27" i="1"/>
  <c r="B28" i="1"/>
  <c r="Q27" i="1"/>
  <c r="E27" i="1"/>
  <c r="Q26" i="1"/>
  <c r="E26" i="1"/>
  <c r="Q25" i="1"/>
  <c r="E25" i="1"/>
  <c r="Q24" i="1"/>
  <c r="E24" i="1"/>
  <c r="Q23" i="1"/>
  <c r="E23" i="1"/>
  <c r="B14" i="1"/>
  <c r="B15" i="1"/>
  <c r="B16" i="1"/>
  <c r="B17" i="1"/>
  <c r="B18" i="1"/>
  <c r="B19" i="1"/>
  <c r="B20" i="1"/>
  <c r="B21" i="1"/>
  <c r="B22" i="1"/>
  <c r="B23" i="1"/>
  <c r="Q22" i="1"/>
  <c r="E22" i="1"/>
  <c r="Q21" i="1"/>
  <c r="E21" i="1"/>
  <c r="Q20" i="1"/>
  <c r="L19" i="1"/>
  <c r="L20" i="1"/>
  <c r="E20" i="1"/>
  <c r="Q19" i="1"/>
  <c r="E19" i="1"/>
  <c r="Q18" i="1"/>
  <c r="E18" i="1"/>
  <c r="Q17" i="1"/>
  <c r="L14" i="1"/>
  <c r="L15" i="1"/>
  <c r="L16" i="1"/>
  <c r="L17" i="1"/>
  <c r="E17" i="1"/>
  <c r="Q16" i="1"/>
  <c r="E16" i="1"/>
  <c r="Q15" i="1"/>
  <c r="E15" i="1"/>
  <c r="Q14" i="1"/>
  <c r="E14" i="1"/>
  <c r="Q13" i="1"/>
  <c r="E13" i="1"/>
  <c r="Q12" i="1"/>
  <c r="L9" i="1"/>
  <c r="L10" i="1"/>
  <c r="L11" i="1"/>
  <c r="L12" i="1"/>
  <c r="E12" i="1"/>
  <c r="Q11" i="1"/>
  <c r="E11" i="1"/>
  <c r="Q10" i="1"/>
  <c r="E10" i="1"/>
  <c r="Q9" i="1"/>
  <c r="E9" i="1"/>
  <c r="Q8" i="1"/>
  <c r="E8" i="1"/>
  <c r="Q7" i="1"/>
  <c r="L5" i="1"/>
  <c r="L6" i="1"/>
  <c r="L7" i="1"/>
  <c r="G5" i="1"/>
  <c r="G6" i="1"/>
  <c r="G7" i="1"/>
  <c r="F5" i="1"/>
  <c r="F6" i="1"/>
  <c r="F7" i="1"/>
  <c r="E7" i="1"/>
  <c r="Q6" i="1"/>
  <c r="E6" i="1"/>
  <c r="Q5" i="1"/>
  <c r="E5" i="1"/>
  <c r="S4" i="1"/>
  <c r="T4" i="1"/>
  <c r="Q4" i="1"/>
  <c r="E4" i="1"/>
</calcChain>
</file>

<file path=xl/comments1.xml><?xml version="1.0" encoding="utf-8"?>
<comments xmlns="http://schemas.openxmlformats.org/spreadsheetml/2006/main">
  <authors>
    <author>Ken Skog</author>
    <author>PCxx</author>
  </authors>
  <commentList>
    <comment ref="E104" authorId="0">
      <text>
        <r>
          <rPr>
            <b/>
            <sz val="10"/>
            <color indexed="81"/>
            <rFont val="Tahoma"/>
            <family val="2"/>
          </rPr>
          <t>Ken Skog:</t>
        </r>
        <r>
          <rPr>
            <sz val="10"/>
            <color indexed="81"/>
            <rFont val="Tahoma"/>
            <family val="2"/>
          </rPr>
          <t xml:space="preserve">
From panel_input_revised B84</t>
        </r>
      </text>
    </comment>
    <comment ref="P104" authorId="1">
      <text>
        <r>
          <rPr>
            <b/>
            <sz val="10"/>
            <color indexed="81"/>
            <rFont val="Tahoma"/>
            <family val="2"/>
          </rPr>
          <t>PCxx:</t>
        </r>
        <r>
          <rPr>
            <sz val="10"/>
            <color indexed="81"/>
            <rFont val="Tahoma"/>
            <family val="2"/>
          </rPr>
          <t xml:space="preserve">
No dependents
</t>
        </r>
      </text>
    </comment>
    <comment ref="U105" authorId="0">
      <text>
        <r>
          <rPr>
            <b/>
            <sz val="10"/>
            <color indexed="81"/>
            <rFont val="Tahoma"/>
            <family val="2"/>
          </rPr>
          <t>Ken Skog:</t>
        </r>
        <r>
          <rPr>
            <sz val="10"/>
            <color indexed="81"/>
            <rFont val="Tahoma"/>
            <family val="2"/>
          </rPr>
          <t xml:space="preserve">
From panel_input_revised.123 C108, D108, E108</t>
        </r>
      </text>
    </comment>
  </commentList>
</comments>
</file>

<file path=xl/sharedStrings.xml><?xml version="1.0" encoding="utf-8"?>
<sst xmlns="http://schemas.openxmlformats.org/spreadsheetml/2006/main" count="64" uniqueCount="52">
  <si>
    <t>Density = .52</t>
  </si>
  <si>
    <t>Density = .42</t>
  </si>
  <si>
    <t>particleboard</t>
  </si>
  <si>
    <t>Hardboard</t>
  </si>
  <si>
    <t>insulating board</t>
  </si>
  <si>
    <t>MMSF 3/8</t>
  </si>
  <si>
    <t>HW fuelwood</t>
  </si>
  <si>
    <t>SW fuelwood</t>
  </si>
  <si>
    <t>Total Fuelwood</t>
  </si>
  <si>
    <t>million tons</t>
  </si>
  <si>
    <r>
      <t>Table 1. U.S. annual industrial wood product production (and fuelwood production) in conventional units of measure</t>
    </r>
    <r>
      <rPr>
        <vertAlign val="superscript"/>
        <sz val="8"/>
        <rFont val="Arial"/>
        <family val="2"/>
      </rPr>
      <t>a</t>
    </r>
  </si>
  <si>
    <t>Softwood plywood</t>
  </si>
  <si>
    <t>OSB/wafer-board</t>
  </si>
  <si>
    <t>Laminated veneer lumber</t>
  </si>
  <si>
    <t>Hardwood plywood and veneer</t>
  </si>
  <si>
    <t>Softwood lumber</t>
  </si>
  <si>
    <t>Hardwood lumber</t>
  </si>
  <si>
    <t>Lumber made at pallet plants</t>
  </si>
  <si>
    <t>Particle-board pro-duction</t>
  </si>
  <si>
    <t>Hard-board pro-duction</t>
  </si>
  <si>
    <t>MDF pro-duction</t>
  </si>
  <si>
    <t>Pulp, Paper, and board</t>
  </si>
  <si>
    <t>Other industrial products</t>
  </si>
  <si>
    <t>Insulating board</t>
  </si>
  <si>
    <r>
      <t>Fuelwood</t>
    </r>
    <r>
      <rPr>
        <vertAlign val="superscript"/>
        <sz val="8"/>
        <rFont val="Arial"/>
        <family val="2"/>
      </rPr>
      <t>b</t>
    </r>
  </si>
  <si>
    <t>Fuelwood</t>
  </si>
  <si>
    <t>Log and Chip Exports</t>
  </si>
  <si>
    <t>Roundwood Equivalent of Domestic Product Ouptut</t>
  </si>
  <si>
    <t>Estimated Total Domestic Timber Harvest</t>
  </si>
  <si>
    <t>Year</t>
  </si>
  <si>
    <r>
      <t>(million ft</t>
    </r>
    <r>
      <rPr>
        <vertAlign val="superscript"/>
        <sz val="8"/>
        <rFont val="Arial"/>
        <family val="2"/>
      </rPr>
      <t>2</t>
    </r>
    <r>
      <rPr>
        <sz val="8"/>
        <rFont val="Arial"/>
        <family val="2"/>
      </rPr>
      <t>, 3/8 in.)</t>
    </r>
  </si>
  <si>
    <r>
      <t>(million ft</t>
    </r>
    <r>
      <rPr>
        <vertAlign val="superscript"/>
        <sz val="8"/>
        <rFont val="Arial"/>
        <family val="2"/>
      </rPr>
      <t>3</t>
    </r>
    <r>
      <rPr>
        <sz val="8"/>
        <rFont val="Arial"/>
        <family val="2"/>
      </rPr>
      <t>)</t>
    </r>
  </si>
  <si>
    <t>(million bd. ft.)</t>
  </si>
  <si>
    <r>
      <t>(million ft</t>
    </r>
    <r>
      <rPr>
        <vertAlign val="superscript"/>
        <sz val="8"/>
        <rFont val="Arial"/>
        <family val="2"/>
      </rPr>
      <t>2</t>
    </r>
    <r>
      <rPr>
        <sz val="8"/>
        <rFont val="Arial"/>
        <family val="2"/>
      </rPr>
      <t>, 3/4 in.)</t>
    </r>
  </si>
  <si>
    <r>
      <t>(million ft</t>
    </r>
    <r>
      <rPr>
        <vertAlign val="superscript"/>
        <sz val="8"/>
        <rFont val="Arial"/>
        <family val="2"/>
      </rPr>
      <t>2</t>
    </r>
    <r>
      <rPr>
        <sz val="8"/>
        <rFont val="Arial"/>
        <family val="2"/>
      </rPr>
      <t>, 1/8 in.)</t>
    </r>
  </si>
  <si>
    <t>(thousand tons)</t>
  </si>
  <si>
    <r>
      <t>(million ft</t>
    </r>
    <r>
      <rPr>
        <vertAlign val="superscript"/>
        <sz val="8"/>
        <rFont val="Arial"/>
        <family val="2"/>
      </rPr>
      <t>2</t>
    </r>
    <r>
      <rPr>
        <sz val="8"/>
        <rFont val="Arial"/>
        <family val="2"/>
      </rPr>
      <t>, 1/2 in.)</t>
    </r>
  </si>
  <si>
    <t>(thousand short tons)</t>
  </si>
  <si>
    <t>a</t>
  </si>
  <si>
    <r>
      <t>Sources for recent production data</t>
    </r>
    <r>
      <rPr>
        <sz val="8"/>
        <rFont val="Arial"/>
        <family val="2"/>
      </rPr>
      <t xml:space="preserve"> (some earlier data are Forest Service estimates or from Dept. of Commerce):</t>
    </r>
  </si>
  <si>
    <t>Softwood plywood, OSB, and LVL production data (1960-1998) from APA--The Engineered Wood Association (formerly American Plywood Assoc.); see APA Economics Report E-65 (1999).</t>
  </si>
  <si>
    <t>Hardwood plywood production data from Dept. of Commerce (to 1988); 1989-1990 data from Hardwood Plywood &amp; Veneer Association; 
later estimates based on trends in value of shipments (Dept. of Commerce); hardwood veneer based on Census of Manufactures data and trend in value of shipments.</t>
  </si>
  <si>
    <t>Lumber production 1900-1946 based on H.B. Steer (USDA Forest Service, 1948, Table 1, "Estimated Production"). [Note: Estimated production is higher than "reported production".]</t>
  </si>
  <si>
    <t>Lumber production 1947-1976 based on Commerce Department data and Forest Service estimates.  Lumber production 1976-1998 from American Forest &amp; Paper Association (AF&amp;PA) Statistical Roundup report (1996 hardwood estimated by Forest Service; 1997-1998 hardwood estimate from Miller Freeman). [Note that Commerce Dept. reported hardwood lumber production is understood to underestimate actual production as reflected in Forest Service estimates since 1900.]</t>
  </si>
  <si>
    <t>"Lumber made at pallet plants" is a Forest Service estimate of lumber cut from roundwood at pallet plants. Other lumber (e.g., purchased lumber) used by pallet makers is accounted for under hardwood and softwood lumber production.</t>
  </si>
  <si>
    <t>Particleboard and MDF production data from Composite Panel Association (based on production data 1959-1977, and 1995-1997; otherwise based on shipments; 1998 data are estimated).</t>
  </si>
  <si>
    <t>Hardboard production based on shipments data from American Hardboard Association (1964-1997) and as reported by Miller Freeman (1998); 1998 figure is estimated.</t>
  </si>
  <si>
    <t>Pulp, paper, and paperboard production data are from AF&amp;PA, formerly API (Statistics of Paper, Paperboard &amp; Woodpulp). Paper and paperboard production includes "Total Paper", "Total Paperboard", and "Building Paper" production. Total production of pulp, paper and paperboard includes market pulp produced for export.</t>
  </si>
  <si>
    <t>Miscellaneous wood product production data through 1988 were obtained from U.S. Timber Production, Trade, Consumption, and Price Statistics reports (USDA Forest Service).  Miscellaneous wood product production for 1996 based on timber product output tables in (draft) 1997 RPA Inventory Data Tables; intervening and subsequent data are extrapolated.</t>
  </si>
  <si>
    <t>Insulating board production data are derived using earlier data from Commerce Department MA26A reports (in square feet of product output) to convert tonnage reported in AF&amp;PA and earlier API reports (Statistics of Paper, Paperboard &amp; Woodpulp).</t>
  </si>
  <si>
    <t>b</t>
  </si>
  <si>
    <t>Fuelwood estimates are shown for comparison only and are not included in industrial wood products.  Fuelwood data are Forest Service estimates (Skog and others, FPL).</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</si>
</sst>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
    <numFmt numFmtId="165" formatCode="???,???"/>
  </numFmts>
  <fonts count="12" x14ac:knownFonts="1">
    <font>
      <sz val="12"/>
      <color theme="1"/>
      <name val="Calibri"/>
      <family val="2"/>
      <scheme val="minor"/>
    </font>
    <font>
      <sz val="8"/>
      <name val="Arial"/>
      <family val="2"/>
    </font>
    <font>
      <vertAlign val="superscript"/>
      <sz val="8"/>
      <name val="Arial"/>
      <family val="2"/>
    </font>
    <font>
      <sz val="8"/>
      <color indexed="8"/>
      <name val="Arial"/>
      <family val="2"/>
    </font>
    <font>
      <sz val="12"/>
      <name val="Arial"/>
      <family val="2"/>
    </font>
    <font>
      <b/>
      <sz val="8"/>
      <name val="Arial"/>
      <family val="2"/>
    </font>
    <font>
      <vertAlign val="superscript"/>
      <sz val="10"/>
      <name val="Arial"/>
      <family val="2"/>
    </font>
    <font>
      <sz val="10"/>
      <name val="Arial"/>
    </font>
    <font>
      <b/>
      <sz val="10"/>
      <color indexed="81"/>
      <name val="Tahoma"/>
      <family val="2"/>
    </font>
    <font>
      <sz val="10"/>
      <color indexed="81"/>
      <name val="Tahoma"/>
      <family val="2"/>
    </font>
    <font>
      <u/>
      <sz val="12"/>
      <color theme="10"/>
      <name val="Calibri"/>
      <family val="2"/>
      <scheme val="minor"/>
    </font>
    <font>
      <u/>
      <sz val="12"/>
      <color theme="11"/>
      <name val="Calibri"/>
      <family val="2"/>
      <scheme val="minor"/>
    </font>
  </fonts>
  <fills count="3">
    <fill>
      <patternFill patternType="none"/>
    </fill>
    <fill>
      <patternFill patternType="gray125"/>
    </fill>
    <fill>
      <patternFill patternType="solid">
        <fgColor indexed="22"/>
        <bgColor indexed="64"/>
      </patternFill>
    </fill>
  </fills>
  <borders count="2">
    <border>
      <left/>
      <right/>
      <top/>
      <bottom/>
      <diagonal/>
    </border>
    <border>
      <left/>
      <right/>
      <top/>
      <bottom style="thin">
        <color auto="1"/>
      </bottom>
      <diagonal/>
    </border>
  </borders>
  <cellStyleXfs count="4">
    <xf numFmtId="0" fontId="0" fillId="0" borderId="0"/>
    <xf numFmtId="0" fontId="4" fillId="0" borderId="0"/>
    <xf numFmtId="0" fontId="10" fillId="0" borderId="0" applyNumberFormat="0" applyFill="0" applyBorder="0" applyAlignment="0" applyProtection="0"/>
    <xf numFmtId="0" fontId="11" fillId="0" borderId="0" applyNumberFormat="0" applyFill="0" applyBorder="0" applyAlignment="0" applyProtection="0"/>
  </cellStyleXfs>
  <cellXfs count="42">
    <xf numFmtId="0" fontId="0" fillId="0" borderId="0" xfId="0"/>
    <xf numFmtId="0" fontId="1" fillId="2" borderId="1" xfId="0" applyNumberFormat="1" applyFont="1" applyFill="1" applyBorder="1" applyAlignment="1">
      <alignment horizontal="left" vertical="center"/>
    </xf>
    <xf numFmtId="0" fontId="1" fillId="2" borderId="1" xfId="0" applyFont="1" applyFill="1" applyBorder="1" applyAlignment="1"/>
    <xf numFmtId="3" fontId="1" fillId="2" borderId="1" xfId="0" applyNumberFormat="1" applyFont="1" applyFill="1" applyBorder="1" applyAlignment="1"/>
    <xf numFmtId="0" fontId="1" fillId="2" borderId="0" xfId="0" applyFont="1" applyFill="1" applyBorder="1" applyAlignment="1"/>
    <xf numFmtId="0" fontId="1" fillId="2" borderId="1" xfId="0" applyNumberFormat="1" applyFont="1" applyFill="1" applyBorder="1" applyAlignment="1">
      <alignment horizontal="right"/>
    </xf>
    <xf numFmtId="0" fontId="1" fillId="2" borderId="0" xfId="0" applyFont="1" applyFill="1" applyBorder="1" applyAlignment="1">
      <alignment horizontal="center" wrapText="1"/>
    </xf>
    <xf numFmtId="0" fontId="1" fillId="2" borderId="0" xfId="0" applyNumberFormat="1" applyFont="1" applyFill="1" applyBorder="1" applyAlignment="1">
      <alignment horizontal="center" wrapText="1"/>
    </xf>
    <xf numFmtId="3" fontId="1" fillId="2" borderId="0" xfId="0" applyNumberFormat="1" applyFont="1" applyFill="1" applyBorder="1" applyAlignment="1">
      <alignment horizontal="center" wrapText="1"/>
    </xf>
    <xf numFmtId="0" fontId="1" fillId="2" borderId="1" xfId="0" applyNumberFormat="1" applyFont="1" applyFill="1" applyBorder="1" applyAlignment="1">
      <alignment horizontal="center" wrapText="1"/>
    </xf>
    <xf numFmtId="0" fontId="3" fillId="2" borderId="0" xfId="0" applyNumberFormat="1" applyFont="1" applyFill="1" applyBorder="1" applyAlignment="1">
      <alignment horizontal="center"/>
    </xf>
    <xf numFmtId="164" fontId="1" fillId="2" borderId="0" xfId="0" applyNumberFormat="1" applyFont="1" applyFill="1" applyBorder="1" applyAlignment="1">
      <alignment horizontal="center"/>
    </xf>
    <xf numFmtId="164" fontId="3" fillId="2" borderId="0" xfId="0" applyNumberFormat="1" applyFont="1" applyFill="1" applyBorder="1" applyAlignment="1">
      <alignment horizontal="center"/>
    </xf>
    <xf numFmtId="164" fontId="3" fillId="2" borderId="0" xfId="1" applyNumberFormat="1" applyFont="1" applyFill="1" applyBorder="1" applyAlignment="1">
      <alignment horizontal="center"/>
    </xf>
    <xf numFmtId="165" fontId="1" fillId="2" borderId="0" xfId="0" applyNumberFormat="1" applyFont="1" applyFill="1" applyBorder="1" applyAlignment="1">
      <alignment horizontal="center"/>
    </xf>
    <xf numFmtId="164" fontId="1" fillId="2" borderId="0" xfId="1" applyNumberFormat="1" applyFont="1" applyFill="1" applyBorder="1" applyAlignment="1">
      <alignment horizontal="center"/>
    </xf>
    <xf numFmtId="3" fontId="1" fillId="2" borderId="0" xfId="0" applyNumberFormat="1" applyFont="1" applyFill="1" applyAlignment="1">
      <alignment horizontal="center"/>
    </xf>
    <xf numFmtId="0" fontId="3" fillId="2" borderId="1" xfId="0" applyNumberFormat="1" applyFont="1" applyFill="1" applyBorder="1" applyAlignment="1">
      <alignment horizontal="center"/>
    </xf>
    <xf numFmtId="164" fontId="1" fillId="2" borderId="1" xfId="0" applyNumberFormat="1" applyFont="1" applyFill="1" applyBorder="1" applyAlignment="1">
      <alignment horizontal="center"/>
    </xf>
    <xf numFmtId="164" fontId="3" fillId="2" borderId="1" xfId="0" applyNumberFormat="1" applyFont="1" applyFill="1" applyBorder="1" applyAlignment="1">
      <alignment horizontal="center"/>
    </xf>
    <xf numFmtId="3" fontId="1" fillId="2" borderId="1" xfId="0" applyNumberFormat="1" applyFont="1" applyFill="1" applyBorder="1" applyAlignment="1">
      <alignment horizontal="center"/>
    </xf>
    <xf numFmtId="165" fontId="1" fillId="2" borderId="1" xfId="0" applyNumberFormat="1" applyFont="1" applyFill="1" applyBorder="1" applyAlignment="1">
      <alignment horizontal="center"/>
    </xf>
    <xf numFmtId="1" fontId="1" fillId="2" borderId="0" xfId="0" applyNumberFormat="1" applyFont="1" applyFill="1" applyBorder="1" applyAlignment="1"/>
    <xf numFmtId="0" fontId="0" fillId="2" borderId="0" xfId="0" applyNumberFormat="1" applyFont="1" applyFill="1" applyAlignment="1"/>
    <xf numFmtId="3" fontId="1" fillId="2" borderId="0" xfId="0" applyNumberFormat="1" applyFont="1" applyFill="1" applyBorder="1" applyAlignment="1">
      <alignment horizontal="center"/>
    </xf>
    <xf numFmtId="164" fontId="1" fillId="2" borderId="0" xfId="0" applyNumberFormat="1" applyFont="1" applyFill="1" applyBorder="1" applyAlignment="1"/>
    <xf numFmtId="1" fontId="3" fillId="2" borderId="0" xfId="0" applyNumberFormat="1" applyFont="1" applyFill="1" applyBorder="1" applyAlignment="1">
      <alignment horizontal="center"/>
    </xf>
    <xf numFmtId="0" fontId="1" fillId="2" borderId="0" xfId="0" applyFont="1" applyFill="1" applyBorder="1" applyAlignment="1">
      <alignment horizontal="center"/>
    </xf>
    <xf numFmtId="3" fontId="1" fillId="2" borderId="0" xfId="0" applyNumberFormat="1" applyFont="1" applyFill="1" applyBorder="1" applyAlignment="1"/>
    <xf numFmtId="0" fontId="2" fillId="2" borderId="0" xfId="0" applyFont="1" applyFill="1" applyBorder="1" applyAlignment="1">
      <alignment horizontal="right"/>
    </xf>
    <xf numFmtId="0" fontId="5" fillId="2" borderId="0" xfId="0" applyFont="1" applyFill="1" applyAlignment="1"/>
    <xf numFmtId="0" fontId="1" fillId="2" borderId="0" xfId="0" applyFont="1" applyFill="1" applyAlignment="1"/>
    <xf numFmtId="0" fontId="1" fillId="2" borderId="0" xfId="0" applyFont="1" applyFill="1" applyAlignment="1">
      <alignment wrapText="1"/>
    </xf>
    <xf numFmtId="0" fontId="4" fillId="2" borderId="0" xfId="0" applyFont="1" applyFill="1" applyAlignment="1"/>
    <xf numFmtId="0" fontId="4" fillId="2" borderId="0" xfId="0" applyFont="1" applyFill="1" applyAlignment="1"/>
    <xf numFmtId="0" fontId="4" fillId="2" borderId="0" xfId="0" applyFont="1" applyFill="1" applyAlignment="1">
      <alignment wrapText="1"/>
    </xf>
    <xf numFmtId="0" fontId="4" fillId="2" borderId="0" xfId="0" applyFont="1" applyFill="1" applyAlignment="1">
      <alignment wrapText="1"/>
    </xf>
    <xf numFmtId="0" fontId="0" fillId="2" borderId="0" xfId="0" applyFill="1" applyAlignment="1"/>
    <xf numFmtId="0" fontId="0" fillId="2" borderId="0" xfId="0" applyFill="1" applyAlignment="1"/>
    <xf numFmtId="0" fontId="6" fillId="2" borderId="0" xfId="0" quotePrefix="1" applyFont="1" applyFill="1" applyAlignment="1">
      <alignment horizontal="left"/>
    </xf>
    <xf numFmtId="0" fontId="7" fillId="2" borderId="0" xfId="0" applyFont="1" applyFill="1"/>
    <xf numFmtId="0" fontId="0" fillId="2" borderId="0" xfId="0" applyFill="1"/>
  </cellXfs>
  <cellStyles count="4">
    <cellStyle name="Followed Hyperlink" xfId="3" builtinId="9" hidden="1"/>
    <cellStyle name="Hyperlink" xfId="2" builtinId="8" hidden="1"/>
    <cellStyle name="Normal" xfId="0" builtinId="0"/>
    <cellStyle name="Normal_Material Balance Summary 10 9 (from Revised2)" xfId="1"/>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4" Type="http://schemas.openxmlformats.org/officeDocument/2006/relationships/externalLink" Target="externalLinks/externalLink3.xml"/><Relationship Id="rId5" Type="http://schemas.openxmlformats.org/officeDocument/2006/relationships/externalLink" Target="externalLinks/externalLink4.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D/My%20Documents/RPA/July%20Material%20Balance/Final%20run%20Oct%2001/Material%20Balance%20Summary%20for%20final%20run%20Oct%2001.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D/My%20Documents/RPA/TAB107_12_20_99.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D/My%20Documents/RPA/July%20Material%20Balance/Final%20run%20Oct%2001/Tamlot_233.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D/My%20Documents/RPA/July%20Material%20Balance/Final%20run%20Oct%2001/Export%20oct%2001.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Table 1"/>
      <sheetName val="Table 2"/>
      <sheetName val="Sources"/>
      <sheetName val="Pulp,P&amp;BD"/>
      <sheetName val="Sheet1"/>
      <sheetName val="TABLE 3!"/>
      <sheetName val="Table 4"/>
      <sheetName val="Efficiencies"/>
      <sheetName val="Table 33"/>
      <sheetName val="Table 34"/>
      <sheetName val="Figure 1"/>
      <sheetName val="Figure 2"/>
      <sheetName val="Figure 3"/>
      <sheetName val="Figure 4"/>
      <sheetName val="Figure 5"/>
    </sheetNames>
    <sheetDataSet>
      <sheetData sheetId="0" refreshError="1"/>
      <sheetData sheetId="1" refreshError="1"/>
      <sheetData sheetId="2" refreshError="1"/>
      <sheetData sheetId="3" refreshError="1">
        <row r="6">
          <cell r="C6">
            <v>88669.902425578824</v>
          </cell>
        </row>
        <row r="7">
          <cell r="C7">
            <v>91174.595920617416</v>
          </cell>
        </row>
        <row r="8">
          <cell r="C8">
            <v>93126.944762954779</v>
          </cell>
        </row>
        <row r="9">
          <cell r="C9">
            <v>95812.219845644984</v>
          </cell>
        </row>
        <row r="10">
          <cell r="C10">
            <v>95436.025689084883</v>
          </cell>
        </row>
        <row r="11">
          <cell r="C11">
            <v>96257.845865490643</v>
          </cell>
        </row>
        <row r="12">
          <cell r="C12">
            <v>96707.837155457557</v>
          </cell>
        </row>
        <row r="13">
          <cell r="C13">
            <v>95949.553583241446</v>
          </cell>
        </row>
        <row r="14">
          <cell r="C14">
            <v>95265.845865490643</v>
          </cell>
        </row>
        <row r="15">
          <cell r="C15">
            <v>94000.515545755232</v>
          </cell>
        </row>
        <row r="16">
          <cell r="C16">
            <v>93696.301102535828</v>
          </cell>
        </row>
        <row r="17">
          <cell r="C17">
            <v>92528.928445424463</v>
          </cell>
        </row>
        <row r="18">
          <cell r="C18">
            <v>93320.49437706724</v>
          </cell>
        </row>
        <row r="19">
          <cell r="C19">
            <v>94038.967585446517</v>
          </cell>
        </row>
        <row r="20">
          <cell r="C20">
            <v>95870.788643880922</v>
          </cell>
        </row>
        <row r="21">
          <cell r="C21">
            <v>96756.911466372636</v>
          </cell>
        </row>
        <row r="22">
          <cell r="C22">
            <v>98172.346857772878</v>
          </cell>
        </row>
        <row r="23">
          <cell r="C23">
            <v>99341.779051819176</v>
          </cell>
        </row>
        <row r="24">
          <cell r="C24">
            <v>100195.68643880925</v>
          </cell>
        </row>
        <row r="25">
          <cell r="C25">
            <v>101942.96063947078</v>
          </cell>
        </row>
        <row r="26">
          <cell r="C26">
            <v>103115.76670341784</v>
          </cell>
        </row>
        <row r="27">
          <cell r="C27">
            <v>104567.33252480706</v>
          </cell>
        </row>
        <row r="28">
          <cell r="C28">
            <v>106019.35865490629</v>
          </cell>
        </row>
        <row r="29">
          <cell r="C29">
            <v>106854.39536934948</v>
          </cell>
        </row>
        <row r="30">
          <cell r="C30">
            <v>107871.36130099227</v>
          </cell>
        </row>
        <row r="31">
          <cell r="C31">
            <v>109193.12745314222</v>
          </cell>
        </row>
        <row r="32">
          <cell r="C32">
            <v>110256.02216097023</v>
          </cell>
        </row>
        <row r="33">
          <cell r="C33">
            <v>112041.58798235944</v>
          </cell>
        </row>
        <row r="34">
          <cell r="C34">
            <v>112694.26923925026</v>
          </cell>
        </row>
        <row r="35">
          <cell r="C35">
            <v>114281.68985667035</v>
          </cell>
        </row>
        <row r="36">
          <cell r="C36">
            <v>115176.60165380375</v>
          </cell>
        </row>
        <row r="37">
          <cell r="C37">
            <v>115675.00022050718</v>
          </cell>
        </row>
        <row r="38">
          <cell r="C38">
            <v>117258.59977949283</v>
          </cell>
        </row>
        <row r="39">
          <cell r="C39">
            <v>117397.69261300993</v>
          </cell>
        </row>
        <row r="40">
          <cell r="C40">
            <v>118933.61080485115</v>
          </cell>
        </row>
        <row r="41">
          <cell r="C41">
            <v>119668.68676956999</v>
          </cell>
        </row>
        <row r="42">
          <cell r="C42">
            <v>120083.73307607496</v>
          </cell>
        </row>
        <row r="43">
          <cell r="C43">
            <v>121644.65843439911</v>
          </cell>
        </row>
        <row r="44">
          <cell r="C44">
            <v>121536.40617420065</v>
          </cell>
        </row>
        <row r="45">
          <cell r="C45">
            <v>122963.53054024256</v>
          </cell>
        </row>
        <row r="46">
          <cell r="C46">
            <v>122903.78721058434</v>
          </cell>
        </row>
        <row r="47">
          <cell r="C47">
            <v>124340.33715545756</v>
          </cell>
        </row>
        <row r="48">
          <cell r="C48">
            <v>124675.58026460859</v>
          </cell>
        </row>
        <row r="49">
          <cell r="C49">
            <v>125852.71675854464</v>
          </cell>
        </row>
        <row r="50">
          <cell r="C50">
            <v>125777.18269018742</v>
          </cell>
        </row>
        <row r="51">
          <cell r="C51">
            <v>127319.76979051818</v>
          </cell>
        </row>
        <row r="52">
          <cell r="C52">
            <v>127094.82469680264</v>
          </cell>
        </row>
        <row r="53">
          <cell r="C53">
            <v>128557.93969128995</v>
          </cell>
        </row>
        <row r="54">
          <cell r="C54">
            <v>127620.82050716647</v>
          </cell>
        </row>
        <row r="55">
          <cell r="C55">
            <v>130279.64785005513</v>
          </cell>
        </row>
        <row r="56">
          <cell r="C56">
            <v>130739.4218302095</v>
          </cell>
        </row>
        <row r="57">
          <cell r="C57">
            <v>131047.65678059535</v>
          </cell>
        </row>
        <row r="58">
          <cell r="C58">
            <v>132069.42491730978</v>
          </cell>
        </row>
        <row r="59">
          <cell r="C59">
            <v>132670.61675854467</v>
          </cell>
        </row>
        <row r="60">
          <cell r="C60">
            <v>133160.62017640573</v>
          </cell>
        </row>
        <row r="61">
          <cell r="C61">
            <v>135105.06593164278</v>
          </cell>
        </row>
      </sheetData>
      <sheetData sheetId="4" refreshError="1"/>
      <sheetData sheetId="5" refreshError="1">
        <row r="55">
          <cell r="F55">
            <v>117605.28</v>
          </cell>
        </row>
        <row r="56">
          <cell r="F56">
            <v>120778.31999999999</v>
          </cell>
        </row>
        <row r="57">
          <cell r="F57">
            <v>120812.64</v>
          </cell>
        </row>
        <row r="58">
          <cell r="F58">
            <v>120990.48</v>
          </cell>
        </row>
        <row r="59">
          <cell r="F59">
            <v>120450.71999999999</v>
          </cell>
        </row>
        <row r="60">
          <cell r="F60">
            <v>126980.88</v>
          </cell>
        </row>
        <row r="61">
          <cell r="F61">
            <v>132534.47999999998</v>
          </cell>
        </row>
        <row r="62">
          <cell r="F62">
            <v>118226.15999999999</v>
          </cell>
        </row>
        <row r="63">
          <cell r="F63">
            <v>116968.79999999999</v>
          </cell>
        </row>
        <row r="64">
          <cell r="F64">
            <v>128843.51999999999</v>
          </cell>
        </row>
        <row r="65">
          <cell r="F65">
            <v>122556.72</v>
          </cell>
        </row>
        <row r="66">
          <cell r="F66">
            <v>119617.68</v>
          </cell>
        </row>
        <row r="67">
          <cell r="F67">
            <v>123645.59999999999</v>
          </cell>
        </row>
        <row r="68">
          <cell r="F68">
            <v>130153.92</v>
          </cell>
        </row>
        <row r="69">
          <cell r="F69">
            <v>138340.79999999999</v>
          </cell>
        </row>
        <row r="70">
          <cell r="F70">
            <v>154282.95347961699</v>
          </cell>
        </row>
        <row r="71">
          <cell r="F71">
            <v>158133.07399387224</v>
          </cell>
        </row>
        <row r="72">
          <cell r="F72">
            <v>153840.92896377074</v>
          </cell>
        </row>
        <row r="73">
          <cell r="F73">
            <v>159312.53183991744</v>
          </cell>
        </row>
        <row r="74">
          <cell r="F74">
            <v>157282.91064340633</v>
          </cell>
        </row>
        <row r="75">
          <cell r="F75">
            <v>156343.47045047188</v>
          </cell>
        </row>
        <row r="76">
          <cell r="F76">
            <v>162113.36093198202</v>
          </cell>
        </row>
        <row r="77">
          <cell r="F77">
            <v>165093.43017846465</v>
          </cell>
        </row>
        <row r="78">
          <cell r="F78">
            <v>169536.15606621225</v>
          </cell>
        </row>
        <row r="79">
          <cell r="F79">
            <v>163173.52958940587</v>
          </cell>
        </row>
        <row r="80">
          <cell r="F80">
            <v>143660.48094947854</v>
          </cell>
        </row>
        <row r="81">
          <cell r="F81">
            <v>161553.50982551495</v>
          </cell>
        </row>
        <row r="82">
          <cell r="F82">
            <v>167483.40291371683</v>
          </cell>
        </row>
        <row r="83">
          <cell r="F83">
            <v>172662.28606734393</v>
          </cell>
        </row>
        <row r="84">
          <cell r="F84">
            <v>175367.10158909654</v>
          </cell>
        </row>
        <row r="85">
          <cell r="F85">
            <v>162614.62386409024</v>
          </cell>
        </row>
        <row r="86">
          <cell r="F86">
            <v>154453.46893485033</v>
          </cell>
        </row>
        <row r="87">
          <cell r="F87">
            <v>150775.04748829108</v>
          </cell>
        </row>
        <row r="88">
          <cell r="F88">
            <v>172216.43752037783</v>
          </cell>
        </row>
        <row r="89">
          <cell r="F89">
            <v>178155.29195167116</v>
          </cell>
        </row>
        <row r="90">
          <cell r="F90">
            <v>177140.33764676418</v>
          </cell>
        </row>
        <row r="91">
          <cell r="F91">
            <v>198230.12916128311</v>
          </cell>
        </row>
        <row r="92">
          <cell r="F92">
            <v>207603.87775035313</v>
          </cell>
        </row>
        <row r="93">
          <cell r="F93">
            <v>209591.25616340269</v>
          </cell>
        </row>
        <row r="94">
          <cell r="F94">
            <v>207769.3837570441</v>
          </cell>
        </row>
        <row r="95">
          <cell r="F95">
            <v>206829.88575859193</v>
          </cell>
        </row>
        <row r="96">
          <cell r="F96">
            <v>198116.13100148132</v>
          </cell>
        </row>
        <row r="97">
          <cell r="F97">
            <v>203855.47973300537</v>
          </cell>
        </row>
        <row r="98">
          <cell r="F98">
            <v>200720.29967180383</v>
          </cell>
        </row>
        <row r="99">
          <cell r="F99">
            <v>205647.85323315041</v>
          </cell>
        </row>
        <row r="100">
          <cell r="F100">
            <v>207037.85944069142</v>
          </cell>
        </row>
        <row r="101">
          <cell r="F101">
            <v>206805.00615773007</v>
          </cell>
        </row>
        <row r="102">
          <cell r="F102">
            <v>207948.24216466513</v>
          </cell>
        </row>
        <row r="103">
          <cell r="F103">
            <v>210317.32799999998</v>
          </cell>
        </row>
        <row r="105">
          <cell r="F105">
            <v>202163.1698009297</v>
          </cell>
        </row>
        <row r="106">
          <cell r="F106">
            <v>202666.97182812254</v>
          </cell>
        </row>
        <row r="107">
          <cell r="F107">
            <v>199053.9396689662</v>
          </cell>
        </row>
        <row r="108">
          <cell r="F108">
            <v>196467.29369636314</v>
          </cell>
        </row>
        <row r="109">
          <cell r="F109">
            <v>194951.28264243505</v>
          </cell>
        </row>
        <row r="110">
          <cell r="F110">
            <v>194984.38123978485</v>
          </cell>
        </row>
        <row r="111">
          <cell r="F111">
            <v>194215.59180032564</v>
          </cell>
        </row>
        <row r="112">
          <cell r="F112">
            <v>194932.00497058683</v>
          </cell>
        </row>
        <row r="113">
          <cell r="F113">
            <v>195416.59878771423</v>
          </cell>
        </row>
        <row r="114">
          <cell r="F114">
            <v>196368.70346762086</v>
          </cell>
        </row>
        <row r="115">
          <cell r="F115">
            <v>197616.93405960378</v>
          </cell>
        </row>
        <row r="116">
          <cell r="F116">
            <v>199262.28831419241</v>
          </cell>
        </row>
        <row r="117">
          <cell r="F117">
            <v>201348.38738537548</v>
          </cell>
        </row>
        <row r="118">
          <cell r="F118">
            <v>203019.31754426906</v>
          </cell>
        </row>
        <row r="119">
          <cell r="F119">
            <v>205176.02569863244</v>
          </cell>
        </row>
        <row r="120">
          <cell r="F120">
            <v>207256.57452137055</v>
          </cell>
        </row>
        <row r="121">
          <cell r="F121">
            <v>209828.97664853226</v>
          </cell>
        </row>
        <row r="122">
          <cell r="F122">
            <v>212458.72303693433</v>
          </cell>
        </row>
        <row r="123">
          <cell r="F123">
            <v>215261.51929245357</v>
          </cell>
        </row>
        <row r="124">
          <cell r="F124">
            <v>216897.23698400028</v>
          </cell>
        </row>
        <row r="125">
          <cell r="F125">
            <v>219482.18186382958</v>
          </cell>
        </row>
        <row r="126">
          <cell r="F126">
            <v>220958.15253453288</v>
          </cell>
        </row>
        <row r="127">
          <cell r="F127">
            <v>224210.35708554395</v>
          </cell>
        </row>
        <row r="128">
          <cell r="F128">
            <v>225855.76677673755</v>
          </cell>
        </row>
        <row r="129">
          <cell r="F129">
            <v>228182.29502815221</v>
          </cell>
        </row>
        <row r="130">
          <cell r="F130">
            <v>229669.91808631195</v>
          </cell>
        </row>
        <row r="131">
          <cell r="F131">
            <v>230245.81792086901</v>
          </cell>
        </row>
        <row r="132">
          <cell r="F132">
            <v>232029.38636847161</v>
          </cell>
        </row>
        <row r="133">
          <cell r="F133">
            <v>233062.64681361706</v>
          </cell>
        </row>
        <row r="134">
          <cell r="F134">
            <v>234846.65711031141</v>
          </cell>
        </row>
        <row r="135">
          <cell r="F135">
            <v>236140.50371684317</v>
          </cell>
        </row>
        <row r="136">
          <cell r="F136">
            <v>237089.22047836252</v>
          </cell>
        </row>
        <row r="137">
          <cell r="F137">
            <v>238871.85847320314</v>
          </cell>
        </row>
        <row r="138">
          <cell r="F138">
            <v>239405.16872101079</v>
          </cell>
        </row>
        <row r="139">
          <cell r="F139">
            <v>241051.76623799026</v>
          </cell>
        </row>
        <row r="140">
          <cell r="F140">
            <v>241903.58289580309</v>
          </cell>
        </row>
        <row r="141">
          <cell r="F141">
            <v>244125.29229772743</v>
          </cell>
        </row>
        <row r="142">
          <cell r="F142">
            <v>244542.16162201602</v>
          </cell>
        </row>
        <row r="143">
          <cell r="F143">
            <v>245859.71366022996</v>
          </cell>
        </row>
        <row r="144">
          <cell r="F144">
            <v>245955.03018017492</v>
          </cell>
        </row>
        <row r="145">
          <cell r="F145">
            <v>248110.90169598002</v>
          </cell>
        </row>
        <row r="146">
          <cell r="F146">
            <v>247935.19569621477</v>
          </cell>
        </row>
        <row r="147">
          <cell r="F147">
            <v>249758.35413644608</v>
          </cell>
        </row>
        <row r="148">
          <cell r="F148">
            <v>249476.28232236381</v>
          </cell>
        </row>
        <row r="149">
          <cell r="F149">
            <v>254228.17980773363</v>
          </cell>
        </row>
        <row r="150">
          <cell r="F150">
            <v>254227.32842211745</v>
          </cell>
        </row>
        <row r="151">
          <cell r="F151">
            <v>254387.36363726694</v>
          </cell>
        </row>
        <row r="152">
          <cell r="F152">
            <v>257013.92362439277</v>
          </cell>
        </row>
        <row r="153">
          <cell r="F153">
            <v>257929.4170530228</v>
          </cell>
        </row>
        <row r="154">
          <cell r="F154">
            <v>259206.93336767805</v>
          </cell>
        </row>
        <row r="155">
          <cell r="F155">
            <v>261849.96724208479</v>
          </cell>
        </row>
      </sheetData>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Remove.dat"/>
      <sheetName val="Rev Remove.dat"/>
      <sheetName val="Summary"/>
      <sheetName val="Wood E. Proj."/>
      <sheetName val="Hist Consumption - US"/>
      <sheetName val="Tot E. Proj."/>
      <sheetName val="FS Roundwood"/>
      <sheetName val="prices"/>
      <sheetName val="Sheet9"/>
      <sheetName val="Sheet10"/>
      <sheetName val="Sheet11"/>
      <sheetName val="Sheet12"/>
      <sheetName val="Sheet13"/>
      <sheetName val="Sheet14"/>
      <sheetName val="Sheet15"/>
      <sheetName val="Sheet16"/>
    </sheetNames>
    <sheetDataSet>
      <sheetData sheetId="0" refreshError="1"/>
      <sheetData sheetId="1" refreshError="1"/>
      <sheetData sheetId="2" refreshError="1"/>
      <sheetData sheetId="3" refreshError="1">
        <row r="22">
          <cell r="T22">
            <v>1.8209759539745709</v>
          </cell>
          <cell r="U22">
            <v>0.50163421063992986</v>
          </cell>
        </row>
        <row r="23">
          <cell r="T23">
            <v>1.8361351967647168</v>
          </cell>
          <cell r="U23">
            <v>0.50581021020452377</v>
          </cell>
        </row>
        <row r="24">
          <cell r="T24">
            <v>1.8513098082972852</v>
          </cell>
          <cell r="U24">
            <v>0.50999044348069245</v>
          </cell>
        </row>
        <row r="25">
          <cell r="T25">
            <v>1.890400166805124</v>
          </cell>
          <cell r="U25">
            <v>0.52078741129420325</v>
          </cell>
        </row>
        <row r="26">
          <cell r="T26">
            <v>1.9295053079726556</v>
          </cell>
          <cell r="U26">
            <v>0.53158963252790292</v>
          </cell>
        </row>
        <row r="27">
          <cell r="T27">
            <v>1.9686254040319353</v>
          </cell>
          <cell r="U27">
            <v>0.5423971553466147</v>
          </cell>
        </row>
        <row r="28">
          <cell r="T28">
            <v>2.0077606291075041</v>
          </cell>
          <cell r="U28">
            <v>0.55321002844704248</v>
          </cell>
        </row>
        <row r="29">
          <cell r="T29">
            <v>2.0469111592371818</v>
          </cell>
          <cell r="U29">
            <v>0.56402830106364354</v>
          </cell>
        </row>
        <row r="30">
          <cell r="T30">
            <v>2.0595983940868048</v>
          </cell>
          <cell r="U30">
            <v>0.56755537092511166</v>
          </cell>
        </row>
        <row r="31">
          <cell r="T31">
            <v>2.0723019186094036</v>
          </cell>
          <cell r="U31">
            <v>0.57108731368968546</v>
          </cell>
        </row>
        <row r="32">
          <cell r="T32">
            <v>2.0850219147097042</v>
          </cell>
          <cell r="U32">
            <v>0.57462418024097661</v>
          </cell>
        </row>
        <row r="33">
          <cell r="T33">
            <v>2.0977585662912004</v>
          </cell>
          <cell r="U33">
            <v>0.5781660220244994</v>
          </cell>
        </row>
        <row r="34">
          <cell r="T34">
            <v>2.1105120592781161</v>
          </cell>
          <cell r="U34">
            <v>0.58171289105387725</v>
          </cell>
        </row>
        <row r="35">
          <cell r="T35">
            <v>2.119490990866213</v>
          </cell>
          <cell r="U35">
            <v>0.58852296425500794</v>
          </cell>
        </row>
        <row r="36">
          <cell r="T36">
            <v>2.1284477590724094</v>
          </cell>
          <cell r="U36">
            <v>0.59537755324574904</v>
          </cell>
        </row>
        <row r="37">
          <cell r="T37">
            <v>2.1373824715646967</v>
          </cell>
          <cell r="U37">
            <v>0.60227679623459418</v>
          </cell>
        </row>
        <row r="38">
          <cell r="T38">
            <v>2.1462952368834478</v>
          </cell>
          <cell r="U38">
            <v>0.60922083326229659</v>
          </cell>
        </row>
        <row r="39">
          <cell r="T39">
            <v>2.1551861644475827</v>
          </cell>
          <cell r="U39">
            <v>0.61620980622545485</v>
          </cell>
        </row>
        <row r="40">
          <cell r="T40">
            <v>2.1637956364767326</v>
          </cell>
          <cell r="U40">
            <v>0.62316905770260622</v>
          </cell>
        </row>
        <row r="41">
          <cell r="T41">
            <v>2.1721748322083174</v>
          </cell>
          <cell r="U41">
            <v>0.63011192252106374</v>
          </cell>
        </row>
        <row r="42">
          <cell r="T42">
            <v>2.1805491013672036</v>
          </cell>
          <cell r="U42">
            <v>0.63710304233903181</v>
          </cell>
        </row>
        <row r="43">
          <cell r="T43">
            <v>2.1889185287895905</v>
          </cell>
          <cell r="U43">
            <v>0.64414265325628073</v>
          </cell>
        </row>
        <row r="44">
          <cell r="T44">
            <v>2.1972832000635347</v>
          </cell>
          <cell r="U44">
            <v>0.65123099368398896</v>
          </cell>
        </row>
        <row r="45">
          <cell r="T45">
            <v>2.2084355144194436</v>
          </cell>
          <cell r="U45">
            <v>0.65729966552008323</v>
          </cell>
        </row>
        <row r="46">
          <cell r="T46">
            <v>2.2195058746468512</v>
          </cell>
          <cell r="U46">
            <v>0.66337711809210786</v>
          </cell>
        </row>
        <row r="47">
          <cell r="T47">
            <v>2.2308148435915101</v>
          </cell>
          <cell r="U47">
            <v>0.66955935321293969</v>
          </cell>
        </row>
        <row r="48">
          <cell r="T48">
            <v>2.242439154694098</v>
          </cell>
          <cell r="U48">
            <v>0.67587049553280432</v>
          </cell>
        </row>
        <row r="49">
          <cell r="T49">
            <v>2.2520156767871193</v>
          </cell>
          <cell r="U49">
            <v>0.68159660950916445</v>
          </cell>
        </row>
        <row r="50">
          <cell r="T50">
            <v>2.2618448676838709</v>
          </cell>
          <cell r="U50">
            <v>0.68742919916988188</v>
          </cell>
        </row>
        <row r="51">
          <cell r="T51">
            <v>2.2719269563618809</v>
          </cell>
          <cell r="U51">
            <v>0.69336938039581142</v>
          </cell>
        </row>
        <row r="52">
          <cell r="T52">
            <v>2.2822622469925622</v>
          </cell>
          <cell r="U52">
            <v>0.69941829733916416</v>
          </cell>
        </row>
        <row r="53">
          <cell r="T53">
            <v>2.2928511195781298</v>
          </cell>
          <cell r="U53">
            <v>0.70557712312271481</v>
          </cell>
        </row>
        <row r="54">
          <cell r="T54">
            <v>2.3037691645982394</v>
          </cell>
          <cell r="U54">
            <v>0.71187027713862849</v>
          </cell>
        </row>
        <row r="55">
          <cell r="T55">
            <v>2.3166935492856959</v>
          </cell>
          <cell r="U55">
            <v>0.716523656849958</v>
          </cell>
        </row>
        <row r="56">
          <cell r="T56">
            <v>2.3298934465965844</v>
          </cell>
          <cell r="U56">
            <v>0.72126997710266105</v>
          </cell>
        </row>
        <row r="57">
          <cell r="T57">
            <v>2.3433701984968121</v>
          </cell>
          <cell r="U57">
            <v>0.72610989428292594</v>
          </cell>
        </row>
        <row r="58">
          <cell r="T58">
            <v>2.3572743316591116</v>
          </cell>
          <cell r="U58">
            <v>0.73109033499572706</v>
          </cell>
        </row>
        <row r="59">
          <cell r="T59">
            <v>2.3723506506754486</v>
          </cell>
          <cell r="U59">
            <v>0.73644287802232189</v>
          </cell>
        </row>
        <row r="60">
          <cell r="T60">
            <v>2.3877788656843539</v>
          </cell>
          <cell r="U60">
            <v>0.74191365768150197</v>
          </cell>
        </row>
        <row r="61">
          <cell r="T61">
            <v>2.4035604009880163</v>
          </cell>
          <cell r="U61">
            <v>0.747503424152963</v>
          </cell>
        </row>
        <row r="62">
          <cell r="T62">
            <v>2.4196967898823964</v>
          </cell>
          <cell r="U62">
            <v>0.75321296343948529</v>
          </cell>
        </row>
        <row r="63">
          <cell r="T63">
            <v>2.4362635678159843</v>
          </cell>
          <cell r="U63">
            <v>0.75906612040044774</v>
          </cell>
        </row>
        <row r="64">
          <cell r="T64">
            <v>2.4531883544799742</v>
          </cell>
          <cell r="U64">
            <v>0.76504069817545584</v>
          </cell>
        </row>
        <row r="65">
          <cell r="T65">
            <v>2.4704730284491756</v>
          </cell>
          <cell r="U65">
            <v>0.77113759671861015</v>
          </cell>
        </row>
        <row r="66">
          <cell r="T66">
            <v>2.4881931187001838</v>
          </cell>
          <cell r="U66">
            <v>0.77738072884140785</v>
          </cell>
        </row>
        <row r="67">
          <cell r="T67">
            <v>2.5062769751699099</v>
          </cell>
          <cell r="U67">
            <v>0.78374806915725215</v>
          </cell>
        </row>
        <row r="68">
          <cell r="T68">
            <v>2.5248001502005821</v>
          </cell>
          <cell r="U68">
            <v>0.79026358495360616</v>
          </cell>
        </row>
        <row r="69">
          <cell r="T69">
            <v>2.542666546246418</v>
          </cell>
          <cell r="U69">
            <v>0.79658426775252988</v>
          </cell>
        </row>
        <row r="70">
          <cell r="T70">
            <v>2.5584327566348239</v>
          </cell>
          <cell r="U70">
            <v>0.80225694573333983</v>
          </cell>
        </row>
        <row r="71">
          <cell r="T71">
            <v>2.5760019546321793</v>
          </cell>
          <cell r="U71">
            <v>0.80850487039827645</v>
          </cell>
        </row>
        <row r="72">
          <cell r="T72">
            <v>2.5936606776759135</v>
          </cell>
          <cell r="U72">
            <v>0.81479132009799726</v>
          </cell>
        </row>
        <row r="73">
          <cell r="T73">
            <v>2.6114125936727994</v>
          </cell>
          <cell r="U73">
            <v>0.82111753204592108</v>
          </cell>
        </row>
        <row r="74">
          <cell r="T74">
            <v>2.6292614123935292</v>
          </cell>
          <cell r="U74">
            <v>0.82748476091696188</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A"/>
    </sheetNames>
    <sheetDataSet>
      <sheetData sheetId="0" refreshError="1">
        <row r="568">
          <cell r="K568">
            <v>12502.55</v>
          </cell>
        </row>
        <row r="569">
          <cell r="K569">
            <v>12661.63</v>
          </cell>
        </row>
        <row r="570">
          <cell r="K570">
            <v>12501.56</v>
          </cell>
        </row>
        <row r="571">
          <cell r="K571">
            <v>12542.890000000001</v>
          </cell>
        </row>
        <row r="572">
          <cell r="K572">
            <v>12533.99</v>
          </cell>
        </row>
        <row r="573">
          <cell r="K573">
            <v>12557.41</v>
          </cell>
        </row>
        <row r="574">
          <cell r="K574">
            <v>12575.35</v>
          </cell>
        </row>
        <row r="575">
          <cell r="K575">
            <v>12607.249999999998</v>
          </cell>
        </row>
        <row r="576">
          <cell r="K576">
            <v>12638.71</v>
          </cell>
        </row>
        <row r="577">
          <cell r="K577">
            <v>12683.89</v>
          </cell>
        </row>
        <row r="578">
          <cell r="K578">
            <v>12710.31</v>
          </cell>
        </row>
        <row r="579">
          <cell r="K579">
            <v>12734.240000000002</v>
          </cell>
        </row>
        <row r="580">
          <cell r="K580">
            <v>12768.220000000001</v>
          </cell>
        </row>
        <row r="581">
          <cell r="K581">
            <v>12800.55</v>
          </cell>
        </row>
        <row r="582">
          <cell r="K582">
            <v>12846.2</v>
          </cell>
        </row>
        <row r="583">
          <cell r="K583">
            <v>12889.75</v>
          </cell>
        </row>
        <row r="584">
          <cell r="K584">
            <v>12930.210000000001</v>
          </cell>
        </row>
        <row r="585">
          <cell r="K585">
            <v>12987.25</v>
          </cell>
        </row>
        <row r="586">
          <cell r="K586">
            <v>13045.73</v>
          </cell>
        </row>
        <row r="587">
          <cell r="K587">
            <v>13102.4</v>
          </cell>
        </row>
        <row r="588">
          <cell r="K588">
            <v>13151.529999999999</v>
          </cell>
        </row>
        <row r="589">
          <cell r="K589">
            <v>13208.26</v>
          </cell>
        </row>
        <row r="590">
          <cell r="K590">
            <v>13257.030000000002</v>
          </cell>
        </row>
        <row r="591">
          <cell r="K591">
            <v>13290.259999999998</v>
          </cell>
        </row>
        <row r="592">
          <cell r="K592">
            <v>13327</v>
          </cell>
        </row>
        <row r="593">
          <cell r="K593">
            <v>13352.91</v>
          </cell>
        </row>
        <row r="594">
          <cell r="K594">
            <v>13384.310000000001</v>
          </cell>
        </row>
        <row r="595">
          <cell r="K595">
            <v>13404.08</v>
          </cell>
        </row>
        <row r="596">
          <cell r="K596">
            <v>13425.45</v>
          </cell>
        </row>
        <row r="597">
          <cell r="K597">
            <v>13448.18</v>
          </cell>
        </row>
        <row r="598">
          <cell r="K598">
            <v>13482.560000000001</v>
          </cell>
        </row>
        <row r="599">
          <cell r="K599">
            <v>13505.400000000001</v>
          </cell>
        </row>
        <row r="600">
          <cell r="K600">
            <v>13532.62</v>
          </cell>
        </row>
        <row r="601">
          <cell r="K601">
            <v>13560.82</v>
          </cell>
        </row>
        <row r="602">
          <cell r="K602">
            <v>13588.53</v>
          </cell>
        </row>
        <row r="603">
          <cell r="K603">
            <v>13621.850000000002</v>
          </cell>
        </row>
        <row r="604">
          <cell r="K604">
            <v>13664.43</v>
          </cell>
        </row>
        <row r="605">
          <cell r="K605">
            <v>13694.539999999999</v>
          </cell>
        </row>
        <row r="606">
          <cell r="K606">
            <v>13725.210000000001</v>
          </cell>
        </row>
        <row r="607">
          <cell r="K607">
            <v>13747.36</v>
          </cell>
        </row>
        <row r="608">
          <cell r="K608">
            <v>13773.37</v>
          </cell>
        </row>
        <row r="609">
          <cell r="K609">
            <v>13798.59</v>
          </cell>
        </row>
        <row r="610">
          <cell r="K610">
            <v>13829.980000000001</v>
          </cell>
        </row>
        <row r="611">
          <cell r="K611">
            <v>13856.43</v>
          </cell>
        </row>
        <row r="612">
          <cell r="K612">
            <v>13890.83</v>
          </cell>
        </row>
        <row r="613">
          <cell r="K613">
            <v>13915.24</v>
          </cell>
        </row>
        <row r="614">
          <cell r="K614">
            <v>13945.170000000002</v>
          </cell>
        </row>
        <row r="615">
          <cell r="K615">
            <v>13970.26</v>
          </cell>
        </row>
        <row r="616">
          <cell r="K616">
            <v>13996.07</v>
          </cell>
        </row>
        <row r="617">
          <cell r="K617">
            <v>14023.25</v>
          </cell>
        </row>
        <row r="618">
          <cell r="K618">
            <v>14051.310000000001</v>
          </cell>
        </row>
        <row r="619">
          <cell r="K619">
            <v>14075.609999999999</v>
          </cell>
        </row>
        <row r="876">
          <cell r="B876">
            <v>37793.5</v>
          </cell>
        </row>
        <row r="877">
          <cell r="B877">
            <v>35794.199999999997</v>
          </cell>
        </row>
        <row r="878">
          <cell r="B878">
            <v>35789.9</v>
          </cell>
        </row>
        <row r="879">
          <cell r="B879">
            <v>34759.199999999997</v>
          </cell>
        </row>
        <row r="880">
          <cell r="B880">
            <v>34037.4</v>
          </cell>
        </row>
        <row r="881">
          <cell r="B881">
            <v>33261.4</v>
          </cell>
        </row>
        <row r="882">
          <cell r="B882">
            <v>32854.1</v>
          </cell>
        </row>
        <row r="883">
          <cell r="B883">
            <v>32678.2</v>
          </cell>
        </row>
        <row r="884">
          <cell r="B884">
            <v>32717.3</v>
          </cell>
        </row>
        <row r="885">
          <cell r="B885">
            <v>32648.9</v>
          </cell>
        </row>
        <row r="886">
          <cell r="B886">
            <v>32442.799999999999</v>
          </cell>
        </row>
        <row r="887">
          <cell r="B887">
            <v>32467.200000000001</v>
          </cell>
        </row>
        <row r="888">
          <cell r="B888">
            <v>32570.7</v>
          </cell>
        </row>
        <row r="889">
          <cell r="B889">
            <v>32914.699999999997</v>
          </cell>
        </row>
        <row r="890">
          <cell r="B890">
            <v>33254.300000000003</v>
          </cell>
        </row>
        <row r="891">
          <cell r="B891">
            <v>33372.5</v>
          </cell>
        </row>
        <row r="892">
          <cell r="B892">
            <v>33991.4</v>
          </cell>
        </row>
        <row r="893">
          <cell r="B893">
            <v>34587</v>
          </cell>
        </row>
        <row r="894">
          <cell r="B894">
            <v>35089.5</v>
          </cell>
        </row>
        <row r="895">
          <cell r="B895">
            <v>35426</v>
          </cell>
        </row>
        <row r="896">
          <cell r="B896">
            <v>35732.699999999997</v>
          </cell>
        </row>
        <row r="897">
          <cell r="B897">
            <v>36079</v>
          </cell>
        </row>
        <row r="898">
          <cell r="B898">
            <v>36439.599999999999</v>
          </cell>
        </row>
        <row r="899">
          <cell r="B899">
            <v>36699.1</v>
          </cell>
        </row>
        <row r="900">
          <cell r="B900">
            <v>37026.800000000003</v>
          </cell>
        </row>
        <row r="901">
          <cell r="B901">
            <v>37298.1</v>
          </cell>
        </row>
        <row r="902">
          <cell r="B902">
            <v>37305.800000000003</v>
          </cell>
        </row>
        <row r="903">
          <cell r="B903">
            <v>37239.599999999999</v>
          </cell>
        </row>
        <row r="904">
          <cell r="B904">
            <v>37258.199999999997</v>
          </cell>
        </row>
        <row r="905">
          <cell r="B905">
            <v>37290</v>
          </cell>
        </row>
        <row r="906">
          <cell r="B906">
            <v>37365.199999999997</v>
          </cell>
        </row>
        <row r="907">
          <cell r="B907">
            <v>37444.300000000003</v>
          </cell>
        </row>
        <row r="908">
          <cell r="B908">
            <v>37748.699999999997</v>
          </cell>
        </row>
        <row r="909">
          <cell r="B909">
            <v>37742.5</v>
          </cell>
        </row>
        <row r="910">
          <cell r="B910">
            <v>37870</v>
          </cell>
        </row>
        <row r="911">
          <cell r="B911">
            <v>37925.300000000003</v>
          </cell>
        </row>
        <row r="912">
          <cell r="B912">
            <v>37933.599999999999</v>
          </cell>
        </row>
        <row r="913">
          <cell r="B913">
            <v>38295</v>
          </cell>
        </row>
        <row r="914">
          <cell r="B914">
            <v>38561.199999999997</v>
          </cell>
        </row>
        <row r="915">
          <cell r="B915">
            <v>38850.300000000003</v>
          </cell>
        </row>
        <row r="916">
          <cell r="B916">
            <v>39197.300000000003</v>
          </cell>
        </row>
        <row r="917">
          <cell r="B917">
            <v>39546.300000000003</v>
          </cell>
        </row>
        <row r="918">
          <cell r="B918">
            <v>39988.1</v>
          </cell>
        </row>
        <row r="919">
          <cell r="B919">
            <v>40384</v>
          </cell>
        </row>
        <row r="920">
          <cell r="B920">
            <v>40797.5</v>
          </cell>
        </row>
        <row r="921">
          <cell r="B921">
            <v>41138</v>
          </cell>
        </row>
        <row r="922">
          <cell r="B922">
            <v>41479.599999999999</v>
          </cell>
        </row>
        <row r="923">
          <cell r="B923">
            <v>41873.800000000003</v>
          </cell>
        </row>
        <row r="924">
          <cell r="B924">
            <v>42257.7</v>
          </cell>
        </row>
        <row r="925">
          <cell r="B925">
            <v>42540.1</v>
          </cell>
        </row>
        <row r="926">
          <cell r="B926">
            <v>42964.3</v>
          </cell>
        </row>
        <row r="927">
          <cell r="B927">
            <v>43310.3</v>
          </cell>
        </row>
        <row r="953">
          <cell r="B953">
            <v>17712.8</v>
          </cell>
        </row>
        <row r="954">
          <cell r="B954">
            <v>17855.7</v>
          </cell>
        </row>
        <row r="955">
          <cell r="B955">
            <v>16754.8</v>
          </cell>
        </row>
        <row r="956">
          <cell r="B956">
            <v>15864.9</v>
          </cell>
        </row>
        <row r="957">
          <cell r="B957">
            <v>15532.6</v>
          </cell>
        </row>
        <row r="958">
          <cell r="B958">
            <v>14900.8</v>
          </cell>
        </row>
        <row r="959">
          <cell r="B959">
            <v>14463.1</v>
          </cell>
        </row>
        <row r="960">
          <cell r="B960">
            <v>13868.5</v>
          </cell>
        </row>
        <row r="961">
          <cell r="B961">
            <v>13627.4</v>
          </cell>
        </row>
        <row r="962">
          <cell r="B962">
            <v>13125</v>
          </cell>
        </row>
        <row r="963">
          <cell r="B963">
            <v>12668.7</v>
          </cell>
        </row>
        <row r="964">
          <cell r="B964">
            <v>12396.9</v>
          </cell>
        </row>
        <row r="965">
          <cell r="B965">
            <v>12127.4</v>
          </cell>
        </row>
        <row r="966">
          <cell r="B966">
            <v>12006.8</v>
          </cell>
        </row>
        <row r="967">
          <cell r="B967">
            <v>11863.8</v>
          </cell>
        </row>
        <row r="968">
          <cell r="B968">
            <v>11612</v>
          </cell>
        </row>
        <row r="969">
          <cell r="B969">
            <v>11616.9</v>
          </cell>
        </row>
        <row r="970">
          <cell r="B970">
            <v>11486.1</v>
          </cell>
        </row>
        <row r="971">
          <cell r="B971">
            <v>11489.7</v>
          </cell>
        </row>
        <row r="972">
          <cell r="B972">
            <v>11355.6</v>
          </cell>
        </row>
        <row r="973">
          <cell r="B973">
            <v>11279.9</v>
          </cell>
        </row>
        <row r="974">
          <cell r="B974">
            <v>11195.3</v>
          </cell>
        </row>
        <row r="975">
          <cell r="B975">
            <v>11193.5</v>
          </cell>
        </row>
        <row r="976">
          <cell r="B976">
            <v>11145.3</v>
          </cell>
        </row>
        <row r="977">
          <cell r="B977">
            <v>11127.4</v>
          </cell>
        </row>
        <row r="978">
          <cell r="B978">
            <v>11102.1</v>
          </cell>
        </row>
        <row r="979">
          <cell r="B979">
            <v>11036.4</v>
          </cell>
        </row>
        <row r="980">
          <cell r="B980">
            <v>10966.2</v>
          </cell>
        </row>
        <row r="981">
          <cell r="B981">
            <v>10938.9</v>
          </cell>
        </row>
        <row r="982">
          <cell r="B982">
            <v>10878.2</v>
          </cell>
        </row>
        <row r="983">
          <cell r="B983">
            <v>10841.2</v>
          </cell>
        </row>
        <row r="984">
          <cell r="B984">
            <v>10800.4</v>
          </cell>
        </row>
        <row r="985">
          <cell r="B985">
            <v>10835.2</v>
          </cell>
        </row>
        <row r="986">
          <cell r="B986">
            <v>10795.7</v>
          </cell>
        </row>
        <row r="987">
          <cell r="B987">
            <v>10795.1</v>
          </cell>
        </row>
        <row r="988">
          <cell r="B988">
            <v>10824.4</v>
          </cell>
        </row>
        <row r="989">
          <cell r="B989">
            <v>10820.9</v>
          </cell>
        </row>
        <row r="990">
          <cell r="B990">
            <v>10820</v>
          </cell>
        </row>
        <row r="991">
          <cell r="B991">
            <v>10789.2</v>
          </cell>
        </row>
        <row r="992">
          <cell r="B992">
            <v>10755.4</v>
          </cell>
        </row>
        <row r="993">
          <cell r="B993">
            <v>10758.7</v>
          </cell>
        </row>
        <row r="994">
          <cell r="B994">
            <v>10777.1</v>
          </cell>
        </row>
        <row r="995">
          <cell r="B995">
            <v>10780.5</v>
          </cell>
        </row>
        <row r="996">
          <cell r="B996">
            <v>10789.3</v>
          </cell>
        </row>
        <row r="997">
          <cell r="B997">
            <v>10803.1</v>
          </cell>
        </row>
        <row r="998">
          <cell r="B998">
            <v>10792</v>
          </cell>
        </row>
        <row r="999">
          <cell r="B999">
            <v>10786.5</v>
          </cell>
        </row>
        <row r="1000">
          <cell r="B1000">
            <v>10783</v>
          </cell>
        </row>
        <row r="1001">
          <cell r="B1001">
            <v>10777.3</v>
          </cell>
        </row>
        <row r="1002">
          <cell r="B1002">
            <v>10773.9</v>
          </cell>
        </row>
        <row r="1003">
          <cell r="B1003">
            <v>10770.1</v>
          </cell>
        </row>
        <row r="1004">
          <cell r="B1004">
            <v>10761.3</v>
          </cell>
        </row>
        <row r="1030">
          <cell r="B1030">
            <v>11477.5</v>
          </cell>
        </row>
        <row r="1031">
          <cell r="B1031">
            <v>11859.1</v>
          </cell>
        </row>
        <row r="1032">
          <cell r="B1032">
            <v>12147.8</v>
          </cell>
        </row>
        <row r="1033">
          <cell r="B1033">
            <v>12126.8</v>
          </cell>
        </row>
        <row r="1034">
          <cell r="B1034">
            <v>12407</v>
          </cell>
        </row>
        <row r="1035">
          <cell r="B1035">
            <v>12810.6</v>
          </cell>
        </row>
        <row r="1036">
          <cell r="B1036">
            <v>13325.6</v>
          </cell>
        </row>
        <row r="1037">
          <cell r="B1037">
            <v>13645</v>
          </cell>
        </row>
        <row r="1038">
          <cell r="B1038">
            <v>13970.9</v>
          </cell>
        </row>
        <row r="1039">
          <cell r="B1039">
            <v>14203.4</v>
          </cell>
        </row>
        <row r="1040">
          <cell r="B1040">
            <v>14563</v>
          </cell>
        </row>
        <row r="1041">
          <cell r="B1041">
            <v>15212.4</v>
          </cell>
        </row>
        <row r="1042">
          <cell r="B1042">
            <v>15605.8</v>
          </cell>
        </row>
        <row r="1043">
          <cell r="B1043">
            <v>15694.5</v>
          </cell>
        </row>
        <row r="1044">
          <cell r="B1044">
            <v>16088.2</v>
          </cell>
        </row>
        <row r="1045">
          <cell r="B1045">
            <v>16368.2</v>
          </cell>
        </row>
        <row r="1046">
          <cell r="B1046">
            <v>17073.2</v>
          </cell>
        </row>
        <row r="1047">
          <cell r="B1047">
            <v>17439.2</v>
          </cell>
        </row>
        <row r="1048">
          <cell r="B1048">
            <v>17767.400000000001</v>
          </cell>
        </row>
        <row r="1049">
          <cell r="B1049">
            <v>17919.7</v>
          </cell>
        </row>
        <row r="1050">
          <cell r="B1050">
            <v>18347.2</v>
          </cell>
        </row>
        <row r="1051">
          <cell r="B1051">
            <v>18687.2</v>
          </cell>
        </row>
        <row r="1052">
          <cell r="B1052">
            <v>18977.599999999999</v>
          </cell>
        </row>
        <row r="1053">
          <cell r="B1053">
            <v>19232.8</v>
          </cell>
        </row>
        <row r="1054">
          <cell r="B1054">
            <v>19644.2</v>
          </cell>
        </row>
        <row r="1055">
          <cell r="B1055">
            <v>19980.400000000001</v>
          </cell>
        </row>
        <row r="1056">
          <cell r="B1056">
            <v>20125.7</v>
          </cell>
        </row>
        <row r="1057">
          <cell r="B1057">
            <v>20082.5</v>
          </cell>
        </row>
        <row r="1058">
          <cell r="B1058">
            <v>20235.5</v>
          </cell>
        </row>
        <row r="1059">
          <cell r="B1059">
            <v>20287.599999999999</v>
          </cell>
        </row>
        <row r="1060">
          <cell r="B1060">
            <v>20494.099999999999</v>
          </cell>
        </row>
        <row r="1061">
          <cell r="B1061">
            <v>20731.5</v>
          </cell>
        </row>
        <row r="1062">
          <cell r="B1062">
            <v>21346.1</v>
          </cell>
        </row>
        <row r="1063">
          <cell r="B1063">
            <v>21711.599999999999</v>
          </cell>
        </row>
        <row r="1064">
          <cell r="B1064">
            <v>21949</v>
          </cell>
        </row>
        <row r="1065">
          <cell r="B1065">
            <v>22504.9</v>
          </cell>
        </row>
        <row r="1066">
          <cell r="B1066">
            <v>22773.200000000001</v>
          </cell>
        </row>
        <row r="1067">
          <cell r="B1067">
            <v>23065.8</v>
          </cell>
        </row>
        <row r="1068">
          <cell r="B1068">
            <v>23247.5</v>
          </cell>
        </row>
        <row r="1069">
          <cell r="B1069">
            <v>23408.400000000001</v>
          </cell>
        </row>
        <row r="1070">
          <cell r="B1070">
            <v>23671.5</v>
          </cell>
        </row>
        <row r="1071">
          <cell r="B1071">
            <v>24161</v>
          </cell>
        </row>
        <row r="1072">
          <cell r="B1072">
            <v>24617.3</v>
          </cell>
        </row>
        <row r="1073">
          <cell r="B1073">
            <v>24952.6</v>
          </cell>
        </row>
        <row r="1074">
          <cell r="B1074">
            <v>25355.9</v>
          </cell>
        </row>
        <row r="1075">
          <cell r="B1075">
            <v>25716.5</v>
          </cell>
        </row>
        <row r="1076">
          <cell r="B1076">
            <v>26105.5</v>
          </cell>
        </row>
        <row r="1077">
          <cell r="B1077">
            <v>26237.8</v>
          </cell>
        </row>
        <row r="1078">
          <cell r="B1078">
            <v>26636.7</v>
          </cell>
        </row>
        <row r="1079">
          <cell r="B1079">
            <v>27063.9</v>
          </cell>
        </row>
        <row r="1080">
          <cell r="B1080">
            <v>27459.3</v>
          </cell>
        </row>
        <row r="1081">
          <cell r="B1081">
            <v>27892.7</v>
          </cell>
        </row>
      </sheetData>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Table 1"/>
      <sheetName val="Table 2"/>
      <sheetName val="Table 3"/>
      <sheetName val="Table 4"/>
    </sheetNames>
    <sheetDataSet>
      <sheetData sheetId="0" refreshError="1"/>
      <sheetData sheetId="1" refreshError="1"/>
      <sheetData sheetId="2" refreshError="1">
        <row r="39">
          <cell r="O39">
            <v>10831.240435924979</v>
          </cell>
        </row>
        <row r="40">
          <cell r="O40">
            <v>10608.019464191713</v>
          </cell>
        </row>
        <row r="41">
          <cell r="O41">
            <v>10434.128577081879</v>
          </cell>
        </row>
        <row r="42">
          <cell r="O42">
            <v>10264.645462824461</v>
          </cell>
        </row>
        <row r="43">
          <cell r="O43">
            <v>10117.986332342693</v>
          </cell>
        </row>
        <row r="44">
          <cell r="O44">
            <v>9999.9559944984212</v>
          </cell>
        </row>
        <row r="45">
          <cell r="O45">
            <v>9883.662847969521</v>
          </cell>
        </row>
        <row r="46">
          <cell r="O46">
            <v>9868.6765094653692</v>
          </cell>
        </row>
        <row r="47">
          <cell r="O47">
            <v>9852.653684669669</v>
          </cell>
        </row>
        <row r="48">
          <cell r="O48">
            <v>9840.7525799667637</v>
          </cell>
        </row>
        <row r="49">
          <cell r="O49">
            <v>9834.3143331499505</v>
          </cell>
        </row>
        <row r="50">
          <cell r="O50">
            <v>9830.184623697387</v>
          </cell>
        </row>
        <row r="51">
          <cell r="O51">
            <v>9775.1216482254113</v>
          </cell>
        </row>
        <row r="52">
          <cell r="O52">
            <v>9718.9515482151728</v>
          </cell>
        </row>
        <row r="53">
          <cell r="O53">
            <v>9662.2471766294457</v>
          </cell>
        </row>
        <row r="54">
          <cell r="O54">
            <v>9607.0536948001572</v>
          </cell>
        </row>
        <row r="55">
          <cell r="O55">
            <v>9554.977965297383</v>
          </cell>
        </row>
        <row r="56">
          <cell r="O56">
            <v>9506.3965621415118</v>
          </cell>
        </row>
        <row r="57">
          <cell r="O57">
            <v>9458.8611448111023</v>
          </cell>
        </row>
        <row r="58">
          <cell r="O58">
            <v>9412.0435142023925</v>
          </cell>
        </row>
        <row r="59">
          <cell r="O59">
            <v>9365.8712547093</v>
          </cell>
        </row>
        <row r="60">
          <cell r="O60">
            <v>9320.3430115659812</v>
          </cell>
        </row>
        <row r="61">
          <cell r="O61">
            <v>9276.2141795064981</v>
          </cell>
        </row>
        <row r="62">
          <cell r="O62">
            <v>9233.6070552655165</v>
          </cell>
        </row>
        <row r="63">
          <cell r="O63">
            <v>9192.4724114462351</v>
          </cell>
        </row>
        <row r="64">
          <cell r="O64">
            <v>9152.7034287062397</v>
          </cell>
        </row>
        <row r="65">
          <cell r="O65">
            <v>9113.9643054132575</v>
          </cell>
        </row>
        <row r="66">
          <cell r="O66">
            <v>9076.4991387571408</v>
          </cell>
        </row>
        <row r="67">
          <cell r="O67">
            <v>9040.3140781200436</v>
          </cell>
        </row>
        <row r="68">
          <cell r="O68">
            <v>9005.4101589694146</v>
          </cell>
        </row>
        <row r="69">
          <cell r="O69">
            <v>8971.7762356487783</v>
          </cell>
        </row>
        <row r="70">
          <cell r="O70">
            <v>8939.327689579497</v>
          </cell>
        </row>
        <row r="71">
          <cell r="O71">
            <v>8908.0915012783062</v>
          </cell>
        </row>
        <row r="72">
          <cell r="O72">
            <v>8878.0312566043631</v>
          </cell>
        </row>
        <row r="73">
          <cell r="O73">
            <v>8849.1119200560843</v>
          </cell>
        </row>
        <row r="74">
          <cell r="O74">
            <v>8821.3072976286494</v>
          </cell>
        </row>
        <row r="75">
          <cell r="O75">
            <v>8794.587552584002</v>
          </cell>
        </row>
        <row r="76">
          <cell r="O76">
            <v>8768.922050099638</v>
          </cell>
        </row>
        <row r="77">
          <cell r="O77">
            <v>8744.2798311122187</v>
          </cell>
        </row>
        <row r="78">
          <cell r="O78">
            <v>8720.6305634123564</v>
          </cell>
        </row>
        <row r="79">
          <cell r="O79">
            <v>8697.9454488345909</v>
          </cell>
        </row>
        <row r="80">
          <cell r="O80">
            <v>8676.1958357404164</v>
          </cell>
        </row>
        <row r="81">
          <cell r="O81">
            <v>8655.3539972562266</v>
          </cell>
        </row>
        <row r="82">
          <cell r="O82">
            <v>8635.39311549999</v>
          </cell>
        </row>
        <row r="83">
          <cell r="O83">
            <v>8616.2869543555826</v>
          </cell>
        </row>
        <row r="84">
          <cell r="O84">
            <v>8598.0099396143232</v>
          </cell>
        </row>
        <row r="85">
          <cell r="O85">
            <v>8580.5372154321285</v>
          </cell>
        </row>
        <row r="86">
          <cell r="O86">
            <v>8563.8446723285069</v>
          </cell>
        </row>
        <row r="87">
          <cell r="O87">
            <v>8547.9089250265242</v>
          </cell>
        </row>
        <row r="88">
          <cell r="O88">
            <v>8532.7072806404285</v>
          </cell>
        </row>
        <row r="89">
          <cell r="O89">
            <v>8518.2177234962382</v>
          </cell>
        </row>
        <row r="90">
          <cell r="O90">
            <v>8504.4188900324607</v>
          </cell>
        </row>
      </sheetData>
      <sheetData sheetId="3"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D168"/>
  <sheetViews>
    <sheetView tabSelected="1" showRuler="0" workbookViewId="0">
      <selection activeCell="K14" sqref="K14"/>
    </sheetView>
  </sheetViews>
  <sheetFormatPr baseColWidth="10" defaultColWidth="11.33203125" defaultRowHeight="10" x14ac:dyDescent="0"/>
  <cols>
    <col min="1" max="1" width="6.1640625" style="27" customWidth="1"/>
    <col min="2" max="2" width="9" style="4" customWidth="1"/>
    <col min="3" max="3" width="8.6640625" style="4" customWidth="1"/>
    <col min="4" max="4" width="8" style="4" customWidth="1"/>
    <col min="5" max="5" width="8.6640625" style="4" customWidth="1"/>
    <col min="6" max="6" width="8.83203125" style="4" customWidth="1"/>
    <col min="7" max="7" width="8.6640625" style="4" customWidth="1"/>
    <col min="8" max="8" width="8.83203125" style="4" customWidth="1"/>
    <col min="9" max="9" width="8.6640625" style="4" customWidth="1"/>
    <col min="10" max="10" width="8.83203125" style="4" customWidth="1"/>
    <col min="11" max="11" width="8.6640625" style="4" customWidth="1"/>
    <col min="12" max="12" width="8.5" style="4" customWidth="1"/>
    <col min="13" max="13" width="8.6640625" style="28" customWidth="1"/>
    <col min="14" max="15" width="8.83203125" style="4" customWidth="1"/>
    <col min="16" max="16" width="9.1640625" style="4" customWidth="1"/>
    <col min="17" max="16384" width="11.33203125" style="4"/>
  </cols>
  <sheetData>
    <row r="1" spans="1:20" ht="11">
      <c r="A1" s="1" t="s">
        <v>10</v>
      </c>
      <c r="B1" s="2"/>
      <c r="C1" s="2"/>
      <c r="D1" s="2"/>
      <c r="E1" s="2"/>
      <c r="F1" s="2"/>
      <c r="G1" s="2"/>
      <c r="H1" s="2"/>
      <c r="I1" s="2"/>
      <c r="J1" s="2"/>
      <c r="K1" s="2"/>
      <c r="L1" s="2"/>
      <c r="M1" s="3"/>
      <c r="N1" s="2"/>
      <c r="P1" s="5"/>
      <c r="Q1" s="5"/>
      <c r="R1" s="5"/>
      <c r="S1" s="5"/>
      <c r="T1" s="5"/>
    </row>
    <row r="2" spans="1:20" s="6" customFormat="1" ht="40">
      <c r="B2" s="7" t="s">
        <v>11</v>
      </c>
      <c r="C2" s="7" t="s">
        <v>12</v>
      </c>
      <c r="D2" s="7" t="s">
        <v>13</v>
      </c>
      <c r="E2" s="7" t="s">
        <v>14</v>
      </c>
      <c r="F2" s="7" t="s">
        <v>15</v>
      </c>
      <c r="G2" s="7" t="s">
        <v>16</v>
      </c>
      <c r="H2" s="7" t="s">
        <v>17</v>
      </c>
      <c r="I2" s="6" t="s">
        <v>18</v>
      </c>
      <c r="J2" s="6" t="s">
        <v>19</v>
      </c>
      <c r="K2" s="6" t="s">
        <v>20</v>
      </c>
      <c r="L2" s="7" t="s">
        <v>21</v>
      </c>
      <c r="M2" s="8" t="s">
        <v>22</v>
      </c>
      <c r="N2" s="7" t="s">
        <v>23</v>
      </c>
      <c r="O2" s="4"/>
      <c r="P2" s="7" t="s">
        <v>24</v>
      </c>
      <c r="Q2" s="7" t="s">
        <v>25</v>
      </c>
      <c r="R2" s="7" t="s">
        <v>26</v>
      </c>
      <c r="S2" s="7" t="s">
        <v>27</v>
      </c>
      <c r="T2" s="7" t="s">
        <v>28</v>
      </c>
    </row>
    <row r="3" spans="1:20" s="6" customFormat="1" ht="21">
      <c r="A3" s="9" t="s">
        <v>29</v>
      </c>
      <c r="B3" s="9" t="s">
        <v>30</v>
      </c>
      <c r="C3" s="9" t="s">
        <v>30</v>
      </c>
      <c r="D3" s="9" t="s">
        <v>31</v>
      </c>
      <c r="E3" s="9" t="s">
        <v>30</v>
      </c>
      <c r="F3" s="9" t="s">
        <v>32</v>
      </c>
      <c r="G3" s="9" t="s">
        <v>32</v>
      </c>
      <c r="H3" s="9" t="s">
        <v>32</v>
      </c>
      <c r="I3" s="9" t="s">
        <v>33</v>
      </c>
      <c r="J3" s="9" t="s">
        <v>34</v>
      </c>
      <c r="K3" s="9" t="s">
        <v>33</v>
      </c>
      <c r="L3" s="9" t="s">
        <v>35</v>
      </c>
      <c r="M3" s="9" t="s">
        <v>31</v>
      </c>
      <c r="N3" s="9" t="s">
        <v>36</v>
      </c>
      <c r="O3" s="4"/>
      <c r="P3" s="9" t="s">
        <v>31</v>
      </c>
      <c r="Q3" s="9" t="s">
        <v>37</v>
      </c>
      <c r="R3" s="9" t="s">
        <v>37</v>
      </c>
      <c r="S3" s="9" t="s">
        <v>37</v>
      </c>
      <c r="T3" s="9" t="s">
        <v>37</v>
      </c>
    </row>
    <row r="4" spans="1:20">
      <c r="A4" s="10">
        <v>1900</v>
      </c>
      <c r="B4" s="11">
        <v>0</v>
      </c>
      <c r="C4" s="12">
        <v>0</v>
      </c>
      <c r="D4" s="12">
        <v>0</v>
      </c>
      <c r="E4" s="11">
        <f>5*4.621</f>
        <v>23.105000000000004</v>
      </c>
      <c r="F4" s="11">
        <v>26372</v>
      </c>
      <c r="G4" s="11">
        <v>8706</v>
      </c>
      <c r="H4" s="13">
        <f>0+(H$69/66)</f>
        <v>1.393939393939394</v>
      </c>
      <c r="I4" s="12">
        <v>0</v>
      </c>
      <c r="J4" s="11">
        <v>0</v>
      </c>
      <c r="K4" s="12">
        <v>0</v>
      </c>
      <c r="L4" s="11">
        <v>2168</v>
      </c>
      <c r="M4" s="11">
        <v>1460</v>
      </c>
      <c r="N4" s="11">
        <v>0</v>
      </c>
      <c r="P4" s="11">
        <v>4800</v>
      </c>
      <c r="Q4" s="14">
        <f>(((0.5*62.4/2000)*P4))*1000</f>
        <v>74880</v>
      </c>
      <c r="R4" s="14"/>
      <c r="S4" s="14">
        <f>(((0.5*62.4/2000)*R4))*1000</f>
        <v>0</v>
      </c>
      <c r="T4" s="14">
        <f>(((0.5*62.4/2000)*S4))*1000</f>
        <v>0</v>
      </c>
    </row>
    <row r="5" spans="1:20">
      <c r="A5" s="10">
        <v>1901</v>
      </c>
      <c r="B5" s="11">
        <v>0</v>
      </c>
      <c r="C5" s="12">
        <v>0</v>
      </c>
      <c r="D5" s="12">
        <v>0</v>
      </c>
      <c r="E5" s="11">
        <f>5*4.621</f>
        <v>23.105000000000004</v>
      </c>
      <c r="F5" s="11">
        <f>(32538-26372)/4+F4</f>
        <v>27913.5</v>
      </c>
      <c r="G5" s="11">
        <f>(10462-8706)/3+G4</f>
        <v>9291.3333333333339</v>
      </c>
      <c r="H5" s="13">
        <f>H4+(H$69/66)</f>
        <v>2.7878787878787881</v>
      </c>
      <c r="I5" s="12">
        <v>0</v>
      </c>
      <c r="J5" s="11">
        <v>0</v>
      </c>
      <c r="K5" s="12">
        <v>0</v>
      </c>
      <c r="L5" s="11">
        <f>(3107-2168)/4+L4</f>
        <v>2402.75</v>
      </c>
      <c r="M5" s="11">
        <v>1490</v>
      </c>
      <c r="N5" s="11">
        <v>0</v>
      </c>
      <c r="P5" s="11">
        <v>4650</v>
      </c>
      <c r="Q5" s="14">
        <f t="shared" ref="Q5:Q68" si="0">(((0.5*62.4/2000)*P5))*1000</f>
        <v>72539.999999999985</v>
      </c>
      <c r="R5" s="14"/>
      <c r="S5" s="14"/>
      <c r="T5" s="14"/>
    </row>
    <row r="6" spans="1:20">
      <c r="A6" s="10">
        <v>1902</v>
      </c>
      <c r="B6" s="11">
        <v>0</v>
      </c>
      <c r="C6" s="12">
        <v>0</v>
      </c>
      <c r="D6" s="12">
        <v>0</v>
      </c>
      <c r="E6" s="11">
        <f>10*4.621</f>
        <v>46.210000000000008</v>
      </c>
      <c r="F6" s="11">
        <f>(32538-26372)/4+F5</f>
        <v>29455</v>
      </c>
      <c r="G6" s="11">
        <f>(10462-8706)/3+G5</f>
        <v>9876.6666666666679</v>
      </c>
      <c r="H6" s="13">
        <f t="shared" ref="H6:H68" si="1">H5+(H$69/66)</f>
        <v>4.1818181818181817</v>
      </c>
      <c r="I6" s="12">
        <v>0</v>
      </c>
      <c r="J6" s="11">
        <v>0</v>
      </c>
      <c r="K6" s="12">
        <v>0</v>
      </c>
      <c r="L6" s="11">
        <f>(3107-2168)/4+L5</f>
        <v>2637.5</v>
      </c>
      <c r="M6" s="11">
        <v>1525</v>
      </c>
      <c r="N6" s="11">
        <v>0</v>
      </c>
      <c r="P6" s="11">
        <v>4500</v>
      </c>
      <c r="Q6" s="14">
        <f t="shared" si="0"/>
        <v>70200</v>
      </c>
      <c r="R6" s="14"/>
      <c r="S6" s="14"/>
      <c r="T6" s="14"/>
    </row>
    <row r="7" spans="1:20">
      <c r="A7" s="10">
        <v>1903</v>
      </c>
      <c r="B7" s="11">
        <v>0</v>
      </c>
      <c r="C7" s="12">
        <v>0</v>
      </c>
      <c r="D7" s="12">
        <v>0</v>
      </c>
      <c r="E7" s="11">
        <f>15*4.621</f>
        <v>69.315000000000012</v>
      </c>
      <c r="F7" s="11">
        <f>(32538-26372)/4+F6</f>
        <v>30996.5</v>
      </c>
      <c r="G7" s="11">
        <f>(10462-8706)/3+G6</f>
        <v>10462.000000000002</v>
      </c>
      <c r="H7" s="13">
        <f t="shared" si="1"/>
        <v>5.5757575757575761</v>
      </c>
      <c r="I7" s="12">
        <v>0</v>
      </c>
      <c r="J7" s="11">
        <v>0</v>
      </c>
      <c r="K7" s="12">
        <v>0</v>
      </c>
      <c r="L7" s="11">
        <f>(3107-2168)/4+L6</f>
        <v>2872.25</v>
      </c>
      <c r="M7" s="11">
        <v>1575</v>
      </c>
      <c r="N7" s="11">
        <v>0</v>
      </c>
      <c r="P7" s="11">
        <v>4350</v>
      </c>
      <c r="Q7" s="14">
        <f t="shared" si="0"/>
        <v>67860</v>
      </c>
      <c r="R7" s="14"/>
      <c r="S7" s="14"/>
      <c r="T7" s="14"/>
    </row>
    <row r="8" spans="1:20">
      <c r="A8" s="10">
        <v>1904</v>
      </c>
      <c r="B8" s="11">
        <v>0</v>
      </c>
      <c r="C8" s="12">
        <v>0</v>
      </c>
      <c r="D8" s="12">
        <v>0</v>
      </c>
      <c r="E8" s="11">
        <f>20*4.621</f>
        <v>92.420000000000016</v>
      </c>
      <c r="F8" s="11">
        <v>32538</v>
      </c>
      <c r="G8" s="11">
        <v>10462</v>
      </c>
      <c r="H8" s="13">
        <f t="shared" si="1"/>
        <v>6.9696969696969706</v>
      </c>
      <c r="I8" s="12">
        <v>0</v>
      </c>
      <c r="J8" s="11">
        <v>0</v>
      </c>
      <c r="K8" s="12">
        <v>0</v>
      </c>
      <c r="L8" s="11">
        <v>3107</v>
      </c>
      <c r="M8" s="11">
        <v>1600</v>
      </c>
      <c r="N8" s="11">
        <v>0</v>
      </c>
      <c r="P8" s="11">
        <v>4200</v>
      </c>
      <c r="Q8" s="14">
        <f t="shared" si="0"/>
        <v>65519.999999999993</v>
      </c>
      <c r="R8" s="14"/>
      <c r="S8" s="14"/>
      <c r="T8" s="14"/>
    </row>
    <row r="9" spans="1:20">
      <c r="A9" s="10">
        <v>1905</v>
      </c>
      <c r="B9" s="11">
        <v>0</v>
      </c>
      <c r="C9" s="12">
        <v>0</v>
      </c>
      <c r="D9" s="12">
        <v>0</v>
      </c>
      <c r="E9" s="11">
        <f>35*4.621</f>
        <v>161.73500000000001</v>
      </c>
      <c r="F9" s="11">
        <v>32960</v>
      </c>
      <c r="G9" s="11">
        <v>10540</v>
      </c>
      <c r="H9" s="13">
        <f t="shared" si="1"/>
        <v>8.3636363636363651</v>
      </c>
      <c r="I9" s="12">
        <v>0</v>
      </c>
      <c r="J9" s="11">
        <v>0</v>
      </c>
      <c r="K9" s="12">
        <v>0</v>
      </c>
      <c r="L9" s="11">
        <f>(4121-3107)/5+L8</f>
        <v>3309.8</v>
      </c>
      <c r="M9" s="11">
        <v>1640</v>
      </c>
      <c r="N9" s="11">
        <v>0</v>
      </c>
      <c r="P9" s="11">
        <v>4050</v>
      </c>
      <c r="Q9" s="14">
        <f t="shared" si="0"/>
        <v>63180</v>
      </c>
      <c r="R9" s="14"/>
      <c r="S9" s="14"/>
      <c r="T9" s="14"/>
    </row>
    <row r="10" spans="1:20">
      <c r="A10" s="10">
        <v>1906</v>
      </c>
      <c r="B10" s="11">
        <v>0</v>
      </c>
      <c r="C10" s="12">
        <v>0</v>
      </c>
      <c r="D10" s="12">
        <v>0</v>
      </c>
      <c r="E10" s="11">
        <f>60*4.621</f>
        <v>277.26000000000005</v>
      </c>
      <c r="F10" s="11">
        <v>34900</v>
      </c>
      <c r="G10" s="11">
        <v>11100</v>
      </c>
      <c r="H10" s="13">
        <f t="shared" si="1"/>
        <v>9.7575757575757596</v>
      </c>
      <c r="I10" s="12">
        <v>0</v>
      </c>
      <c r="J10" s="11">
        <v>0</v>
      </c>
      <c r="K10" s="12">
        <v>0</v>
      </c>
      <c r="L10" s="11">
        <f>(4121-3107)/5+L9</f>
        <v>3512.6000000000004</v>
      </c>
      <c r="M10" s="11">
        <v>1800</v>
      </c>
      <c r="N10" s="11">
        <v>0</v>
      </c>
      <c r="P10" s="11">
        <v>3900</v>
      </c>
      <c r="Q10" s="14">
        <f t="shared" si="0"/>
        <v>60839.999999999993</v>
      </c>
      <c r="R10" s="14"/>
      <c r="S10" s="14"/>
      <c r="T10" s="14"/>
    </row>
    <row r="11" spans="1:20">
      <c r="A11" s="10">
        <v>1907</v>
      </c>
      <c r="B11" s="11">
        <v>0</v>
      </c>
      <c r="C11" s="12">
        <v>0</v>
      </c>
      <c r="D11" s="12">
        <v>0</v>
      </c>
      <c r="E11" s="11">
        <f>65*4.621</f>
        <v>300.36500000000001</v>
      </c>
      <c r="F11" s="11">
        <v>34946</v>
      </c>
      <c r="G11" s="11">
        <v>11054</v>
      </c>
      <c r="H11" s="13">
        <f t="shared" si="1"/>
        <v>11.151515151515154</v>
      </c>
      <c r="I11" s="12">
        <v>0</v>
      </c>
      <c r="J11" s="11">
        <v>0</v>
      </c>
      <c r="K11" s="12">
        <v>0</v>
      </c>
      <c r="L11" s="11">
        <f>(4121-3107)/5+L10</f>
        <v>3715.4000000000005</v>
      </c>
      <c r="M11" s="11">
        <v>2110</v>
      </c>
      <c r="N11" s="11">
        <v>0</v>
      </c>
      <c r="P11" s="11">
        <v>3825</v>
      </c>
      <c r="Q11" s="14">
        <f t="shared" si="0"/>
        <v>59669.999999999993</v>
      </c>
      <c r="R11" s="14"/>
      <c r="S11" s="14"/>
      <c r="T11" s="14"/>
    </row>
    <row r="12" spans="1:20">
      <c r="A12" s="10">
        <v>1908</v>
      </c>
      <c r="B12" s="11">
        <v>0</v>
      </c>
      <c r="C12" s="12">
        <v>0</v>
      </c>
      <c r="D12" s="12">
        <v>0</v>
      </c>
      <c r="E12" s="11">
        <f>70*4.621</f>
        <v>323.47000000000003</v>
      </c>
      <c r="F12" s="11">
        <v>31945</v>
      </c>
      <c r="G12" s="11">
        <v>10055</v>
      </c>
      <c r="H12" s="13">
        <f t="shared" si="1"/>
        <v>12.545454545454549</v>
      </c>
      <c r="I12" s="12">
        <v>0</v>
      </c>
      <c r="J12" s="11">
        <v>0</v>
      </c>
      <c r="K12" s="12">
        <v>0</v>
      </c>
      <c r="L12" s="11">
        <f>(4121-3107)/5+L11</f>
        <v>3918.2000000000007</v>
      </c>
      <c r="M12" s="11">
        <v>1930</v>
      </c>
      <c r="N12" s="11">
        <v>0</v>
      </c>
      <c r="P12" s="11">
        <v>3975</v>
      </c>
      <c r="Q12" s="14">
        <f t="shared" si="0"/>
        <v>62010</v>
      </c>
      <c r="R12" s="14"/>
      <c r="S12" s="14"/>
      <c r="T12" s="14"/>
    </row>
    <row r="13" spans="1:20">
      <c r="A13" s="10">
        <v>1909</v>
      </c>
      <c r="B13" s="11">
        <v>0</v>
      </c>
      <c r="C13" s="12">
        <v>0</v>
      </c>
      <c r="D13" s="12">
        <v>0</v>
      </c>
      <c r="E13" s="11">
        <f>80*4.621</f>
        <v>369.68000000000006</v>
      </c>
      <c r="F13" s="11">
        <v>33896</v>
      </c>
      <c r="G13" s="11">
        <v>10613</v>
      </c>
      <c r="H13" s="13">
        <f t="shared" si="1"/>
        <v>13.939393939393943</v>
      </c>
      <c r="I13" s="12">
        <v>0</v>
      </c>
      <c r="J13" s="11">
        <v>0</v>
      </c>
      <c r="K13" s="12">
        <v>0</v>
      </c>
      <c r="L13" s="11">
        <v>4121</v>
      </c>
      <c r="M13" s="11">
        <v>2050</v>
      </c>
      <c r="N13" s="11">
        <v>0</v>
      </c>
      <c r="P13" s="11">
        <v>3825</v>
      </c>
      <c r="Q13" s="14">
        <f t="shared" si="0"/>
        <v>59669.999999999993</v>
      </c>
      <c r="R13" s="14"/>
      <c r="S13" s="14"/>
      <c r="T13" s="14"/>
    </row>
    <row r="14" spans="1:20">
      <c r="A14" s="10">
        <v>1910</v>
      </c>
      <c r="B14" s="15">
        <f>B13+(B$24-B$13)/11</f>
        <v>6.9545454545454541</v>
      </c>
      <c r="C14" s="12">
        <v>0</v>
      </c>
      <c r="D14" s="12">
        <v>0</v>
      </c>
      <c r="E14" s="11">
        <f>90*4.621</f>
        <v>415.89000000000004</v>
      </c>
      <c r="F14" s="11">
        <v>34029</v>
      </c>
      <c r="G14" s="11">
        <v>10471</v>
      </c>
      <c r="H14" s="13">
        <f t="shared" si="1"/>
        <v>15.333333333333337</v>
      </c>
      <c r="I14" s="12">
        <v>0</v>
      </c>
      <c r="J14" s="11">
        <v>0</v>
      </c>
      <c r="K14" s="12">
        <v>0</v>
      </c>
      <c r="L14" s="11">
        <f>(5153-4121)/5+L13</f>
        <v>4327.3999999999996</v>
      </c>
      <c r="M14" s="11">
        <v>2075</v>
      </c>
      <c r="N14" s="11">
        <v>0</v>
      </c>
      <c r="P14" s="11">
        <v>3910</v>
      </c>
      <c r="Q14" s="14">
        <f t="shared" si="0"/>
        <v>60995.999999999993</v>
      </c>
      <c r="R14" s="14"/>
      <c r="S14" s="14"/>
      <c r="T14" s="14"/>
    </row>
    <row r="15" spans="1:20">
      <c r="A15" s="10">
        <v>1911</v>
      </c>
      <c r="B15" s="15">
        <f t="shared" ref="B15:B23" si="2">B14+(B$24-B$13)/11</f>
        <v>13.909090909090908</v>
      </c>
      <c r="C15" s="12">
        <v>0</v>
      </c>
      <c r="D15" s="12">
        <v>0</v>
      </c>
      <c r="E15" s="11">
        <f>80*4.621</f>
        <v>369.68000000000006</v>
      </c>
      <c r="F15" s="11">
        <v>33020</v>
      </c>
      <c r="G15" s="11">
        <v>9980</v>
      </c>
      <c r="H15" s="13">
        <f t="shared" si="1"/>
        <v>16.72727272727273</v>
      </c>
      <c r="I15" s="12">
        <v>0</v>
      </c>
      <c r="J15" s="11">
        <v>0</v>
      </c>
      <c r="K15" s="12">
        <v>0</v>
      </c>
      <c r="L15" s="11">
        <f>(5153-4121)/5+L14</f>
        <v>4533.7999999999993</v>
      </c>
      <c r="M15" s="11">
        <v>2020</v>
      </c>
      <c r="N15" s="11">
        <v>0</v>
      </c>
      <c r="P15" s="11">
        <v>4035</v>
      </c>
      <c r="Q15" s="14">
        <f t="shared" si="0"/>
        <v>62946</v>
      </c>
      <c r="R15" s="14"/>
      <c r="S15" s="14"/>
      <c r="T15" s="14"/>
    </row>
    <row r="16" spans="1:20">
      <c r="A16" s="10">
        <v>1912</v>
      </c>
      <c r="B16" s="15">
        <f t="shared" si="2"/>
        <v>20.863636363636363</v>
      </c>
      <c r="C16" s="12">
        <v>0</v>
      </c>
      <c r="D16" s="12">
        <v>0</v>
      </c>
      <c r="E16" s="11">
        <f>80*4.621</f>
        <v>369.68000000000006</v>
      </c>
      <c r="F16" s="11">
        <v>34695</v>
      </c>
      <c r="G16" s="11">
        <v>10305</v>
      </c>
      <c r="H16" s="13">
        <f t="shared" si="1"/>
        <v>18.121212121212125</v>
      </c>
      <c r="I16" s="12">
        <v>0</v>
      </c>
      <c r="J16" s="11">
        <v>0</v>
      </c>
      <c r="K16" s="12">
        <v>0</v>
      </c>
      <c r="L16" s="11">
        <f>(5153-4121)/5+L15</f>
        <v>4740.1999999999989</v>
      </c>
      <c r="M16" s="11">
        <v>2015</v>
      </c>
      <c r="N16" s="11">
        <v>0</v>
      </c>
      <c r="P16" s="11">
        <v>3760</v>
      </c>
      <c r="Q16" s="14">
        <f t="shared" si="0"/>
        <v>58656</v>
      </c>
      <c r="R16" s="14"/>
      <c r="S16" s="14"/>
      <c r="T16" s="14"/>
    </row>
    <row r="17" spans="1:20">
      <c r="A17" s="10">
        <v>1913</v>
      </c>
      <c r="B17" s="15">
        <f t="shared" si="2"/>
        <v>27.818181818181817</v>
      </c>
      <c r="C17" s="12">
        <v>0</v>
      </c>
      <c r="D17" s="12">
        <v>0</v>
      </c>
      <c r="E17" s="11">
        <f>80*4.621</f>
        <v>369.68000000000006</v>
      </c>
      <c r="F17" s="11">
        <v>34065</v>
      </c>
      <c r="G17" s="11">
        <v>9935</v>
      </c>
      <c r="H17" s="13">
        <f t="shared" si="1"/>
        <v>19.515151515151519</v>
      </c>
      <c r="I17" s="12">
        <v>0</v>
      </c>
      <c r="J17" s="11">
        <v>0</v>
      </c>
      <c r="K17" s="12">
        <v>0</v>
      </c>
      <c r="L17" s="11">
        <f>(5153-4121)/5+L16</f>
        <v>4946.5999999999985</v>
      </c>
      <c r="M17" s="11">
        <v>1995</v>
      </c>
      <c r="N17" s="11">
        <v>0</v>
      </c>
      <c r="P17" s="11">
        <v>3780</v>
      </c>
      <c r="Q17" s="14">
        <f t="shared" si="0"/>
        <v>58968</v>
      </c>
      <c r="R17" s="14"/>
      <c r="S17" s="14"/>
      <c r="T17" s="14"/>
    </row>
    <row r="18" spans="1:20">
      <c r="A18" s="10">
        <v>1914</v>
      </c>
      <c r="B18" s="15">
        <f t="shared" si="2"/>
        <v>34.772727272727273</v>
      </c>
      <c r="C18" s="12">
        <v>0</v>
      </c>
      <c r="D18" s="12">
        <v>0</v>
      </c>
      <c r="E18" s="11">
        <f>85*4.621</f>
        <v>392.78500000000003</v>
      </c>
      <c r="F18" s="11">
        <v>31481</v>
      </c>
      <c r="G18" s="11">
        <v>9019</v>
      </c>
      <c r="H18" s="13">
        <f t="shared" si="1"/>
        <v>20.909090909090914</v>
      </c>
      <c r="I18" s="12">
        <v>0</v>
      </c>
      <c r="J18" s="11">
        <v>0</v>
      </c>
      <c r="K18" s="12">
        <v>0</v>
      </c>
      <c r="L18" s="11">
        <v>5153</v>
      </c>
      <c r="M18" s="11">
        <v>1925</v>
      </c>
      <c r="N18" s="11">
        <v>0</v>
      </c>
      <c r="P18" s="11">
        <v>3975</v>
      </c>
      <c r="Q18" s="14">
        <f t="shared" si="0"/>
        <v>62010</v>
      </c>
      <c r="R18" s="14"/>
      <c r="S18" s="14"/>
      <c r="T18" s="14"/>
    </row>
    <row r="19" spans="1:20">
      <c r="A19" s="10">
        <v>1915</v>
      </c>
      <c r="B19" s="15">
        <f t="shared" si="2"/>
        <v>41.727272727272727</v>
      </c>
      <c r="C19" s="12">
        <v>0</v>
      </c>
      <c r="D19" s="12">
        <v>0</v>
      </c>
      <c r="E19" s="11">
        <f>85*4.621</f>
        <v>392.78500000000003</v>
      </c>
      <c r="F19" s="11">
        <v>29485</v>
      </c>
      <c r="G19" s="11">
        <v>7527</v>
      </c>
      <c r="H19" s="13">
        <f t="shared" si="1"/>
        <v>22.303030303030308</v>
      </c>
      <c r="I19" s="12">
        <v>0</v>
      </c>
      <c r="J19" s="11">
        <v>0</v>
      </c>
      <c r="K19" s="12">
        <v>0</v>
      </c>
      <c r="L19" s="11">
        <f>(5804-5153)/3+L18</f>
        <v>5370</v>
      </c>
      <c r="M19" s="11">
        <v>1885</v>
      </c>
      <c r="N19" s="11">
        <v>0</v>
      </c>
      <c r="P19" s="11">
        <v>3975</v>
      </c>
      <c r="Q19" s="14">
        <f t="shared" si="0"/>
        <v>62010</v>
      </c>
      <c r="R19" s="14"/>
      <c r="S19" s="14"/>
      <c r="T19" s="14"/>
    </row>
    <row r="20" spans="1:20">
      <c r="A20" s="10">
        <v>1916</v>
      </c>
      <c r="B20" s="15">
        <f t="shared" si="2"/>
        <v>48.68181818181818</v>
      </c>
      <c r="C20" s="12">
        <v>0</v>
      </c>
      <c r="D20" s="12">
        <v>0</v>
      </c>
      <c r="E20" s="11">
        <f>90*4.621</f>
        <v>415.89000000000004</v>
      </c>
      <c r="F20" s="11">
        <v>31332</v>
      </c>
      <c r="G20" s="11">
        <v>8475</v>
      </c>
      <c r="H20" s="13">
        <f t="shared" si="1"/>
        <v>23.696969696969703</v>
      </c>
      <c r="I20" s="12">
        <v>0</v>
      </c>
      <c r="J20" s="11">
        <v>5</v>
      </c>
      <c r="K20" s="12">
        <v>0</v>
      </c>
      <c r="L20" s="11">
        <f>(5804-5153)/3+L19</f>
        <v>5587</v>
      </c>
      <c r="M20" s="11">
        <v>1930</v>
      </c>
      <c r="N20" s="11">
        <v>0</v>
      </c>
      <c r="P20" s="11">
        <v>3955</v>
      </c>
      <c r="Q20" s="14">
        <f t="shared" si="0"/>
        <v>61698</v>
      </c>
      <c r="R20" s="14"/>
      <c r="S20" s="14"/>
      <c r="T20" s="14"/>
    </row>
    <row r="21" spans="1:20">
      <c r="A21" s="10">
        <v>1917</v>
      </c>
      <c r="B21" s="15">
        <f t="shared" si="2"/>
        <v>55.636363636363633</v>
      </c>
      <c r="C21" s="12">
        <v>0</v>
      </c>
      <c r="D21" s="12">
        <v>0</v>
      </c>
      <c r="E21" s="11">
        <f>90*4.621</f>
        <v>415.89000000000004</v>
      </c>
      <c r="F21" s="11">
        <v>29174</v>
      </c>
      <c r="G21" s="11">
        <v>6657</v>
      </c>
      <c r="H21" s="13">
        <f t="shared" si="1"/>
        <v>25.090909090909097</v>
      </c>
      <c r="I21" s="12">
        <v>0</v>
      </c>
      <c r="J21" s="11">
        <v>10</v>
      </c>
      <c r="K21" s="12">
        <v>0</v>
      </c>
      <c r="L21" s="11">
        <v>5804</v>
      </c>
      <c r="M21" s="11">
        <v>1930</v>
      </c>
      <c r="N21" s="11">
        <v>0</v>
      </c>
      <c r="P21" s="11">
        <v>4040</v>
      </c>
      <c r="Q21" s="14">
        <f t="shared" si="0"/>
        <v>63023.999999999993</v>
      </c>
      <c r="R21" s="14"/>
      <c r="S21" s="14"/>
      <c r="T21" s="14"/>
    </row>
    <row r="22" spans="1:20">
      <c r="A22" s="10">
        <v>1918</v>
      </c>
      <c r="B22" s="15">
        <f t="shared" si="2"/>
        <v>62.590909090909086</v>
      </c>
      <c r="C22" s="12">
        <v>0</v>
      </c>
      <c r="D22" s="12">
        <v>0</v>
      </c>
      <c r="E22" s="11">
        <f>95*4.621</f>
        <v>438.99500000000006</v>
      </c>
      <c r="F22" s="11">
        <v>25667</v>
      </c>
      <c r="G22" s="11">
        <v>6223</v>
      </c>
      <c r="H22" s="13">
        <f t="shared" si="1"/>
        <v>26.484848484848492</v>
      </c>
      <c r="I22" s="12">
        <v>0</v>
      </c>
      <c r="J22" s="11">
        <v>15</v>
      </c>
      <c r="K22" s="12">
        <v>0</v>
      </c>
      <c r="L22" s="11">
        <v>5938</v>
      </c>
      <c r="M22" s="11">
        <v>1920</v>
      </c>
      <c r="N22" s="11">
        <v>0</v>
      </c>
      <c r="P22" s="11">
        <v>4290</v>
      </c>
      <c r="Q22" s="14">
        <f t="shared" si="0"/>
        <v>66923.999999999985</v>
      </c>
      <c r="R22" s="14"/>
      <c r="S22" s="14"/>
      <c r="T22" s="14"/>
    </row>
    <row r="23" spans="1:20">
      <c r="A23" s="10">
        <v>1919</v>
      </c>
      <c r="B23" s="15">
        <f t="shared" si="2"/>
        <v>69.545454545454547</v>
      </c>
      <c r="C23" s="12">
        <v>0</v>
      </c>
      <c r="D23" s="12">
        <v>0</v>
      </c>
      <c r="E23" s="11">
        <f>105*4.621</f>
        <v>485.20500000000004</v>
      </c>
      <c r="F23" s="11">
        <v>27407</v>
      </c>
      <c r="G23" s="11">
        <v>7145</v>
      </c>
      <c r="H23" s="13">
        <f t="shared" si="1"/>
        <v>27.878787878787886</v>
      </c>
      <c r="I23" s="12">
        <v>0</v>
      </c>
      <c r="J23" s="11">
        <v>20</v>
      </c>
      <c r="K23" s="12">
        <v>0</v>
      </c>
      <c r="L23" s="11">
        <v>5966</v>
      </c>
      <c r="M23" s="11">
        <v>1915</v>
      </c>
      <c r="N23" s="11">
        <v>0</v>
      </c>
      <c r="P23" s="11">
        <v>4075</v>
      </c>
      <c r="Q23" s="14">
        <f t="shared" si="0"/>
        <v>63570</v>
      </c>
      <c r="R23" s="14"/>
      <c r="S23" s="14"/>
      <c r="T23" s="14"/>
    </row>
    <row r="24" spans="1:20">
      <c r="A24" s="10">
        <v>1920</v>
      </c>
      <c r="B24" s="11">
        <f>153/2</f>
        <v>76.5</v>
      </c>
      <c r="C24" s="12">
        <v>0</v>
      </c>
      <c r="D24" s="12">
        <v>0</v>
      </c>
      <c r="E24" s="11">
        <f>80*4.621</f>
        <v>369.68000000000006</v>
      </c>
      <c r="F24" s="11">
        <v>27610</v>
      </c>
      <c r="G24" s="11">
        <v>7390</v>
      </c>
      <c r="H24" s="13">
        <f t="shared" si="1"/>
        <v>29.27272727272728</v>
      </c>
      <c r="I24" s="12">
        <v>0</v>
      </c>
      <c r="J24" s="11">
        <v>25</v>
      </c>
      <c r="K24" s="12">
        <v>0</v>
      </c>
      <c r="L24" s="11">
        <v>7185</v>
      </c>
      <c r="M24" s="11">
        <v>1890</v>
      </c>
      <c r="N24" s="11">
        <v>0</v>
      </c>
      <c r="P24" s="11">
        <v>4065</v>
      </c>
      <c r="Q24" s="14">
        <f t="shared" si="0"/>
        <v>63413.999999999993</v>
      </c>
      <c r="R24" s="14"/>
      <c r="S24" s="14"/>
      <c r="T24" s="14"/>
    </row>
    <row r="25" spans="1:20">
      <c r="A25" s="10">
        <v>1921</v>
      </c>
      <c r="B25" s="11">
        <f>(153-77)/5+B24</f>
        <v>91.7</v>
      </c>
      <c r="C25" s="12">
        <v>0</v>
      </c>
      <c r="D25" s="12">
        <v>0</v>
      </c>
      <c r="E25" s="11">
        <f>75*4.621</f>
        <v>346.57500000000005</v>
      </c>
      <c r="F25" s="11">
        <v>23444</v>
      </c>
      <c r="G25" s="11">
        <v>5556</v>
      </c>
      <c r="H25" s="13">
        <f t="shared" si="1"/>
        <v>30.666666666666675</v>
      </c>
      <c r="I25" s="12">
        <v>0</v>
      </c>
      <c r="J25" s="11">
        <v>30</v>
      </c>
      <c r="K25" s="12">
        <v>0</v>
      </c>
      <c r="L25" s="11">
        <v>5333</v>
      </c>
      <c r="M25" s="11">
        <v>1720</v>
      </c>
      <c r="N25" s="11">
        <v>0</v>
      </c>
      <c r="P25" s="11">
        <v>4270</v>
      </c>
      <c r="Q25" s="14">
        <f t="shared" si="0"/>
        <v>66612</v>
      </c>
      <c r="R25" s="14"/>
      <c r="S25" s="14"/>
      <c r="T25" s="14"/>
    </row>
    <row r="26" spans="1:20">
      <c r="A26" s="10">
        <v>1922</v>
      </c>
      <c r="B26" s="11">
        <f>(153-77)/5+B25</f>
        <v>106.9</v>
      </c>
      <c r="C26" s="12">
        <v>0</v>
      </c>
      <c r="D26" s="12">
        <v>0</v>
      </c>
      <c r="E26" s="11">
        <f>90*4.621</f>
        <v>415.89000000000004</v>
      </c>
      <c r="F26" s="11">
        <v>28922</v>
      </c>
      <c r="G26" s="11">
        <v>6328</v>
      </c>
      <c r="H26" s="13">
        <f t="shared" si="1"/>
        <v>32.060606060606069</v>
      </c>
      <c r="I26" s="12">
        <v>0</v>
      </c>
      <c r="J26" s="11">
        <v>35</v>
      </c>
      <c r="K26" s="12">
        <v>0</v>
      </c>
      <c r="L26" s="11">
        <v>6875</v>
      </c>
      <c r="M26" s="11">
        <v>1695</v>
      </c>
      <c r="N26" s="11">
        <v>0</v>
      </c>
      <c r="P26" s="11">
        <v>3760</v>
      </c>
      <c r="Q26" s="14">
        <f t="shared" si="0"/>
        <v>58656</v>
      </c>
      <c r="R26" s="14"/>
      <c r="S26" s="14"/>
      <c r="T26" s="14"/>
    </row>
    <row r="27" spans="1:20">
      <c r="A27" s="10">
        <v>1923</v>
      </c>
      <c r="B27" s="11">
        <f>(153-77)/5+B26</f>
        <v>122.10000000000001</v>
      </c>
      <c r="C27" s="12">
        <v>0</v>
      </c>
      <c r="D27" s="12">
        <v>0</v>
      </c>
      <c r="E27" s="11">
        <f>115*4.621</f>
        <v>531.41500000000008</v>
      </c>
      <c r="F27" s="11">
        <v>33220</v>
      </c>
      <c r="G27" s="11">
        <v>7780</v>
      </c>
      <c r="H27" s="13">
        <f t="shared" si="1"/>
        <v>33.45454545454546</v>
      </c>
      <c r="I27" s="12">
        <v>0</v>
      </c>
      <c r="J27" s="11">
        <v>40</v>
      </c>
      <c r="K27" s="12">
        <v>0</v>
      </c>
      <c r="L27" s="11">
        <v>7871</v>
      </c>
      <c r="M27" s="11">
        <v>1705</v>
      </c>
      <c r="N27" s="11">
        <v>0</v>
      </c>
      <c r="P27" s="11">
        <v>3375</v>
      </c>
      <c r="Q27" s="14">
        <f t="shared" si="0"/>
        <v>52650</v>
      </c>
      <c r="R27" s="14"/>
      <c r="S27" s="14"/>
      <c r="T27" s="14"/>
    </row>
    <row r="28" spans="1:20">
      <c r="A28" s="10">
        <v>1924</v>
      </c>
      <c r="B28" s="11">
        <f>(153-77)/5+B27</f>
        <v>137.30000000000001</v>
      </c>
      <c r="C28" s="12">
        <v>0</v>
      </c>
      <c r="D28" s="12">
        <v>0</v>
      </c>
      <c r="E28" s="11">
        <f>115*4.621</f>
        <v>531.41500000000008</v>
      </c>
      <c r="F28" s="11">
        <v>31549</v>
      </c>
      <c r="G28" s="11">
        <v>7951</v>
      </c>
      <c r="H28" s="13">
        <f t="shared" si="1"/>
        <v>34.848484848484851</v>
      </c>
      <c r="I28" s="12">
        <v>0</v>
      </c>
      <c r="J28" s="11">
        <v>45</v>
      </c>
      <c r="K28" s="12">
        <v>0</v>
      </c>
      <c r="L28" s="11">
        <v>7930</v>
      </c>
      <c r="M28" s="11">
        <v>1655</v>
      </c>
      <c r="N28" s="11">
        <v>0</v>
      </c>
      <c r="P28" s="11">
        <v>3380</v>
      </c>
      <c r="Q28" s="14">
        <f t="shared" si="0"/>
        <v>52727.999999999993</v>
      </c>
      <c r="R28" s="14"/>
      <c r="S28" s="14"/>
      <c r="T28" s="14"/>
    </row>
    <row r="29" spans="1:20">
      <c r="A29" s="10">
        <v>1925</v>
      </c>
      <c r="B29" s="11">
        <v>153</v>
      </c>
      <c r="C29" s="12">
        <v>0</v>
      </c>
      <c r="D29" s="12">
        <v>0</v>
      </c>
      <c r="E29" s="11">
        <f>135*4.621</f>
        <v>623.83500000000004</v>
      </c>
      <c r="F29" s="11">
        <v>33284</v>
      </c>
      <c r="G29" s="11">
        <v>7716</v>
      </c>
      <c r="H29" s="13">
        <f t="shared" si="1"/>
        <v>36.242424242424242</v>
      </c>
      <c r="I29" s="12">
        <v>0</v>
      </c>
      <c r="J29" s="11">
        <f>51*2.81*1/3</f>
        <v>47.77</v>
      </c>
      <c r="K29" s="12">
        <v>0</v>
      </c>
      <c r="L29" s="11">
        <v>9002</v>
      </c>
      <c r="M29" s="11">
        <v>1495</v>
      </c>
      <c r="N29" s="11">
        <f>51*2/3*2.59</f>
        <v>88.06</v>
      </c>
      <c r="P29" s="11">
        <v>3225</v>
      </c>
      <c r="Q29" s="14">
        <f t="shared" si="0"/>
        <v>50309.999999999993</v>
      </c>
      <c r="R29" s="14"/>
      <c r="S29" s="14"/>
      <c r="T29" s="14"/>
    </row>
    <row r="30" spans="1:20">
      <c r="A30" s="10">
        <v>1926</v>
      </c>
      <c r="B30" s="11">
        <f>(358-153)/9+B29</f>
        <v>175.77777777777777</v>
      </c>
      <c r="C30" s="12">
        <v>0</v>
      </c>
      <c r="D30" s="12">
        <v>0</v>
      </c>
      <c r="E30" s="11">
        <f>145*4.621</f>
        <v>670.04500000000007</v>
      </c>
      <c r="F30" s="11">
        <v>32078</v>
      </c>
      <c r="G30" s="11">
        <v>7672</v>
      </c>
      <c r="H30" s="13">
        <f t="shared" si="1"/>
        <v>37.636363636363633</v>
      </c>
      <c r="I30" s="12">
        <v>0</v>
      </c>
      <c r="J30" s="11">
        <f>70*2.81*1/3</f>
        <v>65.566666666666677</v>
      </c>
      <c r="K30" s="12">
        <v>0</v>
      </c>
      <c r="L30" s="11">
        <v>9794</v>
      </c>
      <c r="M30" s="11">
        <v>1490</v>
      </c>
      <c r="N30" s="11">
        <f>70*2/3*2.59</f>
        <v>120.86666666666666</v>
      </c>
      <c r="P30" s="11">
        <v>3065</v>
      </c>
      <c r="Q30" s="14">
        <f t="shared" si="0"/>
        <v>47814</v>
      </c>
      <c r="R30" s="14"/>
      <c r="S30" s="14"/>
      <c r="T30" s="14"/>
    </row>
    <row r="31" spans="1:20">
      <c r="A31" s="10">
        <v>1927</v>
      </c>
      <c r="B31" s="11">
        <f>(358-153)/9+B30</f>
        <v>198.55555555555554</v>
      </c>
      <c r="C31" s="12">
        <v>0</v>
      </c>
      <c r="D31" s="12">
        <v>0</v>
      </c>
      <c r="E31" s="11">
        <f>175*4.621</f>
        <v>808.67500000000007</v>
      </c>
      <c r="F31" s="11">
        <v>29975</v>
      </c>
      <c r="G31" s="11">
        <v>7275</v>
      </c>
      <c r="H31" s="13">
        <f t="shared" si="1"/>
        <v>39.030303030303024</v>
      </c>
      <c r="I31" s="12">
        <v>0</v>
      </c>
      <c r="J31" s="11">
        <f>71*2.81*1/3</f>
        <v>66.50333333333333</v>
      </c>
      <c r="K31" s="12">
        <v>0</v>
      </c>
      <c r="L31" s="11">
        <v>10002</v>
      </c>
      <c r="M31" s="11">
        <v>1435</v>
      </c>
      <c r="N31" s="11">
        <f>71*2/3*2.59</f>
        <v>122.59333333333333</v>
      </c>
      <c r="P31" s="11">
        <v>3200</v>
      </c>
      <c r="Q31" s="14">
        <f t="shared" si="0"/>
        <v>49919.999999999993</v>
      </c>
      <c r="R31" s="14"/>
      <c r="S31" s="14"/>
      <c r="T31" s="14"/>
    </row>
    <row r="32" spans="1:20">
      <c r="A32" s="10">
        <v>1928</v>
      </c>
      <c r="B32" s="11">
        <f>(358-153)/9+B31</f>
        <v>221.33333333333331</v>
      </c>
      <c r="C32" s="12">
        <v>0</v>
      </c>
      <c r="D32" s="12">
        <v>0</v>
      </c>
      <c r="E32" s="11">
        <f>175*4.621</f>
        <v>808.67500000000007</v>
      </c>
      <c r="F32" s="11">
        <v>29852</v>
      </c>
      <c r="G32" s="11">
        <v>6898</v>
      </c>
      <c r="H32" s="13">
        <f t="shared" si="1"/>
        <v>40.424242424242415</v>
      </c>
      <c r="I32" s="12">
        <v>0</v>
      </c>
      <c r="J32" s="11">
        <f>81*2.81*1/3</f>
        <v>75.87</v>
      </c>
      <c r="K32" s="12">
        <v>0</v>
      </c>
      <c r="L32" s="11">
        <v>10403</v>
      </c>
      <c r="M32" s="11">
        <v>1385</v>
      </c>
      <c r="N32" s="11">
        <f>81*2/3*2.59</f>
        <v>139.85999999999999</v>
      </c>
      <c r="P32" s="11">
        <v>3225</v>
      </c>
      <c r="Q32" s="14">
        <f t="shared" si="0"/>
        <v>50309.999999999993</v>
      </c>
      <c r="R32" s="14"/>
      <c r="S32" s="14"/>
      <c r="T32" s="14"/>
    </row>
    <row r="33" spans="1:20">
      <c r="A33" s="10">
        <v>1929</v>
      </c>
      <c r="B33" s="11">
        <v>358</v>
      </c>
      <c r="C33" s="12">
        <v>0</v>
      </c>
      <c r="D33" s="12">
        <v>0</v>
      </c>
      <c r="E33" s="11">
        <f>200*4.621</f>
        <v>924.2</v>
      </c>
      <c r="F33" s="11">
        <v>30836</v>
      </c>
      <c r="G33" s="11">
        <v>7909</v>
      </c>
      <c r="H33" s="13">
        <f t="shared" si="1"/>
        <v>41.818181818181806</v>
      </c>
      <c r="I33" s="12">
        <v>0</v>
      </c>
      <c r="J33" s="11">
        <f>143*2.81*1/3</f>
        <v>133.94333333333333</v>
      </c>
      <c r="K33" s="12">
        <v>0</v>
      </c>
      <c r="L33" s="11">
        <v>11140</v>
      </c>
      <c r="M33" s="11">
        <v>1380</v>
      </c>
      <c r="N33" s="11">
        <f>143*2/3*2.59</f>
        <v>246.9133333333333</v>
      </c>
      <c r="P33" s="11">
        <v>3170</v>
      </c>
      <c r="Q33" s="14">
        <f t="shared" si="0"/>
        <v>49452</v>
      </c>
      <c r="R33" s="14"/>
      <c r="S33" s="14"/>
      <c r="T33" s="14"/>
    </row>
    <row r="34" spans="1:20">
      <c r="A34" s="10">
        <v>1930</v>
      </c>
      <c r="B34" s="11">
        <v>305</v>
      </c>
      <c r="C34" s="12">
        <v>0</v>
      </c>
      <c r="D34" s="12">
        <v>0</v>
      </c>
      <c r="E34" s="11">
        <f>155*4.621</f>
        <v>716.25500000000011</v>
      </c>
      <c r="F34" s="11">
        <v>23228</v>
      </c>
      <c r="G34" s="11">
        <v>6130</v>
      </c>
      <c r="H34" s="13">
        <f t="shared" si="1"/>
        <v>43.212121212121197</v>
      </c>
      <c r="I34" s="12">
        <v>0</v>
      </c>
      <c r="J34" s="11">
        <f>124*2.81*1/3</f>
        <v>116.14666666666666</v>
      </c>
      <c r="K34" s="12">
        <v>0</v>
      </c>
      <c r="L34" s="11">
        <v>10169</v>
      </c>
      <c r="M34" s="11">
        <v>1195</v>
      </c>
      <c r="N34" s="11">
        <f>124*2/3*2.59</f>
        <v>214.10666666666665</v>
      </c>
      <c r="P34" s="11">
        <v>3790</v>
      </c>
      <c r="Q34" s="14">
        <f t="shared" si="0"/>
        <v>59123.999999999993</v>
      </c>
      <c r="R34" s="14"/>
      <c r="S34" s="14"/>
      <c r="T34" s="14"/>
    </row>
    <row r="35" spans="1:20">
      <c r="A35" s="10">
        <v>1931</v>
      </c>
      <c r="B35" s="11">
        <v>235</v>
      </c>
      <c r="C35" s="12">
        <v>0</v>
      </c>
      <c r="D35" s="12">
        <v>0</v>
      </c>
      <c r="E35" s="11">
        <f>125*4.621</f>
        <v>577.625</v>
      </c>
      <c r="F35" s="11">
        <v>15886</v>
      </c>
      <c r="G35" s="11">
        <v>4111</v>
      </c>
      <c r="H35" s="13">
        <f t="shared" si="1"/>
        <v>44.606060606060588</v>
      </c>
      <c r="I35" s="12">
        <v>0</v>
      </c>
      <c r="J35" s="11">
        <f>112*2.81*1/3</f>
        <v>104.90666666666668</v>
      </c>
      <c r="K35" s="12">
        <v>0</v>
      </c>
      <c r="L35" s="11">
        <v>9382</v>
      </c>
      <c r="M35" s="11">
        <v>970</v>
      </c>
      <c r="N35" s="11">
        <f>112*2/3*2.59</f>
        <v>193.38666666666666</v>
      </c>
      <c r="P35" s="11">
        <v>4390</v>
      </c>
      <c r="Q35" s="14">
        <f t="shared" si="0"/>
        <v>68484</v>
      </c>
      <c r="R35" s="14"/>
      <c r="S35" s="14"/>
      <c r="T35" s="14"/>
    </row>
    <row r="36" spans="1:20">
      <c r="A36" s="10">
        <v>1932</v>
      </c>
      <c r="B36" s="11">
        <f>(+B35+B37)/2</f>
        <v>312.5</v>
      </c>
      <c r="C36" s="12">
        <v>0</v>
      </c>
      <c r="D36" s="12">
        <v>0</v>
      </c>
      <c r="E36" s="11">
        <f>120*4.621</f>
        <v>554.5200000000001</v>
      </c>
      <c r="F36" s="11">
        <v>10802</v>
      </c>
      <c r="G36" s="11">
        <v>2722</v>
      </c>
      <c r="H36" s="13">
        <f t="shared" si="1"/>
        <v>45.999999999999979</v>
      </c>
      <c r="I36" s="12">
        <v>0</v>
      </c>
      <c r="J36" s="11">
        <f>62*1/3*2.81</f>
        <v>58.073333333333338</v>
      </c>
      <c r="K36" s="12">
        <v>0</v>
      </c>
      <c r="L36" s="11">
        <v>7998</v>
      </c>
      <c r="M36" s="11">
        <v>830</v>
      </c>
      <c r="N36" s="11">
        <f>62*2/3*2.59</f>
        <v>107.05333333333333</v>
      </c>
      <c r="P36" s="11">
        <v>4980</v>
      </c>
      <c r="Q36" s="14">
        <f t="shared" si="0"/>
        <v>77688</v>
      </c>
      <c r="R36" s="14"/>
      <c r="S36" s="14"/>
      <c r="T36" s="14"/>
    </row>
    <row r="37" spans="1:20">
      <c r="A37" s="10">
        <v>1933</v>
      </c>
      <c r="B37" s="11">
        <v>390</v>
      </c>
      <c r="C37" s="12">
        <v>0</v>
      </c>
      <c r="D37" s="12">
        <v>0</v>
      </c>
      <c r="E37" s="11">
        <f>125*4.621</f>
        <v>577.625</v>
      </c>
      <c r="F37" s="11">
        <v>13786</v>
      </c>
      <c r="G37" s="11">
        <v>3365</v>
      </c>
      <c r="H37" s="13">
        <f t="shared" si="1"/>
        <v>47.39393939393937</v>
      </c>
      <c r="I37" s="12">
        <v>0</v>
      </c>
      <c r="J37" s="11">
        <f>58*2.81*1/3</f>
        <v>54.326666666666661</v>
      </c>
      <c r="K37" s="12">
        <v>0</v>
      </c>
      <c r="L37" s="11">
        <v>9190</v>
      </c>
      <c r="M37" s="11">
        <v>835</v>
      </c>
      <c r="N37" s="11">
        <f>58*2/3*2.59</f>
        <v>100.14666666666666</v>
      </c>
      <c r="P37" s="11">
        <v>5005</v>
      </c>
      <c r="Q37" s="14">
        <f t="shared" si="0"/>
        <v>78078</v>
      </c>
      <c r="R37" s="14"/>
      <c r="S37" s="14"/>
      <c r="T37" s="14"/>
    </row>
    <row r="38" spans="1:20">
      <c r="A38" s="10">
        <v>1934</v>
      </c>
      <c r="B38" s="11">
        <f>(+B37+B39)/2</f>
        <v>435</v>
      </c>
      <c r="C38" s="12">
        <v>0</v>
      </c>
      <c r="D38" s="12">
        <v>0</v>
      </c>
      <c r="E38" s="11">
        <f>130*4.621</f>
        <v>600.73</v>
      </c>
      <c r="F38" s="11">
        <v>14618</v>
      </c>
      <c r="G38" s="11">
        <v>4208</v>
      </c>
      <c r="H38" s="13">
        <f t="shared" si="1"/>
        <v>48.787878787878761</v>
      </c>
      <c r="I38" s="12">
        <v>0</v>
      </c>
      <c r="J38" s="11">
        <f>68*2.81*1/3</f>
        <v>63.693333333333335</v>
      </c>
      <c r="K38" s="12">
        <v>0</v>
      </c>
      <c r="L38" s="11">
        <v>9187</v>
      </c>
      <c r="M38" s="11">
        <v>855</v>
      </c>
      <c r="N38" s="11">
        <f>68*2/3*2.59</f>
        <v>117.41333333333333</v>
      </c>
      <c r="P38" s="11">
        <v>4825</v>
      </c>
      <c r="Q38" s="14">
        <f t="shared" si="0"/>
        <v>75270</v>
      </c>
      <c r="R38" s="14"/>
      <c r="S38" s="14"/>
      <c r="T38" s="14"/>
    </row>
    <row r="39" spans="1:20">
      <c r="A39" s="10">
        <v>1935</v>
      </c>
      <c r="B39" s="11">
        <v>480</v>
      </c>
      <c r="C39" s="12">
        <v>0</v>
      </c>
      <c r="D39" s="12">
        <v>0</v>
      </c>
      <c r="E39" s="11">
        <v>670</v>
      </c>
      <c r="F39" s="11">
        <v>18196</v>
      </c>
      <c r="G39" s="11">
        <v>4748</v>
      </c>
      <c r="H39" s="13">
        <f t="shared" si="1"/>
        <v>50.181818181818151</v>
      </c>
      <c r="I39" s="12">
        <v>0</v>
      </c>
      <c r="J39" s="11">
        <f>80*2.81*1/3</f>
        <v>74.933333333333337</v>
      </c>
      <c r="K39" s="12">
        <v>0</v>
      </c>
      <c r="L39" s="11">
        <v>10479</v>
      </c>
      <c r="M39" s="11">
        <v>895</v>
      </c>
      <c r="N39" s="11">
        <f>80*2/3*2.59</f>
        <v>138.13333333333333</v>
      </c>
      <c r="P39" s="11">
        <v>4510</v>
      </c>
      <c r="Q39" s="14">
        <f t="shared" si="0"/>
        <v>70356</v>
      </c>
      <c r="R39" s="14"/>
      <c r="S39" s="14"/>
      <c r="T39" s="14"/>
    </row>
    <row r="40" spans="1:20">
      <c r="A40" s="10">
        <v>1936</v>
      </c>
      <c r="B40" s="11">
        <v>700</v>
      </c>
      <c r="C40" s="12">
        <v>0</v>
      </c>
      <c r="D40" s="12">
        <v>0</v>
      </c>
      <c r="E40" s="11">
        <f t="shared" ref="E40:E45" si="3">(1314-670)/7+E39</f>
        <v>762</v>
      </c>
      <c r="F40" s="11">
        <v>22025</v>
      </c>
      <c r="G40" s="11">
        <v>5601</v>
      </c>
      <c r="H40" s="13">
        <f t="shared" si="1"/>
        <v>51.575757575757542</v>
      </c>
      <c r="I40" s="12">
        <v>0</v>
      </c>
      <c r="J40" s="11">
        <f>98*2.81*1/3</f>
        <v>91.793333333333337</v>
      </c>
      <c r="K40" s="12">
        <v>0</v>
      </c>
      <c r="L40" s="11">
        <v>11976</v>
      </c>
      <c r="M40" s="11">
        <v>975</v>
      </c>
      <c r="N40" s="11">
        <f>98*2/3*2.59</f>
        <v>169.21333333333331</v>
      </c>
      <c r="P40" s="11">
        <v>4265</v>
      </c>
      <c r="Q40" s="14">
        <f t="shared" si="0"/>
        <v>66533.999999999985</v>
      </c>
      <c r="R40" s="14"/>
      <c r="S40" s="14"/>
      <c r="T40" s="14"/>
    </row>
    <row r="41" spans="1:20">
      <c r="A41" s="10">
        <v>1937</v>
      </c>
      <c r="B41" s="11">
        <v>725</v>
      </c>
      <c r="C41" s="12">
        <v>0</v>
      </c>
      <c r="D41" s="12">
        <v>0</v>
      </c>
      <c r="E41" s="11">
        <f t="shared" si="3"/>
        <v>854</v>
      </c>
      <c r="F41" s="11">
        <v>23148</v>
      </c>
      <c r="G41" s="11">
        <v>5856</v>
      </c>
      <c r="H41" s="13">
        <f t="shared" si="1"/>
        <v>52.969696969696933</v>
      </c>
      <c r="I41" s="12">
        <v>0</v>
      </c>
      <c r="J41" s="11">
        <f>110*2.81*1/3</f>
        <v>103.03333333333335</v>
      </c>
      <c r="K41" s="12">
        <v>0</v>
      </c>
      <c r="L41" s="11">
        <v>12837</v>
      </c>
      <c r="M41" s="11">
        <v>1020</v>
      </c>
      <c r="N41" s="11">
        <f>110*2/3*2.59</f>
        <v>189.93333333333331</v>
      </c>
      <c r="P41" s="11">
        <v>4075</v>
      </c>
      <c r="Q41" s="14">
        <f t="shared" si="0"/>
        <v>63570</v>
      </c>
      <c r="R41" s="14"/>
      <c r="S41" s="14"/>
      <c r="T41" s="14"/>
    </row>
    <row r="42" spans="1:20">
      <c r="A42" s="10">
        <v>1938</v>
      </c>
      <c r="B42" s="11">
        <v>650</v>
      </c>
      <c r="C42" s="12">
        <v>0</v>
      </c>
      <c r="D42" s="12">
        <v>0</v>
      </c>
      <c r="E42" s="11">
        <f t="shared" si="3"/>
        <v>946</v>
      </c>
      <c r="F42" s="11">
        <v>19955</v>
      </c>
      <c r="G42" s="11">
        <v>4870</v>
      </c>
      <c r="H42" s="13">
        <f t="shared" si="1"/>
        <v>54.363636363636324</v>
      </c>
      <c r="I42" s="12">
        <v>0</v>
      </c>
      <c r="J42" s="11">
        <f>118*2.81*1/3</f>
        <v>110.52666666666666</v>
      </c>
      <c r="K42" s="12">
        <v>0</v>
      </c>
      <c r="L42" s="11">
        <v>11381</v>
      </c>
      <c r="M42" s="11">
        <v>920</v>
      </c>
      <c r="N42" s="11">
        <f>118*2/3*2.59</f>
        <v>203.74666666666667</v>
      </c>
      <c r="P42" s="11">
        <v>4325</v>
      </c>
      <c r="Q42" s="14">
        <f t="shared" si="0"/>
        <v>67470</v>
      </c>
      <c r="R42" s="14"/>
      <c r="S42" s="14"/>
      <c r="T42" s="14"/>
    </row>
    <row r="43" spans="1:20">
      <c r="A43" s="10">
        <v>1939</v>
      </c>
      <c r="B43" s="11">
        <v>1032</v>
      </c>
      <c r="C43" s="12">
        <v>0</v>
      </c>
      <c r="D43" s="12">
        <v>0</v>
      </c>
      <c r="E43" s="11">
        <f t="shared" si="3"/>
        <v>1038</v>
      </c>
      <c r="F43" s="11">
        <v>23291</v>
      </c>
      <c r="G43" s="11">
        <v>5464</v>
      </c>
      <c r="H43" s="13">
        <f t="shared" si="1"/>
        <v>55.757575757575715</v>
      </c>
      <c r="I43" s="12">
        <v>0</v>
      </c>
      <c r="J43" s="11">
        <f>115*2.81*1/3</f>
        <v>107.71666666666668</v>
      </c>
      <c r="K43" s="12">
        <v>0</v>
      </c>
      <c r="L43" s="11">
        <v>13510</v>
      </c>
      <c r="M43" s="11">
        <v>965</v>
      </c>
      <c r="N43" s="11">
        <f>115*2/3*2.59</f>
        <v>198.56666666666666</v>
      </c>
      <c r="P43" s="11">
        <v>4190</v>
      </c>
      <c r="Q43" s="14">
        <f t="shared" si="0"/>
        <v>65363.999999999993</v>
      </c>
      <c r="R43" s="14"/>
      <c r="S43" s="14"/>
      <c r="T43" s="14"/>
    </row>
    <row r="44" spans="1:20">
      <c r="A44" s="10">
        <v>1940</v>
      </c>
      <c r="B44" s="11">
        <v>1150</v>
      </c>
      <c r="C44" s="12">
        <v>0</v>
      </c>
      <c r="D44" s="12">
        <v>0</v>
      </c>
      <c r="E44" s="11">
        <f t="shared" si="3"/>
        <v>1130</v>
      </c>
      <c r="F44" s="11">
        <v>25622</v>
      </c>
      <c r="G44" s="11">
        <v>5537</v>
      </c>
      <c r="H44" s="13">
        <f t="shared" si="1"/>
        <v>57.151515151515106</v>
      </c>
      <c r="I44" s="12">
        <v>0</v>
      </c>
      <c r="J44" s="11">
        <f>179*2.81*1/3</f>
        <v>167.66333333333333</v>
      </c>
      <c r="K44" s="12">
        <v>0</v>
      </c>
      <c r="L44" s="11">
        <v>14484</v>
      </c>
      <c r="M44" s="11">
        <v>965</v>
      </c>
      <c r="N44" s="11">
        <f>179*2/3*2.59</f>
        <v>309.07333333333332</v>
      </c>
      <c r="P44" s="11">
        <v>3890</v>
      </c>
      <c r="Q44" s="14">
        <f t="shared" si="0"/>
        <v>60684</v>
      </c>
      <c r="R44" s="14"/>
      <c r="S44" s="14"/>
      <c r="T44" s="14"/>
    </row>
    <row r="45" spans="1:20">
      <c r="A45" s="10">
        <v>1941</v>
      </c>
      <c r="B45" s="11">
        <v>1600</v>
      </c>
      <c r="C45" s="12">
        <v>0</v>
      </c>
      <c r="D45" s="12">
        <v>0</v>
      </c>
      <c r="E45" s="11">
        <f t="shared" si="3"/>
        <v>1222</v>
      </c>
      <c r="F45" s="11">
        <v>29867</v>
      </c>
      <c r="G45" s="11">
        <v>6671</v>
      </c>
      <c r="H45" s="13">
        <f t="shared" si="1"/>
        <v>58.545454545454497</v>
      </c>
      <c r="I45" s="12">
        <v>0</v>
      </c>
      <c r="J45" s="11">
        <f>629*2.81*1/3</f>
        <v>589.1633333333333</v>
      </c>
      <c r="K45" s="12">
        <v>0</v>
      </c>
      <c r="L45" s="11">
        <v>17762</v>
      </c>
      <c r="M45" s="11">
        <v>1030</v>
      </c>
      <c r="N45" s="11">
        <f>629*2/3*2.59</f>
        <v>1086.0733333333333</v>
      </c>
      <c r="P45" s="11">
        <v>3595</v>
      </c>
      <c r="Q45" s="14">
        <f t="shared" si="0"/>
        <v>56082</v>
      </c>
      <c r="R45" s="14"/>
      <c r="S45" s="14"/>
      <c r="T45" s="14"/>
    </row>
    <row r="46" spans="1:20">
      <c r="A46" s="10">
        <v>1942</v>
      </c>
      <c r="B46" s="11">
        <v>1840</v>
      </c>
      <c r="C46" s="12">
        <v>0</v>
      </c>
      <c r="D46" s="12">
        <v>0</v>
      </c>
      <c r="E46" s="11">
        <v>1314</v>
      </c>
      <c r="F46" s="11">
        <v>29510</v>
      </c>
      <c r="G46" s="11">
        <v>6822</v>
      </c>
      <c r="H46" s="13">
        <f t="shared" si="1"/>
        <v>59.939393939393888</v>
      </c>
      <c r="I46" s="12">
        <v>0</v>
      </c>
      <c r="J46" s="11">
        <f>811*2.81*1/3</f>
        <v>759.63666666666666</v>
      </c>
      <c r="K46" s="12">
        <v>0</v>
      </c>
      <c r="L46" s="11">
        <v>17084</v>
      </c>
      <c r="M46" s="11">
        <v>1000</v>
      </c>
      <c r="N46" s="11">
        <f>877*2/3*2.59</f>
        <v>1514.2866666666664</v>
      </c>
      <c r="P46" s="11">
        <v>2865</v>
      </c>
      <c r="Q46" s="14">
        <f t="shared" si="0"/>
        <v>44693.999999999993</v>
      </c>
      <c r="R46" s="14"/>
      <c r="S46" s="14"/>
      <c r="T46" s="14"/>
    </row>
    <row r="47" spans="1:20">
      <c r="A47" s="10">
        <v>1943</v>
      </c>
      <c r="B47" s="11">
        <v>1440</v>
      </c>
      <c r="C47" s="12">
        <v>0</v>
      </c>
      <c r="D47" s="12">
        <v>0</v>
      </c>
      <c r="E47" s="11">
        <f>(1156-1314)/3+E46</f>
        <v>1261.3333333333333</v>
      </c>
      <c r="F47" s="11">
        <v>26917</v>
      </c>
      <c r="G47" s="11">
        <v>7372</v>
      </c>
      <c r="H47" s="13">
        <f t="shared" si="1"/>
        <v>61.333333333333279</v>
      </c>
      <c r="I47" s="12">
        <v>0</v>
      </c>
      <c r="J47" s="11">
        <f>887*2.81*(1/3)</f>
        <v>830.82333333333338</v>
      </c>
      <c r="K47" s="12">
        <v>0</v>
      </c>
      <c r="L47" s="11">
        <v>17036</v>
      </c>
      <c r="M47" s="11">
        <v>920</v>
      </c>
      <c r="N47" s="11">
        <f>887*2/3*2.59</f>
        <v>1531.5533333333333</v>
      </c>
      <c r="P47" s="11">
        <v>2785</v>
      </c>
      <c r="Q47" s="14">
        <f t="shared" si="0"/>
        <v>43446</v>
      </c>
      <c r="R47" s="14"/>
      <c r="S47" s="14"/>
      <c r="T47" s="14"/>
    </row>
    <row r="48" spans="1:20">
      <c r="A48" s="10">
        <v>1944</v>
      </c>
      <c r="B48" s="11">
        <v>1440</v>
      </c>
      <c r="C48" s="12">
        <v>0</v>
      </c>
      <c r="D48" s="12">
        <v>0</v>
      </c>
      <c r="E48" s="11">
        <f>(1156-1314)/3+E47</f>
        <v>1208.6666666666665</v>
      </c>
      <c r="F48" s="11">
        <v>25160</v>
      </c>
      <c r="G48" s="11">
        <v>7778</v>
      </c>
      <c r="H48" s="13">
        <f t="shared" si="1"/>
        <v>62.72727272727267</v>
      </c>
      <c r="I48" s="12">
        <v>0</v>
      </c>
      <c r="J48" s="11">
        <f>281*2.81</f>
        <v>789.61</v>
      </c>
      <c r="K48" s="12">
        <v>0</v>
      </c>
      <c r="L48" s="11">
        <v>17183</v>
      </c>
      <c r="M48" s="11">
        <v>905</v>
      </c>
      <c r="N48" s="11">
        <f>918*2/3*2.59</f>
        <v>1585.08</v>
      </c>
      <c r="P48" s="11">
        <v>2915</v>
      </c>
      <c r="Q48" s="14">
        <f t="shared" si="0"/>
        <v>45474</v>
      </c>
      <c r="R48" s="14"/>
      <c r="S48" s="14"/>
      <c r="T48" s="14"/>
    </row>
    <row r="49" spans="1:20">
      <c r="A49" s="10">
        <v>1945</v>
      </c>
      <c r="B49" s="11">
        <v>1222</v>
      </c>
      <c r="C49" s="12">
        <v>0</v>
      </c>
      <c r="D49" s="12">
        <v>0</v>
      </c>
      <c r="E49" s="11">
        <v>1156</v>
      </c>
      <c r="F49" s="11">
        <v>21140</v>
      </c>
      <c r="G49" s="11">
        <v>6982</v>
      </c>
      <c r="H49" s="13">
        <f t="shared" si="1"/>
        <v>64.121212121212068</v>
      </c>
      <c r="I49" s="12">
        <v>0</v>
      </c>
      <c r="J49" s="11">
        <f>260*2.81</f>
        <v>730.6</v>
      </c>
      <c r="K49" s="12">
        <v>0</v>
      </c>
      <c r="L49" s="11">
        <v>17371</v>
      </c>
      <c r="M49" s="11">
        <v>845</v>
      </c>
      <c r="N49" s="11">
        <f>906*2/3*2.59</f>
        <v>1564.36</v>
      </c>
      <c r="P49" s="11">
        <v>2975</v>
      </c>
      <c r="Q49" s="14">
        <f t="shared" si="0"/>
        <v>46410</v>
      </c>
      <c r="R49" s="14"/>
      <c r="S49" s="14"/>
      <c r="T49" s="14"/>
    </row>
    <row r="50" spans="1:20">
      <c r="A50" s="10">
        <v>1946</v>
      </c>
      <c r="B50" s="11">
        <v>1200</v>
      </c>
      <c r="C50" s="12">
        <v>0</v>
      </c>
      <c r="D50" s="12">
        <v>0</v>
      </c>
      <c r="E50" s="11">
        <f>(1197-1156)/6+E49</f>
        <v>1162.8333333333333</v>
      </c>
      <c r="F50" s="11">
        <v>25856</v>
      </c>
      <c r="G50" s="11">
        <v>8256</v>
      </c>
      <c r="H50" s="13">
        <f t="shared" si="1"/>
        <v>65.515151515151459</v>
      </c>
      <c r="I50" s="12">
        <v>0</v>
      </c>
      <c r="J50" s="11">
        <f>(849+731)/2</f>
        <v>790</v>
      </c>
      <c r="K50" s="12">
        <v>0</v>
      </c>
      <c r="L50" s="11">
        <v>19278</v>
      </c>
      <c r="M50" s="11">
        <v>890</v>
      </c>
      <c r="N50" s="11">
        <f>976*2/3*2.59</f>
        <v>1685.2266666666665</v>
      </c>
      <c r="P50" s="11">
        <v>2675</v>
      </c>
      <c r="Q50" s="14">
        <f t="shared" si="0"/>
        <v>41730</v>
      </c>
      <c r="R50" s="14"/>
      <c r="S50" s="14"/>
      <c r="T50" s="14"/>
    </row>
    <row r="51" spans="1:20">
      <c r="A51" s="10">
        <v>1947</v>
      </c>
      <c r="B51" s="11">
        <v>1700</v>
      </c>
      <c r="C51" s="12">
        <v>0</v>
      </c>
      <c r="D51" s="12">
        <v>0</v>
      </c>
      <c r="E51" s="11">
        <f>(1197-1156)/6+E50</f>
        <v>1169.6666666666665</v>
      </c>
      <c r="F51" s="11">
        <v>27937</v>
      </c>
      <c r="G51" s="11">
        <v>7467</v>
      </c>
      <c r="H51" s="13">
        <f t="shared" si="1"/>
        <v>66.90909090909085</v>
      </c>
      <c r="I51" s="12">
        <v>0</v>
      </c>
      <c r="J51" s="11">
        <f>302*2.81</f>
        <v>848.62</v>
      </c>
      <c r="K51" s="12">
        <v>0</v>
      </c>
      <c r="L51" s="11">
        <v>21114</v>
      </c>
      <c r="M51" s="11">
        <v>940</v>
      </c>
      <c r="N51" s="11">
        <f>1072*2/3*2.59</f>
        <v>1850.9866666666665</v>
      </c>
      <c r="P51" s="11">
        <v>2685</v>
      </c>
      <c r="Q51" s="14">
        <f t="shared" si="0"/>
        <v>41885.999999999993</v>
      </c>
      <c r="R51" s="14"/>
      <c r="S51" s="14"/>
      <c r="T51" s="14"/>
    </row>
    <row r="52" spans="1:20">
      <c r="A52" s="10">
        <v>1948</v>
      </c>
      <c r="B52" s="11">
        <f>(+B$51-B$48)/3+B51</f>
        <v>1786.6666666666667</v>
      </c>
      <c r="C52" s="12">
        <v>0</v>
      </c>
      <c r="D52" s="12">
        <v>0</v>
      </c>
      <c r="E52" s="11">
        <f>(1197-1156)/6+E51</f>
        <v>1176.4999999999998</v>
      </c>
      <c r="F52" s="11">
        <v>29600</v>
      </c>
      <c r="G52" s="11">
        <v>7400</v>
      </c>
      <c r="H52" s="13">
        <f t="shared" si="1"/>
        <v>68.303030303030241</v>
      </c>
      <c r="I52" s="12">
        <v>0</v>
      </c>
      <c r="J52" s="11">
        <f>365*2.81</f>
        <v>1025.6500000000001</v>
      </c>
      <c r="K52" s="12">
        <v>0</v>
      </c>
      <c r="L52" s="11">
        <v>21897</v>
      </c>
      <c r="M52" s="11">
        <v>850</v>
      </c>
      <c r="N52" s="11">
        <f>1270*2/3*2.59</f>
        <v>2192.8666666666663</v>
      </c>
      <c r="P52" s="11">
        <v>2665</v>
      </c>
      <c r="Q52" s="14">
        <f t="shared" si="0"/>
        <v>41574</v>
      </c>
      <c r="R52" s="14"/>
      <c r="S52" s="14"/>
      <c r="T52" s="14"/>
    </row>
    <row r="53" spans="1:20">
      <c r="A53" s="10">
        <v>1949</v>
      </c>
      <c r="B53" s="11">
        <f>(+B$51-B$48)/3+B52</f>
        <v>1873.3333333333335</v>
      </c>
      <c r="C53" s="12">
        <v>0</v>
      </c>
      <c r="D53" s="12">
        <v>0</v>
      </c>
      <c r="E53" s="11">
        <f>(1197-1156)/6+E52</f>
        <v>1183.333333333333</v>
      </c>
      <c r="F53" s="11">
        <v>26472</v>
      </c>
      <c r="G53" s="11">
        <v>5704</v>
      </c>
      <c r="H53" s="13">
        <f t="shared" si="1"/>
        <v>69.696969696969632</v>
      </c>
      <c r="I53" s="12">
        <v>0</v>
      </c>
      <c r="J53" s="11">
        <f>217*2.81</f>
        <v>609.77</v>
      </c>
      <c r="K53" s="12">
        <v>0</v>
      </c>
      <c r="L53" s="11">
        <v>20098</v>
      </c>
      <c r="M53" s="11">
        <v>745</v>
      </c>
      <c r="N53" s="11">
        <f>839*2/3*2.59</f>
        <v>1448.6733333333334</v>
      </c>
      <c r="P53" s="11">
        <v>2820</v>
      </c>
      <c r="Q53" s="14">
        <f t="shared" si="0"/>
        <v>43992</v>
      </c>
      <c r="R53" s="14"/>
      <c r="S53" s="14"/>
      <c r="T53" s="14"/>
    </row>
    <row r="54" spans="1:20">
      <c r="A54" s="10">
        <v>1950</v>
      </c>
      <c r="B54" s="11">
        <v>2676</v>
      </c>
      <c r="C54" s="12">
        <v>0</v>
      </c>
      <c r="D54" s="12">
        <v>0</v>
      </c>
      <c r="E54" s="11">
        <f>(1197-1156)/6+E53</f>
        <v>1190.1666666666663</v>
      </c>
      <c r="F54" s="16">
        <v>30633</v>
      </c>
      <c r="G54" s="11">
        <v>7374</v>
      </c>
      <c r="H54" s="13">
        <f t="shared" si="1"/>
        <v>71.090909090909022</v>
      </c>
      <c r="I54" s="11">
        <v>21</v>
      </c>
      <c r="J54" s="11">
        <f>383*2.81</f>
        <v>1076.23</v>
      </c>
      <c r="K54" s="12">
        <v>0</v>
      </c>
      <c r="L54" s="11">
        <v>24375</v>
      </c>
      <c r="M54" s="11">
        <v>770</v>
      </c>
      <c r="N54" s="11">
        <f>1221*2/3*2.59</f>
        <v>2108.2599999999998</v>
      </c>
      <c r="P54" s="11">
        <v>2270</v>
      </c>
      <c r="Q54" s="14">
        <f t="shared" si="0"/>
        <v>35412</v>
      </c>
      <c r="R54" s="14"/>
      <c r="S54" s="14">
        <f>'[1]TABLE 3!'!F55</f>
        <v>117605.28</v>
      </c>
      <c r="T54" s="14"/>
    </row>
    <row r="55" spans="1:20">
      <c r="A55" s="10">
        <v>1951</v>
      </c>
      <c r="B55" s="11">
        <v>2995</v>
      </c>
      <c r="C55" s="12">
        <v>0</v>
      </c>
      <c r="D55" s="12">
        <v>0</v>
      </c>
      <c r="E55" s="11">
        <v>1197</v>
      </c>
      <c r="F55" s="16">
        <v>29493</v>
      </c>
      <c r="G55" s="11">
        <v>7711</v>
      </c>
      <c r="H55" s="13">
        <f t="shared" si="1"/>
        <v>72.484848484848413</v>
      </c>
      <c r="I55" s="11">
        <v>30</v>
      </c>
      <c r="J55" s="11">
        <f>348*2.81</f>
        <v>977.88</v>
      </c>
      <c r="K55" s="12">
        <v>0</v>
      </c>
      <c r="L55" s="11">
        <v>26048</v>
      </c>
      <c r="M55" s="11">
        <v>730</v>
      </c>
      <c r="N55" s="11">
        <f>1266*2/3*2.59</f>
        <v>2185.96</v>
      </c>
      <c r="P55" s="11">
        <v>2230</v>
      </c>
      <c r="Q55" s="14">
        <f t="shared" si="0"/>
        <v>34788</v>
      </c>
      <c r="R55" s="14"/>
      <c r="S55" s="14">
        <f>'[1]TABLE 3!'!F56</f>
        <v>120778.31999999999</v>
      </c>
      <c r="T55" s="14"/>
    </row>
    <row r="56" spans="1:20">
      <c r="A56" s="10">
        <v>1952</v>
      </c>
      <c r="B56" s="11">
        <v>3178</v>
      </c>
      <c r="C56" s="12">
        <v>0</v>
      </c>
      <c r="D56" s="12">
        <v>0</v>
      </c>
      <c r="E56" s="11">
        <v>1224</v>
      </c>
      <c r="F56" s="16">
        <v>30234</v>
      </c>
      <c r="G56" s="11">
        <v>7228</v>
      </c>
      <c r="H56" s="13">
        <f t="shared" si="1"/>
        <v>73.878787878787804</v>
      </c>
      <c r="I56" s="11">
        <v>33</v>
      </c>
      <c r="J56" s="11">
        <f>410*2.81</f>
        <v>1152.0999999999999</v>
      </c>
      <c r="K56" s="12">
        <v>0</v>
      </c>
      <c r="L56" s="11">
        <v>24423</v>
      </c>
      <c r="M56" s="11">
        <v>700</v>
      </c>
      <c r="N56" s="11">
        <f>1309*2/3*2.59</f>
        <v>2260.2066666666665</v>
      </c>
      <c r="P56" s="11">
        <v>2025</v>
      </c>
      <c r="Q56" s="14">
        <f t="shared" si="0"/>
        <v>31590</v>
      </c>
      <c r="R56" s="14"/>
      <c r="S56" s="14">
        <f>'[1]TABLE 3!'!F57</f>
        <v>120812.64</v>
      </c>
      <c r="T56" s="14"/>
    </row>
    <row r="57" spans="1:20">
      <c r="A57" s="10">
        <v>1953</v>
      </c>
      <c r="B57" s="11">
        <v>3848</v>
      </c>
      <c r="C57" s="12">
        <v>0</v>
      </c>
      <c r="D57" s="12">
        <v>0</v>
      </c>
      <c r="E57" s="11">
        <v>1228</v>
      </c>
      <c r="F57" s="16">
        <v>29615</v>
      </c>
      <c r="G57" s="11">
        <v>7180</v>
      </c>
      <c r="H57" s="13">
        <f t="shared" si="1"/>
        <v>75.272727272727195</v>
      </c>
      <c r="I57" s="11">
        <v>42</v>
      </c>
      <c r="J57" s="11">
        <f>423*2.81</f>
        <v>1188.6300000000001</v>
      </c>
      <c r="K57" s="12">
        <v>0</v>
      </c>
      <c r="L57" s="11">
        <v>26567</v>
      </c>
      <c r="M57" s="11">
        <v>750</v>
      </c>
      <c r="N57" s="11">
        <f>1374*2/3*2.59</f>
        <v>2372.44</v>
      </c>
      <c r="P57" s="11">
        <v>1950</v>
      </c>
      <c r="Q57" s="14">
        <f t="shared" si="0"/>
        <v>30419.999999999996</v>
      </c>
      <c r="R57" s="14"/>
      <c r="S57" s="14">
        <f>'[1]TABLE 3!'!F58</f>
        <v>120990.48</v>
      </c>
      <c r="T57" s="14"/>
    </row>
    <row r="58" spans="1:20">
      <c r="A58" s="10">
        <v>1954</v>
      </c>
      <c r="B58" s="11">
        <v>3989</v>
      </c>
      <c r="C58" s="12">
        <v>0</v>
      </c>
      <c r="D58" s="12">
        <v>0</v>
      </c>
      <c r="E58" s="11">
        <v>1116</v>
      </c>
      <c r="F58" s="16">
        <v>29283</v>
      </c>
      <c r="G58" s="11">
        <v>7074</v>
      </c>
      <c r="H58" s="13">
        <f t="shared" si="1"/>
        <v>76.666666666666586</v>
      </c>
      <c r="I58" s="11">
        <v>48</v>
      </c>
      <c r="J58" s="11">
        <f>465*2.81</f>
        <v>1306.6500000000001</v>
      </c>
      <c r="K58" s="12">
        <v>0</v>
      </c>
      <c r="L58" s="11">
        <v>26411</v>
      </c>
      <c r="M58" s="11">
        <v>740</v>
      </c>
      <c r="N58" s="11">
        <f>1473*2/3*2.59</f>
        <v>2543.3799999999997</v>
      </c>
      <c r="P58" s="11">
        <v>1800</v>
      </c>
      <c r="Q58" s="14">
        <f t="shared" si="0"/>
        <v>28080</v>
      </c>
      <c r="R58" s="14"/>
      <c r="S58" s="14">
        <f>'[1]TABLE 3!'!F59</f>
        <v>120450.71999999999</v>
      </c>
      <c r="T58" s="14"/>
    </row>
    <row r="59" spans="1:20">
      <c r="A59" s="10">
        <v>1955</v>
      </c>
      <c r="B59" s="11">
        <v>5284</v>
      </c>
      <c r="C59" s="12">
        <v>0</v>
      </c>
      <c r="D59" s="12">
        <v>0</v>
      </c>
      <c r="E59" s="11">
        <v>1355</v>
      </c>
      <c r="F59" s="16">
        <v>29815</v>
      </c>
      <c r="G59" s="11">
        <v>7565</v>
      </c>
      <c r="H59" s="13">
        <f t="shared" si="1"/>
        <v>78.060606060605977</v>
      </c>
      <c r="I59" s="11">
        <v>70</v>
      </c>
      <c r="J59" s="11">
        <f>530*2.81</f>
        <v>1489.3</v>
      </c>
      <c r="K59" s="12">
        <v>0</v>
      </c>
      <c r="L59" s="11">
        <v>30154</v>
      </c>
      <c r="M59" s="11">
        <v>780</v>
      </c>
      <c r="N59" s="11">
        <f>1630*2/3*2.59</f>
        <v>2814.4666666666667</v>
      </c>
      <c r="P59" s="11">
        <v>1725</v>
      </c>
      <c r="Q59" s="14">
        <f t="shared" si="0"/>
        <v>26910</v>
      </c>
      <c r="R59" s="14"/>
      <c r="S59" s="14">
        <f>'[1]TABLE 3!'!F60</f>
        <v>126980.88</v>
      </c>
      <c r="T59" s="14"/>
    </row>
    <row r="60" spans="1:20">
      <c r="A60" s="10">
        <v>1956</v>
      </c>
      <c r="B60" s="11">
        <v>5432</v>
      </c>
      <c r="C60" s="12">
        <v>0</v>
      </c>
      <c r="D60" s="12">
        <v>0</v>
      </c>
      <c r="E60" s="11">
        <v>1347</v>
      </c>
      <c r="F60" s="16">
        <v>30129</v>
      </c>
      <c r="G60" s="11">
        <v>7968</v>
      </c>
      <c r="H60" s="13">
        <f t="shared" si="1"/>
        <v>79.454545454545368</v>
      </c>
      <c r="I60" s="11">
        <v>111</v>
      </c>
      <c r="J60" s="11">
        <f>540*2.81</f>
        <v>1517.4</v>
      </c>
      <c r="K60" s="12">
        <v>0</v>
      </c>
      <c r="L60" s="11">
        <v>31428</v>
      </c>
      <c r="M60" s="11">
        <v>730</v>
      </c>
      <c r="N60" s="11">
        <f>1642*2/3*2.59</f>
        <v>2835.1866666666665</v>
      </c>
      <c r="P60" s="11">
        <v>1650</v>
      </c>
      <c r="Q60" s="14">
        <f t="shared" si="0"/>
        <v>25740</v>
      </c>
      <c r="R60" s="14"/>
      <c r="S60" s="14">
        <f>'[1]TABLE 3!'!F61</f>
        <v>132534.47999999998</v>
      </c>
      <c r="T60" s="14"/>
    </row>
    <row r="61" spans="1:20">
      <c r="A61" s="10">
        <v>1957</v>
      </c>
      <c r="B61" s="11">
        <v>5653</v>
      </c>
      <c r="C61" s="12">
        <v>0</v>
      </c>
      <c r="D61" s="12">
        <v>0</v>
      </c>
      <c r="E61" s="11">
        <v>1177</v>
      </c>
      <c r="F61" s="16">
        <v>27100</v>
      </c>
      <c r="G61" s="11">
        <v>7437</v>
      </c>
      <c r="H61" s="13">
        <f t="shared" si="1"/>
        <v>80.848484848484759</v>
      </c>
      <c r="I61" s="11">
        <v>183</v>
      </c>
      <c r="J61" s="11">
        <f>569*2.81</f>
        <v>1598.89</v>
      </c>
      <c r="K61" s="12">
        <v>0</v>
      </c>
      <c r="L61" s="11">
        <v>30666</v>
      </c>
      <c r="M61" s="11">
        <v>680</v>
      </c>
      <c r="N61" s="11">
        <f>1558*2/3*2.59</f>
        <v>2690.1466666666665</v>
      </c>
      <c r="P61" s="11">
        <v>1575</v>
      </c>
      <c r="Q61" s="14">
        <f t="shared" si="0"/>
        <v>24570</v>
      </c>
      <c r="R61" s="14"/>
      <c r="S61" s="14">
        <f>'[1]TABLE 3!'!F62</f>
        <v>118226.15999999999</v>
      </c>
      <c r="T61" s="14"/>
    </row>
    <row r="62" spans="1:20">
      <c r="A62" s="10">
        <v>1958</v>
      </c>
      <c r="B62" s="11">
        <v>6487</v>
      </c>
      <c r="C62" s="12">
        <v>0</v>
      </c>
      <c r="D62" s="12">
        <v>0</v>
      </c>
      <c r="E62" s="11">
        <v>1151</v>
      </c>
      <c r="F62" s="16">
        <v>27379</v>
      </c>
      <c r="G62" s="11">
        <v>7689</v>
      </c>
      <c r="H62" s="13">
        <f t="shared" si="1"/>
        <v>82.24242424242415</v>
      </c>
      <c r="I62" s="11">
        <v>250</v>
      </c>
      <c r="J62" s="11">
        <f>609*2.81</f>
        <v>1711.29</v>
      </c>
      <c r="K62" s="12">
        <v>0</v>
      </c>
      <c r="L62" s="11">
        <v>30823</v>
      </c>
      <c r="M62" s="11">
        <v>670</v>
      </c>
      <c r="N62" s="11">
        <f>1666*2/3*2.59</f>
        <v>2876.6266666666666</v>
      </c>
      <c r="P62" s="11">
        <v>1495</v>
      </c>
      <c r="Q62" s="14">
        <f t="shared" si="0"/>
        <v>23322</v>
      </c>
      <c r="R62" s="14"/>
      <c r="S62" s="14">
        <f>'[1]TABLE 3!'!F63</f>
        <v>116968.79999999999</v>
      </c>
      <c r="T62" s="14"/>
    </row>
    <row r="63" spans="1:20">
      <c r="A63" s="10">
        <v>1959</v>
      </c>
      <c r="B63" s="11">
        <v>7736</v>
      </c>
      <c r="C63" s="12">
        <v>0</v>
      </c>
      <c r="D63" s="12">
        <v>0</v>
      </c>
      <c r="E63" s="11">
        <v>1346</v>
      </c>
      <c r="F63" s="16">
        <v>30509</v>
      </c>
      <c r="G63" s="11">
        <v>8533</v>
      </c>
      <c r="H63" s="13">
        <f t="shared" si="1"/>
        <v>83.636363636363541</v>
      </c>
      <c r="I63" s="11">
        <v>255.4</v>
      </c>
      <c r="J63" s="11">
        <f>734*2.81</f>
        <v>2062.54</v>
      </c>
      <c r="K63" s="12">
        <v>0</v>
      </c>
      <c r="L63" s="11">
        <v>33748</v>
      </c>
      <c r="M63" s="11">
        <v>730</v>
      </c>
      <c r="N63" s="11">
        <f>1905*2/3*2.59</f>
        <v>3289.2999999999997</v>
      </c>
      <c r="P63" s="11">
        <v>1500</v>
      </c>
      <c r="Q63" s="14">
        <f t="shared" si="0"/>
        <v>23400</v>
      </c>
      <c r="R63" s="14"/>
      <c r="S63" s="14">
        <f>'[1]TABLE 3!'!F64</f>
        <v>128843.51999999999</v>
      </c>
      <c r="T63" s="14"/>
    </row>
    <row r="64" spans="1:20">
      <c r="A64" s="10">
        <v>1960</v>
      </c>
      <c r="B64" s="11">
        <v>7759</v>
      </c>
      <c r="C64" s="12">
        <v>0</v>
      </c>
      <c r="D64" s="12">
        <v>0</v>
      </c>
      <c r="E64" s="11">
        <v>1102</v>
      </c>
      <c r="F64" s="16">
        <v>26672</v>
      </c>
      <c r="G64" s="11">
        <v>7999</v>
      </c>
      <c r="H64" s="13">
        <f t="shared" si="1"/>
        <v>85.030303030302932</v>
      </c>
      <c r="I64" s="11">
        <v>232</v>
      </c>
      <c r="J64" s="11">
        <v>1930</v>
      </c>
      <c r="K64" s="12">
        <v>0</v>
      </c>
      <c r="L64" s="11">
        <v>33758</v>
      </c>
      <c r="M64" s="11">
        <f>255+255</f>
        <v>510</v>
      </c>
      <c r="N64" s="11">
        <v>2848</v>
      </c>
      <c r="P64" s="11">
        <v>1300</v>
      </c>
      <c r="Q64" s="14">
        <f t="shared" si="0"/>
        <v>20279.999999999996</v>
      </c>
      <c r="R64" s="14"/>
      <c r="S64" s="14">
        <f>'[1]TABLE 3!'!F65</f>
        <v>122556.72</v>
      </c>
      <c r="T64" s="14"/>
    </row>
    <row r="65" spans="1:20">
      <c r="A65" s="10">
        <v>1961</v>
      </c>
      <c r="B65" s="11">
        <v>8496</v>
      </c>
      <c r="C65" s="12">
        <v>0</v>
      </c>
      <c r="D65" s="12">
        <v>0</v>
      </c>
      <c r="E65" s="11">
        <v>1305</v>
      </c>
      <c r="F65" s="16">
        <v>26066</v>
      </c>
      <c r="G65" s="11">
        <v>7610</v>
      </c>
      <c r="H65" s="13">
        <f t="shared" si="1"/>
        <v>86.424242424242323</v>
      </c>
      <c r="I65" s="11">
        <v>291.3</v>
      </c>
      <c r="J65" s="11">
        <v>2154</v>
      </c>
      <c r="K65" s="12">
        <v>0</v>
      </c>
      <c r="L65" s="11">
        <v>34937</v>
      </c>
      <c r="M65" s="11">
        <f>250+240</f>
        <v>490</v>
      </c>
      <c r="N65" s="11">
        <v>2850</v>
      </c>
      <c r="P65" s="11">
        <v>1215</v>
      </c>
      <c r="Q65" s="14">
        <f t="shared" si="0"/>
        <v>18954</v>
      </c>
      <c r="R65" s="14"/>
      <c r="S65" s="14">
        <f>'[1]TABLE 3!'!F66</f>
        <v>119617.68</v>
      </c>
      <c r="T65" s="14"/>
    </row>
    <row r="66" spans="1:20">
      <c r="A66" s="10">
        <v>1962</v>
      </c>
      <c r="B66" s="11">
        <v>9315</v>
      </c>
      <c r="C66" s="12">
        <v>0</v>
      </c>
      <c r="D66" s="12">
        <v>0</v>
      </c>
      <c r="E66" s="11">
        <v>1516</v>
      </c>
      <c r="F66" s="16">
        <v>26819</v>
      </c>
      <c r="G66" s="11">
        <v>8127</v>
      </c>
      <c r="H66" s="13">
        <f t="shared" si="1"/>
        <v>87.818181818181714</v>
      </c>
      <c r="I66" s="11">
        <v>366.1</v>
      </c>
      <c r="J66" s="11">
        <v>2445</v>
      </c>
      <c r="K66" s="12">
        <v>0</v>
      </c>
      <c r="L66" s="11">
        <v>36678</v>
      </c>
      <c r="M66" s="11">
        <f>240+225</f>
        <v>465</v>
      </c>
      <c r="N66" s="11">
        <v>2885</v>
      </c>
      <c r="P66" s="11">
        <v>1125</v>
      </c>
      <c r="Q66" s="14">
        <f t="shared" si="0"/>
        <v>17550</v>
      </c>
      <c r="R66" s="14"/>
      <c r="S66" s="14">
        <f>'[1]TABLE 3!'!F67</f>
        <v>123645.59999999999</v>
      </c>
      <c r="T66" s="14"/>
    </row>
    <row r="67" spans="1:20">
      <c r="A67" s="10">
        <v>1963</v>
      </c>
      <c r="B67" s="11">
        <v>10375</v>
      </c>
      <c r="C67" s="12">
        <v>0</v>
      </c>
      <c r="D67" s="12">
        <v>0</v>
      </c>
      <c r="E67" s="11">
        <v>1683</v>
      </c>
      <c r="F67" s="16">
        <v>27552</v>
      </c>
      <c r="G67" s="11">
        <v>9137</v>
      </c>
      <c r="H67" s="13">
        <f t="shared" si="1"/>
        <v>89.212121212121104</v>
      </c>
      <c r="I67" s="11">
        <v>455.8</v>
      </c>
      <c r="J67" s="11">
        <v>2709</v>
      </c>
      <c r="K67" s="12">
        <v>0</v>
      </c>
      <c r="L67" s="11">
        <v>38272</v>
      </c>
      <c r="M67" s="11">
        <f>270+245</f>
        <v>515</v>
      </c>
      <c r="N67" s="11">
        <v>3039</v>
      </c>
      <c r="P67" s="11">
        <v>1055</v>
      </c>
      <c r="Q67" s="14">
        <f t="shared" si="0"/>
        <v>16458</v>
      </c>
      <c r="R67" s="14"/>
      <c r="S67" s="14">
        <f>'[1]TABLE 3!'!F68</f>
        <v>130153.92</v>
      </c>
      <c r="T67" s="14"/>
    </row>
    <row r="68" spans="1:20">
      <c r="A68" s="10">
        <v>1964</v>
      </c>
      <c r="B68" s="11">
        <v>11455</v>
      </c>
      <c r="C68" s="12">
        <v>0</v>
      </c>
      <c r="D68" s="12">
        <v>0</v>
      </c>
      <c r="E68" s="11">
        <v>1912</v>
      </c>
      <c r="F68" s="16">
        <v>29284</v>
      </c>
      <c r="G68" s="11">
        <v>9298</v>
      </c>
      <c r="H68" s="13">
        <f t="shared" si="1"/>
        <v>90.606060606060495</v>
      </c>
      <c r="I68" s="11">
        <v>591.70000000000005</v>
      </c>
      <c r="J68" s="12">
        <v>2688.8</v>
      </c>
      <c r="K68" s="12">
        <v>0</v>
      </c>
      <c r="L68" s="11">
        <v>40961</v>
      </c>
      <c r="M68" s="11">
        <f>285+255</f>
        <v>540</v>
      </c>
      <c r="N68" s="11">
        <v>3262</v>
      </c>
      <c r="P68" s="11">
        <v>985</v>
      </c>
      <c r="Q68" s="14">
        <f t="shared" si="0"/>
        <v>15366</v>
      </c>
      <c r="R68" s="14"/>
      <c r="S68" s="14">
        <f>'[1]TABLE 3!'!F69</f>
        <v>138340.79999999999</v>
      </c>
      <c r="T68" s="14"/>
    </row>
    <row r="69" spans="1:20">
      <c r="A69" s="10">
        <v>1965</v>
      </c>
      <c r="B69" s="12">
        <v>12447</v>
      </c>
      <c r="C69" s="12">
        <v>0</v>
      </c>
      <c r="D69" s="12">
        <v>0</v>
      </c>
      <c r="E69" s="12">
        <v>2049</v>
      </c>
      <c r="F69" s="16">
        <v>29295</v>
      </c>
      <c r="G69" s="12">
        <v>9431</v>
      </c>
      <c r="H69" s="12">
        <v>92</v>
      </c>
      <c r="I69" s="12">
        <v>753</v>
      </c>
      <c r="J69" s="12">
        <v>2921</v>
      </c>
      <c r="K69" s="12">
        <v>75</v>
      </c>
      <c r="L69" s="12">
        <v>43465</v>
      </c>
      <c r="M69" s="12">
        <v>560</v>
      </c>
      <c r="N69" s="12">
        <v>3362</v>
      </c>
      <c r="P69" s="11">
        <v>915</v>
      </c>
      <c r="Q69" s="14">
        <f t="shared" ref="Q69:Q102" si="4">(((0.5*62.4/2000)*P69))*1000</f>
        <v>14274</v>
      </c>
      <c r="R69" s="14">
        <v>2759.9141898305079</v>
      </c>
      <c r="S69" s="14">
        <f>'[1]TABLE 3!'!F70</f>
        <v>154282.95347961699</v>
      </c>
      <c r="T69" s="14">
        <f>(Q69+R69+S69)</f>
        <v>171316.8676694475</v>
      </c>
    </row>
    <row r="70" spans="1:20">
      <c r="A70" s="10">
        <v>1966</v>
      </c>
      <c r="B70" s="12">
        <v>13056</v>
      </c>
      <c r="C70" s="12">
        <v>0</v>
      </c>
      <c r="D70" s="12">
        <v>0</v>
      </c>
      <c r="E70" s="12">
        <v>2076</v>
      </c>
      <c r="F70" s="16">
        <v>28847</v>
      </c>
      <c r="G70" s="12">
        <v>9771</v>
      </c>
      <c r="H70" s="12">
        <v>109</v>
      </c>
      <c r="I70" s="12">
        <v>948</v>
      </c>
      <c r="J70" s="12">
        <v>3083</v>
      </c>
      <c r="K70" s="12">
        <v>83</v>
      </c>
      <c r="L70" s="12">
        <v>46971</v>
      </c>
      <c r="M70" s="12">
        <v>565</v>
      </c>
      <c r="N70" s="12">
        <v>3079</v>
      </c>
      <c r="P70" s="11">
        <v>845</v>
      </c>
      <c r="Q70" s="14">
        <f t="shared" si="4"/>
        <v>13181.999999999998</v>
      </c>
      <c r="R70" s="14">
        <v>3341.9431169491522</v>
      </c>
      <c r="S70" s="14">
        <f>'[1]TABLE 3!'!F71</f>
        <v>158133.07399387224</v>
      </c>
      <c r="T70" s="14">
        <f t="shared" ref="T70:T133" si="5">(Q70+R70+S70)</f>
        <v>174657.01711082138</v>
      </c>
    </row>
    <row r="71" spans="1:20">
      <c r="A71" s="10">
        <v>1967</v>
      </c>
      <c r="B71" s="12">
        <v>12958</v>
      </c>
      <c r="C71" s="12">
        <v>0</v>
      </c>
      <c r="D71" s="12">
        <v>0</v>
      </c>
      <c r="E71" s="12">
        <v>1916</v>
      </c>
      <c r="F71" s="16">
        <v>28172</v>
      </c>
      <c r="G71" s="12">
        <v>9311</v>
      </c>
      <c r="H71" s="12">
        <v>110</v>
      </c>
      <c r="I71" s="12">
        <v>1074</v>
      </c>
      <c r="J71" s="12">
        <v>3038</v>
      </c>
      <c r="K71" s="12">
        <v>93</v>
      </c>
      <c r="L71" s="12">
        <v>46969</v>
      </c>
      <c r="M71" s="12">
        <v>515</v>
      </c>
      <c r="N71" s="12">
        <v>3209</v>
      </c>
      <c r="P71" s="11">
        <v>780</v>
      </c>
      <c r="Q71" s="14">
        <f t="shared" si="4"/>
        <v>12168</v>
      </c>
      <c r="R71" s="14">
        <v>5067.9911033898297</v>
      </c>
      <c r="S71" s="14">
        <f>'[1]TABLE 3!'!F72</f>
        <v>153840.92896377074</v>
      </c>
      <c r="T71" s="14">
        <f t="shared" si="5"/>
        <v>171076.92006716056</v>
      </c>
    </row>
    <row r="72" spans="1:20">
      <c r="A72" s="10">
        <v>1968</v>
      </c>
      <c r="B72" s="12">
        <v>14695</v>
      </c>
      <c r="C72" s="12">
        <v>0</v>
      </c>
      <c r="D72" s="12">
        <v>0</v>
      </c>
      <c r="E72" s="12">
        <v>2009</v>
      </c>
      <c r="F72" s="16">
        <v>29285</v>
      </c>
      <c r="G72" s="12">
        <v>8432</v>
      </c>
      <c r="H72" s="12">
        <v>121</v>
      </c>
      <c r="I72" s="12">
        <v>1391</v>
      </c>
      <c r="J72" s="12">
        <v>3710</v>
      </c>
      <c r="K72" s="12">
        <v>103</v>
      </c>
      <c r="L72" s="12">
        <v>50561</v>
      </c>
      <c r="M72" s="12">
        <v>485</v>
      </c>
      <c r="N72" s="12">
        <v>3476</v>
      </c>
      <c r="P72" s="11">
        <v>700</v>
      </c>
      <c r="Q72" s="14">
        <f t="shared" si="4"/>
        <v>10920</v>
      </c>
      <c r="R72" s="14">
        <v>7077.9263694915253</v>
      </c>
      <c r="S72" s="14">
        <f>'[1]TABLE 3!'!F73</f>
        <v>159312.53183991744</v>
      </c>
      <c r="T72" s="14">
        <f t="shared" si="5"/>
        <v>177310.45820940897</v>
      </c>
    </row>
    <row r="73" spans="1:20">
      <c r="A73" s="10">
        <v>1969</v>
      </c>
      <c r="B73" s="12">
        <v>13694</v>
      </c>
      <c r="C73" s="12">
        <v>0</v>
      </c>
      <c r="D73" s="12">
        <v>0</v>
      </c>
      <c r="E73" s="12">
        <v>1869</v>
      </c>
      <c r="F73" s="16">
        <v>28342</v>
      </c>
      <c r="G73" s="12">
        <v>7849</v>
      </c>
      <c r="H73" s="12">
        <v>140</v>
      </c>
      <c r="I73" s="12">
        <v>1682</v>
      </c>
      <c r="J73" s="12">
        <v>4247</v>
      </c>
      <c r="K73" s="12">
        <v>114</v>
      </c>
      <c r="L73" s="12">
        <v>53530</v>
      </c>
      <c r="M73" s="12">
        <v>455</v>
      </c>
      <c r="N73" s="12">
        <v>3623</v>
      </c>
      <c r="P73" s="11">
        <v>620</v>
      </c>
      <c r="Q73" s="14">
        <f t="shared" si="4"/>
        <v>9671.9999999999982</v>
      </c>
      <c r="R73" s="14">
        <v>7361.796330508475</v>
      </c>
      <c r="S73" s="14">
        <f>'[1]TABLE 3!'!F74</f>
        <v>157282.91064340633</v>
      </c>
      <c r="T73" s="14">
        <f t="shared" si="5"/>
        <v>174316.70697391481</v>
      </c>
    </row>
    <row r="74" spans="1:20">
      <c r="A74" s="10">
        <v>1970</v>
      </c>
      <c r="B74" s="12">
        <v>14340</v>
      </c>
      <c r="C74" s="12">
        <v>0</v>
      </c>
      <c r="D74" s="13">
        <f>D73+(D$84-D$73)/11</f>
        <v>0.27272727272727271</v>
      </c>
      <c r="E74" s="12">
        <v>1796</v>
      </c>
      <c r="F74" s="16">
        <v>27530</v>
      </c>
      <c r="G74" s="12">
        <v>7701</v>
      </c>
      <c r="H74" s="12">
        <v>133</v>
      </c>
      <c r="I74" s="12">
        <v>1731</v>
      </c>
      <c r="J74" s="12">
        <v>4384</v>
      </c>
      <c r="K74" s="12">
        <v>127</v>
      </c>
      <c r="L74" s="12">
        <v>53408</v>
      </c>
      <c r="M74" s="12">
        <v>425</v>
      </c>
      <c r="N74" s="12">
        <v>3194</v>
      </c>
      <c r="P74" s="11">
        <v>535</v>
      </c>
      <c r="Q74" s="14">
        <f t="shared" si="4"/>
        <v>8346</v>
      </c>
      <c r="R74" s="14">
        <v>8499.8100508474563</v>
      </c>
      <c r="S74" s="14">
        <f>'[1]TABLE 3!'!F75</f>
        <v>156343.47045047188</v>
      </c>
      <c r="T74" s="14">
        <f t="shared" si="5"/>
        <v>173189.28050131933</v>
      </c>
    </row>
    <row r="75" spans="1:20">
      <c r="A75" s="10">
        <v>1971</v>
      </c>
      <c r="B75" s="12">
        <v>16635</v>
      </c>
      <c r="C75" s="12">
        <v>0</v>
      </c>
      <c r="D75" s="13">
        <f t="shared" ref="D75:D83" si="6">D74+(D$84-D$73)/11</f>
        <v>0.54545454545454541</v>
      </c>
      <c r="E75" s="12">
        <v>1924</v>
      </c>
      <c r="F75" s="16">
        <v>30039</v>
      </c>
      <c r="G75" s="12">
        <v>8106</v>
      </c>
      <c r="H75" s="12">
        <v>145</v>
      </c>
      <c r="I75" s="12">
        <v>2359</v>
      </c>
      <c r="J75" s="12">
        <v>5225</v>
      </c>
      <c r="K75" s="12">
        <v>141</v>
      </c>
      <c r="L75" s="12">
        <v>53753</v>
      </c>
      <c r="M75" s="12">
        <v>415</v>
      </c>
      <c r="N75" s="12">
        <v>3839</v>
      </c>
      <c r="P75" s="11">
        <v>500</v>
      </c>
      <c r="Q75" s="14">
        <f t="shared" si="4"/>
        <v>7800</v>
      </c>
      <c r="R75" s="14">
        <v>6945.8805661016941</v>
      </c>
      <c r="S75" s="14">
        <f>'[1]TABLE 3!'!F76</f>
        <v>162113.36093198202</v>
      </c>
      <c r="T75" s="14">
        <f t="shared" si="5"/>
        <v>176859.24149808372</v>
      </c>
    </row>
    <row r="76" spans="1:20">
      <c r="A76" s="10">
        <v>1972</v>
      </c>
      <c r="B76" s="12">
        <v>18324</v>
      </c>
      <c r="C76" s="12">
        <v>0</v>
      </c>
      <c r="D76" s="13">
        <f t="shared" si="6"/>
        <v>0.81818181818181812</v>
      </c>
      <c r="E76" s="12">
        <v>2030</v>
      </c>
      <c r="F76" s="16">
        <v>30975</v>
      </c>
      <c r="G76" s="12">
        <v>8230</v>
      </c>
      <c r="H76" s="12">
        <v>163</v>
      </c>
      <c r="I76" s="12">
        <v>3079</v>
      </c>
      <c r="J76" s="12">
        <v>5798</v>
      </c>
      <c r="K76" s="12">
        <v>157</v>
      </c>
      <c r="L76" s="12">
        <v>58009</v>
      </c>
      <c r="M76" s="12">
        <v>405</v>
      </c>
      <c r="N76" s="12">
        <v>3918</v>
      </c>
      <c r="P76" s="11">
        <v>475</v>
      </c>
      <c r="Q76" s="14">
        <f t="shared" si="4"/>
        <v>7409.9999999999991</v>
      </c>
      <c r="R76" s="14">
        <v>9366.4326864406758</v>
      </c>
      <c r="S76" s="14">
        <f>'[1]TABLE 3!'!F77</f>
        <v>165093.43017846465</v>
      </c>
      <c r="T76" s="14">
        <f t="shared" si="5"/>
        <v>181869.86286490533</v>
      </c>
    </row>
    <row r="77" spans="1:20">
      <c r="A77" s="10">
        <v>1973</v>
      </c>
      <c r="B77" s="12">
        <v>18305</v>
      </c>
      <c r="C77" s="12">
        <v>0</v>
      </c>
      <c r="D77" s="13">
        <f t="shared" si="6"/>
        <v>1.0909090909090908</v>
      </c>
      <c r="E77" s="12">
        <v>1807</v>
      </c>
      <c r="F77" s="16">
        <v>31586</v>
      </c>
      <c r="G77" s="12">
        <v>8792</v>
      </c>
      <c r="H77" s="12">
        <v>195</v>
      </c>
      <c r="I77" s="12">
        <v>3460</v>
      </c>
      <c r="J77" s="12">
        <v>6050</v>
      </c>
      <c r="K77" s="12">
        <v>174</v>
      </c>
      <c r="L77" s="12">
        <v>60548</v>
      </c>
      <c r="M77" s="12">
        <v>405</v>
      </c>
      <c r="N77" s="12">
        <v>3914</v>
      </c>
      <c r="P77" s="11">
        <v>505</v>
      </c>
      <c r="Q77" s="14">
        <f t="shared" si="4"/>
        <v>7877.9999999999991</v>
      </c>
      <c r="R77" s="14">
        <v>10808.925884745762</v>
      </c>
      <c r="S77" s="14">
        <f>'[1]TABLE 3!'!F78</f>
        <v>169536.15606621225</v>
      </c>
      <c r="T77" s="14">
        <f t="shared" si="5"/>
        <v>188223.081950958</v>
      </c>
    </row>
    <row r="78" spans="1:20">
      <c r="A78" s="10">
        <v>1974</v>
      </c>
      <c r="B78" s="12">
        <v>15878</v>
      </c>
      <c r="C78" s="12">
        <v>0</v>
      </c>
      <c r="D78" s="13">
        <f t="shared" si="6"/>
        <v>1.3636363636363635</v>
      </c>
      <c r="E78" s="12">
        <v>1401</v>
      </c>
      <c r="F78" s="16">
        <v>27704</v>
      </c>
      <c r="G78" s="12">
        <v>8448</v>
      </c>
      <c r="H78" s="12">
        <v>216</v>
      </c>
      <c r="I78" s="12">
        <v>3075</v>
      </c>
      <c r="J78" s="12">
        <v>5654</v>
      </c>
      <c r="K78" s="12">
        <v>194</v>
      </c>
      <c r="L78" s="12">
        <v>60403</v>
      </c>
      <c r="M78" s="12">
        <v>395</v>
      </c>
      <c r="N78" s="12">
        <v>3282</v>
      </c>
      <c r="P78" s="11">
        <v>535</v>
      </c>
      <c r="Q78" s="14">
        <f t="shared" si="4"/>
        <v>8346</v>
      </c>
      <c r="R78" s="14">
        <v>9939.4136796610164</v>
      </c>
      <c r="S78" s="14">
        <f>'[1]TABLE 3!'!F79</f>
        <v>163173.52958940587</v>
      </c>
      <c r="T78" s="14">
        <f t="shared" si="5"/>
        <v>181458.94326906689</v>
      </c>
    </row>
    <row r="79" spans="1:20">
      <c r="A79" s="10">
        <v>1975</v>
      </c>
      <c r="B79" s="12">
        <v>16050</v>
      </c>
      <c r="C79" s="12">
        <v>0</v>
      </c>
      <c r="D79" s="13">
        <f t="shared" si="6"/>
        <v>1.6363636363636362</v>
      </c>
      <c r="E79" s="12">
        <v>1052</v>
      </c>
      <c r="F79" s="16">
        <v>26747</v>
      </c>
      <c r="G79" s="12">
        <v>7304</v>
      </c>
      <c r="H79" s="12">
        <v>167</v>
      </c>
      <c r="I79" s="12">
        <v>2503</v>
      </c>
      <c r="J79" s="12">
        <v>5681</v>
      </c>
      <c r="K79" s="12">
        <v>215</v>
      </c>
      <c r="L79" s="12">
        <v>52393</v>
      </c>
      <c r="M79" s="12">
        <v>385</v>
      </c>
      <c r="N79" s="12">
        <v>2960</v>
      </c>
      <c r="P79" s="11">
        <v>570</v>
      </c>
      <c r="Q79" s="14">
        <f t="shared" si="4"/>
        <v>8892</v>
      </c>
      <c r="R79" s="14">
        <v>9286.0166033898295</v>
      </c>
      <c r="S79" s="14">
        <f>'[1]TABLE 3!'!F80</f>
        <v>143660.48094947854</v>
      </c>
      <c r="T79" s="14">
        <f t="shared" si="5"/>
        <v>161838.49755286839</v>
      </c>
    </row>
    <row r="80" spans="1:20">
      <c r="A80" s="10">
        <v>1976</v>
      </c>
      <c r="B80" s="12">
        <v>18440</v>
      </c>
      <c r="C80" s="12">
        <v>0</v>
      </c>
      <c r="D80" s="13">
        <f t="shared" si="6"/>
        <v>1.9090909090909089</v>
      </c>
      <c r="E80" s="12">
        <v>1083</v>
      </c>
      <c r="F80" s="16">
        <v>29693</v>
      </c>
      <c r="G80" s="12">
        <v>7978</v>
      </c>
      <c r="H80" s="12">
        <v>206</v>
      </c>
      <c r="I80" s="12">
        <v>3189</v>
      </c>
      <c r="J80" s="12">
        <v>6785</v>
      </c>
      <c r="K80" s="12">
        <v>280</v>
      </c>
      <c r="L80" s="12">
        <v>59283</v>
      </c>
      <c r="M80" s="12">
        <v>375</v>
      </c>
      <c r="N80" s="12">
        <v>3407</v>
      </c>
      <c r="P80" s="11">
        <v>600</v>
      </c>
      <c r="Q80" s="14">
        <f t="shared" si="4"/>
        <v>9360</v>
      </c>
      <c r="R80" s="14">
        <v>11387.580716949153</v>
      </c>
      <c r="S80" s="14">
        <f>'[1]TABLE 3!'!F81</f>
        <v>161553.50982551495</v>
      </c>
      <c r="T80" s="14">
        <f t="shared" si="5"/>
        <v>182301.09054246411</v>
      </c>
    </row>
    <row r="81" spans="1:20">
      <c r="A81" s="10">
        <v>1977</v>
      </c>
      <c r="B81" s="12">
        <v>19376</v>
      </c>
      <c r="C81" s="12">
        <v>0</v>
      </c>
      <c r="D81" s="13">
        <f t="shared" si="6"/>
        <v>2.1818181818181817</v>
      </c>
      <c r="E81" s="12">
        <v>1187</v>
      </c>
      <c r="F81" s="16">
        <v>31737</v>
      </c>
      <c r="G81" s="12">
        <v>8500</v>
      </c>
      <c r="H81" s="12">
        <v>248</v>
      </c>
      <c r="I81" s="12">
        <v>3569</v>
      </c>
      <c r="J81" s="12">
        <v>7714</v>
      </c>
      <c r="K81" s="12">
        <v>441</v>
      </c>
      <c r="L81" s="12">
        <v>61149</v>
      </c>
      <c r="M81" s="12">
        <v>385</v>
      </c>
      <c r="N81" s="12">
        <v>3462</v>
      </c>
      <c r="P81" s="11">
        <v>1000</v>
      </c>
      <c r="Q81" s="14">
        <f t="shared" si="4"/>
        <v>15600</v>
      </c>
      <c r="R81" s="14">
        <v>11144.578525423727</v>
      </c>
      <c r="S81" s="14">
        <f>'[1]TABLE 3!'!F82</f>
        <v>167483.40291371683</v>
      </c>
      <c r="T81" s="14">
        <f t="shared" si="5"/>
        <v>194227.98143914057</v>
      </c>
    </row>
    <row r="82" spans="1:20">
      <c r="A82" s="10">
        <v>1978</v>
      </c>
      <c r="B82" s="12">
        <v>19964</v>
      </c>
      <c r="C82" s="12">
        <v>0</v>
      </c>
      <c r="D82" s="13">
        <f t="shared" si="6"/>
        <v>2.4545454545454541</v>
      </c>
      <c r="E82" s="12">
        <v>1185</v>
      </c>
      <c r="F82" s="16">
        <v>32057</v>
      </c>
      <c r="G82" s="12">
        <v>8728</v>
      </c>
      <c r="H82" s="12">
        <v>284</v>
      </c>
      <c r="I82" s="12">
        <v>3720</v>
      </c>
      <c r="J82" s="12">
        <v>7825</v>
      </c>
      <c r="K82" s="12">
        <v>508</v>
      </c>
      <c r="L82" s="12">
        <v>63085</v>
      </c>
      <c r="M82" s="12">
        <v>395</v>
      </c>
      <c r="N82" s="12">
        <v>3437</v>
      </c>
      <c r="P82" s="11">
        <v>1525</v>
      </c>
      <c r="Q82" s="14">
        <f t="shared" si="4"/>
        <v>23790</v>
      </c>
      <c r="R82" s="14">
        <v>11431.980542372879</v>
      </c>
      <c r="S82" s="14">
        <f>'[1]TABLE 3!'!F83</f>
        <v>172662.28606734393</v>
      </c>
      <c r="T82" s="14">
        <f t="shared" si="5"/>
        <v>207884.26660971681</v>
      </c>
    </row>
    <row r="83" spans="1:20">
      <c r="A83" s="10">
        <v>1979</v>
      </c>
      <c r="B83" s="12">
        <v>19653</v>
      </c>
      <c r="C83" s="12">
        <v>0</v>
      </c>
      <c r="D83" s="13">
        <f t="shared" si="6"/>
        <v>2.7272727272727266</v>
      </c>
      <c r="E83" s="12">
        <v>1150</v>
      </c>
      <c r="F83" s="16">
        <v>31432</v>
      </c>
      <c r="G83" s="12">
        <v>9069</v>
      </c>
      <c r="H83" s="12">
        <v>311</v>
      </c>
      <c r="I83" s="12">
        <v>3376</v>
      </c>
      <c r="J83" s="12">
        <v>7688</v>
      </c>
      <c r="K83" s="12">
        <v>507</v>
      </c>
      <c r="L83" s="12">
        <v>65873</v>
      </c>
      <c r="M83" s="12">
        <v>405</v>
      </c>
      <c r="N83" s="12">
        <v>3310</v>
      </c>
      <c r="P83" s="11">
        <v>2205</v>
      </c>
      <c r="Q83" s="14">
        <f t="shared" si="4"/>
        <v>34397.999999999993</v>
      </c>
      <c r="R83" s="14">
        <v>13481.965503389829</v>
      </c>
      <c r="S83" s="14">
        <f>'[1]TABLE 3!'!F84</f>
        <v>175367.10158909654</v>
      </c>
      <c r="T83" s="14">
        <f t="shared" si="5"/>
        <v>223247.06709248637</v>
      </c>
    </row>
    <row r="84" spans="1:20">
      <c r="A84" s="10">
        <v>1980</v>
      </c>
      <c r="B84" s="12">
        <v>16333</v>
      </c>
      <c r="C84" s="12">
        <v>135</v>
      </c>
      <c r="D84" s="12">
        <v>3</v>
      </c>
      <c r="E84" s="12">
        <v>1038</v>
      </c>
      <c r="F84" s="16">
        <v>26246</v>
      </c>
      <c r="G84" s="12">
        <v>8860</v>
      </c>
      <c r="H84" s="12">
        <v>271</v>
      </c>
      <c r="I84" s="12">
        <v>2950</v>
      </c>
      <c r="J84" s="12">
        <v>6140</v>
      </c>
      <c r="K84" s="12">
        <v>493</v>
      </c>
      <c r="L84" s="12">
        <v>66217</v>
      </c>
      <c r="M84" s="12">
        <v>415</v>
      </c>
      <c r="N84" s="12">
        <v>2780</v>
      </c>
      <c r="P84" s="11">
        <v>3105</v>
      </c>
      <c r="Q84" s="14">
        <f t="shared" si="4"/>
        <v>48437.999999999993</v>
      </c>
      <c r="R84" s="14">
        <v>12034.637472881353</v>
      </c>
      <c r="S84" s="14">
        <f>'[1]TABLE 3!'!F85</f>
        <v>162614.62386409024</v>
      </c>
      <c r="T84" s="14">
        <f t="shared" si="5"/>
        <v>223087.2613369716</v>
      </c>
    </row>
    <row r="85" spans="1:20">
      <c r="A85" s="10">
        <v>1981</v>
      </c>
      <c r="B85" s="12">
        <v>16752</v>
      </c>
      <c r="C85" s="12">
        <v>271</v>
      </c>
      <c r="D85" s="12">
        <v>4</v>
      </c>
      <c r="E85" s="12">
        <v>976</v>
      </c>
      <c r="F85" s="16">
        <v>24676</v>
      </c>
      <c r="G85" s="12">
        <v>7147</v>
      </c>
      <c r="H85" s="12">
        <v>265</v>
      </c>
      <c r="I85" s="12">
        <v>2869</v>
      </c>
      <c r="J85" s="12">
        <v>6105</v>
      </c>
      <c r="K85" s="12">
        <v>516</v>
      </c>
      <c r="L85" s="12">
        <v>66931</v>
      </c>
      <c r="M85" s="12">
        <v>425</v>
      </c>
      <c r="N85" s="12">
        <v>2124</v>
      </c>
      <c r="P85" s="11">
        <v>3180</v>
      </c>
      <c r="Q85" s="14">
        <f t="shared" si="4"/>
        <v>49608</v>
      </c>
      <c r="R85" s="14">
        <v>9480.8711355932192</v>
      </c>
      <c r="S85" s="14">
        <f>'[1]TABLE 3!'!F86</f>
        <v>154453.46893485033</v>
      </c>
      <c r="T85" s="14">
        <f t="shared" si="5"/>
        <v>213542.34007044355</v>
      </c>
    </row>
    <row r="86" spans="1:20">
      <c r="A86" s="10">
        <v>1982</v>
      </c>
      <c r="B86" s="12">
        <v>15846</v>
      </c>
      <c r="C86" s="12">
        <v>557</v>
      </c>
      <c r="D86" s="12">
        <v>4</v>
      </c>
      <c r="E86" s="12">
        <v>1385</v>
      </c>
      <c r="F86" s="16">
        <v>23787</v>
      </c>
      <c r="G86" s="12">
        <v>7668</v>
      </c>
      <c r="H86" s="12">
        <v>240</v>
      </c>
      <c r="I86" s="12">
        <v>2393</v>
      </c>
      <c r="J86" s="12">
        <v>5587</v>
      </c>
      <c r="K86" s="12">
        <v>446</v>
      </c>
      <c r="L86" s="12">
        <v>63483</v>
      </c>
      <c r="M86" s="12">
        <v>435</v>
      </c>
      <c r="N86" s="12">
        <v>1790</v>
      </c>
      <c r="P86" s="12">
        <v>3355</v>
      </c>
      <c r="Q86" s="14">
        <f t="shared" si="4"/>
        <v>52338</v>
      </c>
      <c r="R86" s="14">
        <v>10032.693813559321</v>
      </c>
      <c r="S86" s="14">
        <f>'[1]TABLE 3!'!F87</f>
        <v>150775.04748829108</v>
      </c>
      <c r="T86" s="14">
        <f t="shared" si="5"/>
        <v>213145.74130185042</v>
      </c>
    </row>
    <row r="87" spans="1:20">
      <c r="A87" s="10">
        <v>1983</v>
      </c>
      <c r="B87" s="12">
        <v>19480</v>
      </c>
      <c r="C87" s="12">
        <v>1341</v>
      </c>
      <c r="D87" s="12">
        <v>5</v>
      </c>
      <c r="E87" s="12">
        <v>1480</v>
      </c>
      <c r="F87" s="16">
        <v>29726</v>
      </c>
      <c r="G87" s="12">
        <v>8556</v>
      </c>
      <c r="H87" s="12">
        <v>270</v>
      </c>
      <c r="I87" s="12">
        <v>3009</v>
      </c>
      <c r="J87" s="12">
        <v>7303</v>
      </c>
      <c r="K87" s="12">
        <v>604</v>
      </c>
      <c r="L87" s="12">
        <v>69352</v>
      </c>
      <c r="M87" s="12">
        <v>445</v>
      </c>
      <c r="N87" s="12">
        <v>2277</v>
      </c>
      <c r="P87" s="12">
        <v>3235</v>
      </c>
      <c r="Q87" s="14">
        <f t="shared" si="4"/>
        <v>50466</v>
      </c>
      <c r="R87" s="14">
        <v>10221.625413559321</v>
      </c>
      <c r="S87" s="14">
        <f>'[1]TABLE 3!'!F88</f>
        <v>172216.43752037783</v>
      </c>
      <c r="T87" s="14">
        <f t="shared" si="5"/>
        <v>232904.06293393715</v>
      </c>
    </row>
    <row r="88" spans="1:20">
      <c r="A88" s="10">
        <v>1984</v>
      </c>
      <c r="B88" s="12">
        <v>19926</v>
      </c>
      <c r="C88" s="12">
        <v>2042</v>
      </c>
      <c r="D88" s="12">
        <v>5</v>
      </c>
      <c r="E88" s="12">
        <v>1505</v>
      </c>
      <c r="F88" s="16">
        <v>31174</v>
      </c>
      <c r="G88" s="12">
        <v>9865</v>
      </c>
      <c r="H88" s="12">
        <v>300</v>
      </c>
      <c r="I88" s="12">
        <v>3196</v>
      </c>
      <c r="J88" s="12">
        <v>6837</v>
      </c>
      <c r="K88" s="12">
        <v>634</v>
      </c>
      <c r="L88" s="12">
        <v>72742</v>
      </c>
      <c r="M88" s="12">
        <v>455</v>
      </c>
      <c r="N88" s="12">
        <v>2545</v>
      </c>
      <c r="P88" s="12">
        <v>3620</v>
      </c>
      <c r="Q88" s="14">
        <f t="shared" si="4"/>
        <v>56471.999999999993</v>
      </c>
      <c r="R88" s="14">
        <v>10047.308127118644</v>
      </c>
      <c r="S88" s="14">
        <f>'[1]TABLE 3!'!F89</f>
        <v>178155.29195167116</v>
      </c>
      <c r="T88" s="14">
        <f t="shared" si="5"/>
        <v>244674.60007878981</v>
      </c>
    </row>
    <row r="89" spans="1:20">
      <c r="A89" s="10">
        <v>1985</v>
      </c>
      <c r="B89" s="12">
        <v>20169</v>
      </c>
      <c r="C89" s="12">
        <v>2669</v>
      </c>
      <c r="D89" s="12">
        <v>7</v>
      </c>
      <c r="E89" s="12">
        <v>1342</v>
      </c>
      <c r="F89" s="16">
        <v>31321</v>
      </c>
      <c r="G89" s="12">
        <v>8866</v>
      </c>
      <c r="H89" s="12">
        <v>330</v>
      </c>
      <c r="I89" s="12">
        <v>3331</v>
      </c>
      <c r="J89" s="12">
        <v>6300</v>
      </c>
      <c r="K89" s="12">
        <v>685</v>
      </c>
      <c r="L89" s="12">
        <v>71459</v>
      </c>
      <c r="M89" s="12">
        <v>465</v>
      </c>
      <c r="N89" s="12">
        <v>2461</v>
      </c>
      <c r="P89" s="12">
        <v>3450</v>
      </c>
      <c r="Q89" s="14">
        <f t="shared" si="4"/>
        <v>53820</v>
      </c>
      <c r="R89" s="14">
        <v>10700.01190677966</v>
      </c>
      <c r="S89" s="14">
        <f>'[1]TABLE 3!'!F90</f>
        <v>177140.33764676418</v>
      </c>
      <c r="T89" s="14">
        <f t="shared" si="5"/>
        <v>241660.34955354384</v>
      </c>
    </row>
    <row r="90" spans="1:20">
      <c r="A90" s="10">
        <v>1986</v>
      </c>
      <c r="B90" s="12">
        <v>22118</v>
      </c>
      <c r="C90" s="12">
        <v>3513</v>
      </c>
      <c r="D90" s="12">
        <v>8</v>
      </c>
      <c r="E90" s="12">
        <v>1390</v>
      </c>
      <c r="F90" s="16">
        <v>35273</v>
      </c>
      <c r="G90" s="12">
        <v>10877</v>
      </c>
      <c r="H90" s="12">
        <v>360</v>
      </c>
      <c r="I90" s="12">
        <v>3603</v>
      </c>
      <c r="J90" s="12">
        <v>5822</v>
      </c>
      <c r="K90" s="12">
        <v>781</v>
      </c>
      <c r="L90" s="12">
        <v>75964</v>
      </c>
      <c r="M90" s="12">
        <v>475</v>
      </c>
      <c r="N90" s="12">
        <v>2194</v>
      </c>
      <c r="P90" s="12">
        <v>3096</v>
      </c>
      <c r="Q90" s="14">
        <f t="shared" si="4"/>
        <v>48297.599999999999</v>
      </c>
      <c r="R90" s="14">
        <v>10426.095164406779</v>
      </c>
      <c r="S90" s="14">
        <f>'[1]TABLE 3!'!F91</f>
        <v>198230.12916128311</v>
      </c>
      <c r="T90" s="14">
        <f t="shared" si="5"/>
        <v>256953.82432568987</v>
      </c>
    </row>
    <row r="91" spans="1:20">
      <c r="A91" s="10">
        <v>1987</v>
      </c>
      <c r="B91" s="12">
        <v>22899</v>
      </c>
      <c r="C91" s="12">
        <v>4076</v>
      </c>
      <c r="D91" s="12">
        <v>10</v>
      </c>
      <c r="E91" s="12">
        <v>1524</v>
      </c>
      <c r="F91" s="16">
        <v>38235</v>
      </c>
      <c r="G91" s="12">
        <v>11695</v>
      </c>
      <c r="H91" s="12">
        <v>360</v>
      </c>
      <c r="I91" s="12">
        <v>3706</v>
      </c>
      <c r="J91" s="12">
        <v>5458</v>
      </c>
      <c r="K91" s="12">
        <v>899</v>
      </c>
      <c r="L91" s="12">
        <v>79830</v>
      </c>
      <c r="M91" s="12">
        <v>495</v>
      </c>
      <c r="N91" s="12">
        <v>2242</v>
      </c>
      <c r="P91" s="12">
        <v>3076</v>
      </c>
      <c r="Q91" s="14">
        <f t="shared" si="4"/>
        <v>47985.599999999999</v>
      </c>
      <c r="R91" s="14">
        <v>11478.090396610169</v>
      </c>
      <c r="S91" s="14">
        <f>'[1]TABLE 3!'!F92</f>
        <v>207603.87775035313</v>
      </c>
      <c r="T91" s="14">
        <f t="shared" si="5"/>
        <v>267067.56814696331</v>
      </c>
    </row>
    <row r="92" spans="1:20">
      <c r="A92" s="10">
        <v>1988</v>
      </c>
      <c r="B92" s="12">
        <v>22599</v>
      </c>
      <c r="C92" s="12">
        <v>4604</v>
      </c>
      <c r="D92" s="12">
        <v>11</v>
      </c>
      <c r="E92" s="12">
        <v>1552</v>
      </c>
      <c r="F92" s="16">
        <v>38130</v>
      </c>
      <c r="G92" s="12">
        <v>12170</v>
      </c>
      <c r="H92" s="12">
        <v>360</v>
      </c>
      <c r="I92" s="12">
        <v>3829</v>
      </c>
      <c r="J92" s="12">
        <v>5118</v>
      </c>
      <c r="K92" s="12">
        <v>939</v>
      </c>
      <c r="L92" s="12">
        <v>82847</v>
      </c>
      <c r="M92" s="12">
        <v>510</v>
      </c>
      <c r="N92" s="12">
        <v>2340</v>
      </c>
      <c r="P92" s="12">
        <v>3066</v>
      </c>
      <c r="Q92" s="14">
        <f t="shared" si="4"/>
        <v>47829.599999999999</v>
      </c>
      <c r="R92" s="14">
        <v>13986.690547457625</v>
      </c>
      <c r="S92" s="14">
        <f>'[1]TABLE 3!'!F93</f>
        <v>209591.25616340269</v>
      </c>
      <c r="T92" s="14">
        <f t="shared" si="5"/>
        <v>271407.54671086033</v>
      </c>
    </row>
    <row r="93" spans="1:20">
      <c r="A93" s="10">
        <v>1989</v>
      </c>
      <c r="B93" s="12">
        <v>21385</v>
      </c>
      <c r="C93" s="12">
        <v>5105</v>
      </c>
      <c r="D93" s="12">
        <v>12</v>
      </c>
      <c r="E93" s="12">
        <v>1541</v>
      </c>
      <c r="F93" s="16">
        <v>37545</v>
      </c>
      <c r="G93" s="12">
        <v>12415</v>
      </c>
      <c r="H93" s="12">
        <v>366</v>
      </c>
      <c r="I93" s="12">
        <v>3858</v>
      </c>
      <c r="J93" s="12">
        <v>5196</v>
      </c>
      <c r="K93" s="12">
        <v>970</v>
      </c>
      <c r="L93" s="12">
        <v>83257</v>
      </c>
      <c r="M93" s="12">
        <v>489</v>
      </c>
      <c r="N93" s="12">
        <v>2455</v>
      </c>
      <c r="P93" s="12">
        <v>3041</v>
      </c>
      <c r="Q93" s="14">
        <f t="shared" si="4"/>
        <v>47439.6</v>
      </c>
      <c r="R93" s="14">
        <v>14539.678488135592</v>
      </c>
      <c r="S93" s="14">
        <f>'[1]TABLE 3!'!F94</f>
        <v>207769.3837570441</v>
      </c>
      <c r="T93" s="14">
        <f t="shared" si="5"/>
        <v>269748.6622451797</v>
      </c>
    </row>
    <row r="94" spans="1:20">
      <c r="A94" s="10">
        <v>1990</v>
      </c>
      <c r="B94" s="12">
        <v>20919</v>
      </c>
      <c r="C94" s="12">
        <v>5418</v>
      </c>
      <c r="D94" s="12">
        <v>16</v>
      </c>
      <c r="E94" s="12">
        <v>1537</v>
      </c>
      <c r="F94" s="16">
        <v>35791</v>
      </c>
      <c r="G94" s="12">
        <v>12660</v>
      </c>
      <c r="H94" s="12">
        <v>366</v>
      </c>
      <c r="I94" s="12">
        <v>3806</v>
      </c>
      <c r="J94" s="12">
        <v>5025</v>
      </c>
      <c r="K94" s="12">
        <v>950</v>
      </c>
      <c r="L94" s="12">
        <v>85307</v>
      </c>
      <c r="M94" s="12">
        <v>468</v>
      </c>
      <c r="N94" s="12">
        <v>2365</v>
      </c>
      <c r="P94" s="12">
        <v>3019</v>
      </c>
      <c r="Q94" s="14">
        <f t="shared" si="4"/>
        <v>47096.399999999994</v>
      </c>
      <c r="R94" s="14">
        <v>14346.585477966102</v>
      </c>
      <c r="S94" s="14">
        <f>'[1]TABLE 3!'!F95</f>
        <v>206829.88575859193</v>
      </c>
      <c r="T94" s="14">
        <f t="shared" si="5"/>
        <v>268272.87123655801</v>
      </c>
    </row>
    <row r="95" spans="1:20">
      <c r="A95" s="10">
        <v>1991</v>
      </c>
      <c r="B95" s="12">
        <v>18652</v>
      </c>
      <c r="C95" s="12">
        <v>5613</v>
      </c>
      <c r="D95" s="12">
        <v>16</v>
      </c>
      <c r="E95" s="12">
        <v>1482</v>
      </c>
      <c r="F95" s="16">
        <v>33161</v>
      </c>
      <c r="G95" s="12">
        <v>11633</v>
      </c>
      <c r="H95" s="12">
        <v>372</v>
      </c>
      <c r="I95" s="12">
        <v>3772</v>
      </c>
      <c r="J95" s="12">
        <v>4895</v>
      </c>
      <c r="K95" s="12">
        <v>958</v>
      </c>
      <c r="L95" s="12">
        <v>86546</v>
      </c>
      <c r="M95" s="12">
        <v>447</v>
      </c>
      <c r="N95" s="12">
        <v>2323</v>
      </c>
      <c r="P95" s="12">
        <v>3028</v>
      </c>
      <c r="Q95" s="14">
        <f t="shared" si="4"/>
        <v>47236.799999999996</v>
      </c>
      <c r="R95" s="14">
        <v>14789.180657627117</v>
      </c>
      <c r="S95" s="14">
        <f>'[1]TABLE 3!'!F96</f>
        <v>198116.13100148132</v>
      </c>
      <c r="T95" s="14">
        <f t="shared" si="5"/>
        <v>260142.11165910843</v>
      </c>
    </row>
    <row r="96" spans="1:20">
      <c r="A96" s="10">
        <v>1992</v>
      </c>
      <c r="B96" s="12">
        <v>19332</v>
      </c>
      <c r="C96" s="12">
        <v>6653</v>
      </c>
      <c r="D96" s="12">
        <v>17</v>
      </c>
      <c r="E96" s="12">
        <v>1393</v>
      </c>
      <c r="F96" s="16">
        <v>34526</v>
      </c>
      <c r="G96" s="12">
        <v>11639</v>
      </c>
      <c r="H96" s="12">
        <v>372</v>
      </c>
      <c r="I96" s="12">
        <v>3980</v>
      </c>
      <c r="J96" s="12">
        <v>5273</v>
      </c>
      <c r="K96" s="12">
        <v>1066</v>
      </c>
      <c r="L96" s="12">
        <v>90885</v>
      </c>
      <c r="M96" s="12">
        <v>425</v>
      </c>
      <c r="N96" s="12">
        <v>2363</v>
      </c>
      <c r="P96" s="12">
        <v>3044</v>
      </c>
      <c r="Q96" s="14">
        <f t="shared" si="4"/>
        <v>47486.399999999994</v>
      </c>
      <c r="R96" s="14">
        <v>13998.194776271184</v>
      </c>
      <c r="S96" s="14">
        <f>'[1]TABLE 3!'!F97</f>
        <v>203855.47973300537</v>
      </c>
      <c r="T96" s="14">
        <f t="shared" si="5"/>
        <v>265340.07450927654</v>
      </c>
    </row>
    <row r="97" spans="1:30">
      <c r="A97" s="10">
        <v>1993</v>
      </c>
      <c r="B97" s="12">
        <v>19315</v>
      </c>
      <c r="C97" s="12">
        <v>7002</v>
      </c>
      <c r="D97" s="12">
        <v>21</v>
      </c>
      <c r="E97" s="12">
        <v>1449</v>
      </c>
      <c r="F97" s="16">
        <v>32947</v>
      </c>
      <c r="G97" s="12">
        <v>11914</v>
      </c>
      <c r="H97" s="12">
        <v>372</v>
      </c>
      <c r="I97" s="12">
        <v>4241</v>
      </c>
      <c r="J97" s="12">
        <v>5248</v>
      </c>
      <c r="K97" s="12">
        <v>1161</v>
      </c>
      <c r="L97" s="12">
        <v>92154</v>
      </c>
      <c r="M97" s="12">
        <v>404</v>
      </c>
      <c r="N97" s="12">
        <v>2358</v>
      </c>
      <c r="P97" s="12">
        <v>3084</v>
      </c>
      <c r="Q97" s="14">
        <f t="shared" si="4"/>
        <v>48110.400000000001</v>
      </c>
      <c r="R97" s="14">
        <v>12700.222732203389</v>
      </c>
      <c r="S97" s="14">
        <f>'[1]TABLE 3!'!F98</f>
        <v>200720.29967180383</v>
      </c>
      <c r="T97" s="14">
        <f t="shared" si="5"/>
        <v>261530.92240400723</v>
      </c>
      <c r="X97" s="4" t="s">
        <v>0</v>
      </c>
      <c r="Y97" s="4" t="s">
        <v>1</v>
      </c>
    </row>
    <row r="98" spans="1:30">
      <c r="A98" s="10">
        <v>1994</v>
      </c>
      <c r="B98" s="12">
        <v>19638</v>
      </c>
      <c r="C98" s="12">
        <v>7486</v>
      </c>
      <c r="D98" s="12">
        <v>23</v>
      </c>
      <c r="E98" s="12">
        <v>1698</v>
      </c>
      <c r="F98" s="16">
        <v>34107</v>
      </c>
      <c r="G98" s="12">
        <v>12311</v>
      </c>
      <c r="H98" s="12">
        <v>384</v>
      </c>
      <c r="I98" s="12">
        <v>4542</v>
      </c>
      <c r="J98" s="12">
        <v>5206</v>
      </c>
      <c r="K98" s="12">
        <v>1251</v>
      </c>
      <c r="L98" s="12">
        <v>96595</v>
      </c>
      <c r="M98" s="12">
        <v>383</v>
      </c>
      <c r="N98" s="12">
        <v>2335</v>
      </c>
      <c r="P98" s="12">
        <v>3134</v>
      </c>
      <c r="Q98" s="14">
        <f t="shared" si="4"/>
        <v>48890.400000000001</v>
      </c>
      <c r="R98" s="14">
        <v>12766.172767796608</v>
      </c>
      <c r="S98" s="14">
        <f>'[1]TABLE 3!'!F99</f>
        <v>205647.85323315041</v>
      </c>
      <c r="T98" s="14">
        <f t="shared" si="5"/>
        <v>267304.42600094702</v>
      </c>
    </row>
    <row r="99" spans="1:30">
      <c r="A99" s="10">
        <v>1995</v>
      </c>
      <c r="B99" s="12">
        <v>19367</v>
      </c>
      <c r="C99" s="12">
        <v>7903</v>
      </c>
      <c r="D99" s="12">
        <v>28</v>
      </c>
      <c r="E99" s="12">
        <v>1700</v>
      </c>
      <c r="F99" s="16">
        <v>32233</v>
      </c>
      <c r="G99" s="12">
        <v>12434</v>
      </c>
      <c r="H99" s="12">
        <v>396</v>
      </c>
      <c r="I99" s="12">
        <v>4267</v>
      </c>
      <c r="J99" s="12">
        <v>4930</v>
      </c>
      <c r="K99" s="12">
        <v>1145</v>
      </c>
      <c r="L99" s="12">
        <f>'[1]Pulp,P&amp;BD'!C6</f>
        <v>88669.902425578824</v>
      </c>
      <c r="M99" s="12">
        <v>362</v>
      </c>
      <c r="N99" s="12">
        <v>2335</v>
      </c>
      <c r="P99" s="12">
        <v>2937</v>
      </c>
      <c r="Q99" s="14">
        <f t="shared" si="4"/>
        <v>45817.2</v>
      </c>
      <c r="R99" s="14">
        <v>13353.501001694915</v>
      </c>
      <c r="S99" s="14">
        <f>'[1]TABLE 3!'!F100</f>
        <v>207037.85944069142</v>
      </c>
      <c r="T99" s="14">
        <f t="shared" si="5"/>
        <v>266208.56044238631</v>
      </c>
      <c r="U99" s="4" t="s">
        <v>2</v>
      </c>
      <c r="V99" s="4" t="s">
        <v>3</v>
      </c>
      <c r="W99" s="4" t="s">
        <v>4</v>
      </c>
    </row>
    <row r="100" spans="1:30">
      <c r="A100" s="10">
        <v>1996</v>
      </c>
      <c r="B100" s="12">
        <v>19181</v>
      </c>
      <c r="C100" s="12">
        <v>9314</v>
      </c>
      <c r="D100" s="12">
        <v>32</v>
      </c>
      <c r="E100" s="12">
        <v>1683</v>
      </c>
      <c r="F100" s="16">
        <v>33266</v>
      </c>
      <c r="G100" s="12">
        <v>12705</v>
      </c>
      <c r="H100" s="12">
        <v>394</v>
      </c>
      <c r="I100" s="12">
        <v>4459</v>
      </c>
      <c r="J100" s="12">
        <v>5280</v>
      </c>
      <c r="K100" s="12">
        <v>1246</v>
      </c>
      <c r="L100" s="12">
        <f>'[1]Pulp,P&amp;BD'!C7</f>
        <v>91174.595920617416</v>
      </c>
      <c r="M100" s="12">
        <v>341</v>
      </c>
      <c r="N100" s="12">
        <v>2335</v>
      </c>
      <c r="P100" s="12">
        <v>2739</v>
      </c>
      <c r="Q100" s="14">
        <f t="shared" si="4"/>
        <v>42728.4</v>
      </c>
      <c r="R100" s="14">
        <v>13347.790520338982</v>
      </c>
      <c r="S100" s="14">
        <f>'[1]TABLE 3!'!F101</f>
        <v>206805.00615773007</v>
      </c>
      <c r="T100" s="14">
        <f t="shared" si="5"/>
        <v>262881.19667806907</v>
      </c>
      <c r="U100" s="4" t="s">
        <v>5</v>
      </c>
      <c r="V100" s="4" t="s">
        <v>5</v>
      </c>
      <c r="W100" s="4" t="s">
        <v>5</v>
      </c>
      <c r="X100" s="4" t="s">
        <v>6</v>
      </c>
      <c r="Y100" s="4" t="s">
        <v>7</v>
      </c>
      <c r="Z100" s="4" t="s">
        <v>8</v>
      </c>
    </row>
    <row r="101" spans="1:30">
      <c r="A101" s="10">
        <v>1997</v>
      </c>
      <c r="B101" s="12">
        <v>17963</v>
      </c>
      <c r="C101" s="12">
        <v>10534</v>
      </c>
      <c r="D101" s="12">
        <v>38</v>
      </c>
      <c r="E101" s="12">
        <v>1680</v>
      </c>
      <c r="F101" s="16">
        <v>34667</v>
      </c>
      <c r="G101" s="12">
        <v>13000</v>
      </c>
      <c r="H101" s="12">
        <v>377</v>
      </c>
      <c r="I101" s="12">
        <v>4531</v>
      </c>
      <c r="J101" s="12">
        <v>4501</v>
      </c>
      <c r="K101" s="12">
        <v>1385</v>
      </c>
      <c r="L101" s="12">
        <f>'[1]Pulp,P&amp;BD'!C8</f>
        <v>93126.944762954779</v>
      </c>
      <c r="M101" s="12">
        <v>341</v>
      </c>
      <c r="N101" s="12">
        <v>2335</v>
      </c>
      <c r="P101" s="12">
        <v>2542</v>
      </c>
      <c r="Q101" s="14">
        <f t="shared" si="4"/>
        <v>39655.199999999997</v>
      </c>
      <c r="R101" s="14">
        <v>14146.283945762711</v>
      </c>
      <c r="S101" s="14">
        <f>'[1]TABLE 3!'!F102</f>
        <v>207948.24216466513</v>
      </c>
      <c r="T101" s="14">
        <f t="shared" si="5"/>
        <v>261749.72611042784</v>
      </c>
      <c r="Z101" s="4" t="s">
        <v>9</v>
      </c>
    </row>
    <row r="102" spans="1:30">
      <c r="A102" s="17">
        <v>1998</v>
      </c>
      <c r="B102" s="18">
        <v>17776</v>
      </c>
      <c r="C102" s="19">
        <v>11227</v>
      </c>
      <c r="D102" s="19">
        <v>41</v>
      </c>
      <c r="E102" s="19">
        <v>1680</v>
      </c>
      <c r="F102" s="20">
        <v>34677</v>
      </c>
      <c r="G102" s="19">
        <v>13500</v>
      </c>
      <c r="H102" s="19">
        <v>365</v>
      </c>
      <c r="I102" s="19">
        <v>5000</v>
      </c>
      <c r="J102" s="19">
        <v>5000</v>
      </c>
      <c r="K102" s="19">
        <v>1450</v>
      </c>
      <c r="L102" s="12">
        <f>'[1]Pulp,P&amp;BD'!C9</f>
        <v>95812.219845644984</v>
      </c>
      <c r="M102" s="19">
        <v>341</v>
      </c>
      <c r="N102" s="19">
        <v>2335</v>
      </c>
      <c r="P102" s="19">
        <v>2300</v>
      </c>
      <c r="Q102" s="21">
        <f t="shared" si="4"/>
        <v>35879.999999999993</v>
      </c>
      <c r="R102" s="21">
        <v>13013.572352542373</v>
      </c>
      <c r="S102" s="21">
        <f>'[1]TABLE 3!'!F103</f>
        <v>210317.32799999998</v>
      </c>
      <c r="T102" s="21">
        <f t="shared" si="5"/>
        <v>259210.90035254235</v>
      </c>
      <c r="X102" s="22">
        <f>'[2]Wood E. Proj.'!$T22*1000</f>
        <v>1820.975953974571</v>
      </c>
      <c r="Y102" s="22">
        <f>'[2]Wood E. Proj.'!$U22*1000</f>
        <v>501.63421063992985</v>
      </c>
      <c r="Z102" s="21">
        <f>(((0.52*62.4/2000)*X102)+((0.42*62.4/2000)*Y102))*1000</f>
        <v>36116.928573509082</v>
      </c>
    </row>
    <row r="103" spans="1:30" ht="15">
      <c r="A103" s="10">
        <v>1999</v>
      </c>
      <c r="B103" s="11">
        <f>[3]A!B953</f>
        <v>17712.8</v>
      </c>
      <c r="C103" s="23">
        <f>[3]A!B1030</f>
        <v>11477.5</v>
      </c>
      <c r="D103" s="12"/>
      <c r="E103" s="12">
        <v>1856.7600130833332</v>
      </c>
      <c r="F103" s="24">
        <f>[3]A!B876</f>
        <v>37793.5</v>
      </c>
      <c r="G103" s="12">
        <f>[3]A!K568</f>
        <v>12502.55</v>
      </c>
      <c r="H103" s="12"/>
      <c r="I103" s="12">
        <f>U103/2</f>
        <v>6093.6138854166666</v>
      </c>
      <c r="J103" s="25">
        <f>V103*3</f>
        <v>4401.3003142500002</v>
      </c>
      <c r="K103" s="12"/>
      <c r="L103" s="12">
        <f>'[1]Pulp,P&amp;BD'!C10</f>
        <v>95436.025689084883</v>
      </c>
      <c r="M103" s="19">
        <v>356.75</v>
      </c>
      <c r="N103" s="22">
        <f>3/4*W103</f>
        <v>2351.9936490625</v>
      </c>
      <c r="P103" s="12">
        <f>X103+Y103</f>
        <v>2341.9454069692406</v>
      </c>
      <c r="Q103" s="21">
        <f t="shared" ref="Q103:Q153" si="7">Z103</f>
        <v>36417.594426830838</v>
      </c>
      <c r="R103" s="14">
        <f>'[4]Table 3'!O39</f>
        <v>10831.240435924979</v>
      </c>
      <c r="S103" s="14">
        <f>0.5*(S102+S104)</f>
        <v>206240.24890046485</v>
      </c>
      <c r="T103" s="14">
        <f>0.5*(T102+T104)</f>
        <v>254350.32735942496</v>
      </c>
      <c r="U103" s="22">
        <v>12187.227770833333</v>
      </c>
      <c r="V103" s="22">
        <v>1467.1001047499999</v>
      </c>
      <c r="W103" s="22">
        <v>3135.9915320833334</v>
      </c>
      <c r="X103" s="22">
        <f>'[2]Wood E. Proj.'!$T23*1000</f>
        <v>1836.1351967647167</v>
      </c>
      <c r="Y103" s="22">
        <f>'[2]Wood E. Proj.'!$U23*1000</f>
        <v>505.81021020452374</v>
      </c>
      <c r="Z103" s="21">
        <f t="shared" ref="Z103:Z154" si="8">(((0.52*62.4/2000)*X103)+((0.42*62.4/2000)*Y103))*1000</f>
        <v>36417.594426830838</v>
      </c>
    </row>
    <row r="104" spans="1:30" ht="15">
      <c r="A104" s="10">
        <v>2000</v>
      </c>
      <c r="B104" s="11">
        <f>[3]A!B954</f>
        <v>17855.7</v>
      </c>
      <c r="C104" s="23">
        <f>[3]A!B1031</f>
        <v>11859.1</v>
      </c>
      <c r="D104" s="12"/>
      <c r="E104" s="12">
        <v>1881.5200261666666</v>
      </c>
      <c r="F104" s="12">
        <f>[3]A!B877</f>
        <v>35794.199999999997</v>
      </c>
      <c r="G104" s="12">
        <f>[3]A!K569</f>
        <v>12661.63</v>
      </c>
      <c r="H104" s="12"/>
      <c r="I104" s="12">
        <f>U104/2</f>
        <v>6193.2277708333322</v>
      </c>
      <c r="J104" s="25">
        <f>V104*3</f>
        <v>4500.6006284999994</v>
      </c>
      <c r="K104" s="12"/>
      <c r="L104" s="12">
        <f>'[1]Pulp,P&amp;BD'!C11</f>
        <v>96257.845865490643</v>
      </c>
      <c r="M104" s="19">
        <v>372.5</v>
      </c>
      <c r="N104" s="22">
        <f>3/4*W104</f>
        <v>2369.2372981250001</v>
      </c>
      <c r="O104" s="4">
        <v>11.8134</v>
      </c>
      <c r="P104" s="12">
        <f>X104+Y104</f>
        <v>2361.3002517779778</v>
      </c>
      <c r="Q104" s="21">
        <f t="shared" si="7"/>
        <v>36718.565101186141</v>
      </c>
      <c r="R104" s="14">
        <f>'[4]Table 3'!O40</f>
        <v>10608.019464191713</v>
      </c>
      <c r="S104" s="21">
        <f>'[1]TABLE 3!'!F105</f>
        <v>202163.1698009297</v>
      </c>
      <c r="T104" s="21">
        <f t="shared" si="5"/>
        <v>249489.75436630755</v>
      </c>
      <c r="U104" s="22">
        <v>12386.455541666664</v>
      </c>
      <c r="V104" s="26">
        <v>1500.2002094999998</v>
      </c>
      <c r="W104" s="26">
        <v>3158.9830641666667</v>
      </c>
      <c r="X104" s="22">
        <f>'[2]Wood E. Proj.'!$T24*1000</f>
        <v>1851.3098082972851</v>
      </c>
      <c r="Y104" s="22">
        <f>'[2]Wood E. Proj.'!$U24*1000</f>
        <v>509.99044348069242</v>
      </c>
      <c r="Z104" s="21">
        <f t="shared" si="8"/>
        <v>36718.565101186141</v>
      </c>
      <c r="AA104" s="10"/>
      <c r="AB104" s="22"/>
      <c r="AC104" s="26"/>
      <c r="AD104" s="26"/>
    </row>
    <row r="105" spans="1:30" ht="15">
      <c r="A105" s="10">
        <v>2001</v>
      </c>
      <c r="B105" s="11">
        <f>[3]A!B955</f>
        <v>16754.8</v>
      </c>
      <c r="C105" s="23">
        <f>[3]A!B1032</f>
        <v>12147.8</v>
      </c>
      <c r="D105" s="12"/>
      <c r="E105" s="12">
        <v>1906.2800392499998</v>
      </c>
      <c r="F105" s="24">
        <f>[3]A!B878</f>
        <v>35789.9</v>
      </c>
      <c r="G105" s="12">
        <f>[3]A!K570</f>
        <v>12501.56</v>
      </c>
      <c r="H105" s="12"/>
      <c r="I105" s="12">
        <f t="shared" ref="I105:I154" si="9">U105/2</f>
        <v>6292.8416562499997</v>
      </c>
      <c r="J105" s="25">
        <f t="shared" ref="J105:J154" si="10">V105*3</f>
        <v>4599.9009427499996</v>
      </c>
      <c r="K105" s="12"/>
      <c r="L105" s="12">
        <f>'[1]Pulp,P&amp;BD'!C12</f>
        <v>96707.837155457557</v>
      </c>
      <c r="M105" s="19">
        <v>388.25</v>
      </c>
      <c r="N105" s="22">
        <f t="shared" ref="N105:N154" si="11">3/4*W105</f>
        <v>2386.4809471875001</v>
      </c>
      <c r="O105" s="4">
        <v>11.8019</v>
      </c>
      <c r="P105" s="12">
        <f t="shared" ref="P105:P154" si="12">X105+Y105</f>
        <v>2411.1875780993273</v>
      </c>
      <c r="Q105" s="12">
        <f t="shared" si="7"/>
        <v>37494.25054384557</v>
      </c>
      <c r="R105" s="14">
        <f>'[4]Table 3'!O41</f>
        <v>10434.128577081879</v>
      </c>
      <c r="S105" s="21">
        <f>'[1]TABLE 3!'!F106</f>
        <v>202666.97182812254</v>
      </c>
      <c r="T105" s="21">
        <f t="shared" si="5"/>
        <v>250595.35094904999</v>
      </c>
      <c r="U105" s="22">
        <v>12585.683312499999</v>
      </c>
      <c r="V105" s="26">
        <v>1533.3003142499999</v>
      </c>
      <c r="W105" s="26">
        <v>3181.9745962500001</v>
      </c>
      <c r="X105" s="22">
        <f>'[2]Wood E. Proj.'!$T25*1000</f>
        <v>1890.4001668051239</v>
      </c>
      <c r="Y105" s="22">
        <f>'[2]Wood E. Proj.'!$U25*1000</f>
        <v>520.78741129420325</v>
      </c>
      <c r="Z105" s="21">
        <f t="shared" si="8"/>
        <v>37494.25054384557</v>
      </c>
      <c r="AA105" s="10"/>
      <c r="AB105" s="22"/>
      <c r="AC105" s="26"/>
      <c r="AD105" s="26"/>
    </row>
    <row r="106" spans="1:30" ht="15">
      <c r="A106" s="10">
        <v>2002</v>
      </c>
      <c r="B106" s="11">
        <f>[3]A!B956</f>
        <v>15864.9</v>
      </c>
      <c r="C106" s="23">
        <f>[3]A!B1033</f>
        <v>12126.8</v>
      </c>
      <c r="D106" s="12"/>
      <c r="E106" s="12">
        <v>1931.0400523333333</v>
      </c>
      <c r="F106" s="24">
        <f>[3]A!B879</f>
        <v>34759.199999999997</v>
      </c>
      <c r="G106" s="12">
        <f>[3]A!K571</f>
        <v>12542.890000000001</v>
      </c>
      <c r="H106" s="12"/>
      <c r="I106" s="12">
        <f t="shared" si="9"/>
        <v>6392.4555416666662</v>
      </c>
      <c r="J106" s="25">
        <f t="shared" si="10"/>
        <v>4699.2012569999997</v>
      </c>
      <c r="K106" s="12"/>
      <c r="L106" s="12">
        <f>'[1]Pulp,P&amp;BD'!C13</f>
        <v>95949.553583241446</v>
      </c>
      <c r="M106" s="19">
        <v>404</v>
      </c>
      <c r="N106" s="22">
        <f t="shared" si="11"/>
        <v>2403.7245962500001</v>
      </c>
      <c r="O106" s="4">
        <v>11.893599999999999</v>
      </c>
      <c r="P106" s="12">
        <f t="shared" si="12"/>
        <v>2461.0949405005586</v>
      </c>
      <c r="Q106" s="21">
        <f t="shared" si="7"/>
        <v>38270.244661193996</v>
      </c>
      <c r="R106" s="14">
        <f>'[4]Table 3'!O42</f>
        <v>10264.645462824461</v>
      </c>
      <c r="S106" s="21">
        <f>'[1]TABLE 3!'!F107</f>
        <v>199053.9396689662</v>
      </c>
      <c r="T106" s="21">
        <f t="shared" si="5"/>
        <v>247588.82979298464</v>
      </c>
      <c r="U106" s="22">
        <v>12784.911083333332</v>
      </c>
      <c r="V106" s="26">
        <v>1566.4004189999998</v>
      </c>
      <c r="W106" s="26">
        <v>3204.9661283333335</v>
      </c>
      <c r="X106" s="22">
        <f>'[2]Wood E. Proj.'!$T26*1000</f>
        <v>1929.5053079726556</v>
      </c>
      <c r="Y106" s="22">
        <f>'[2]Wood E. Proj.'!$U26*1000</f>
        <v>531.58963252790295</v>
      </c>
      <c r="Z106" s="21">
        <f t="shared" si="8"/>
        <v>38270.244661193996</v>
      </c>
      <c r="AA106" s="10"/>
      <c r="AB106" s="22"/>
      <c r="AC106" s="26"/>
      <c r="AD106" s="26"/>
    </row>
    <row r="107" spans="1:30" ht="15">
      <c r="A107" s="10">
        <v>2003</v>
      </c>
      <c r="B107" s="11">
        <f>[3]A!B957</f>
        <v>15532.6</v>
      </c>
      <c r="C107" s="23">
        <f>[3]A!B1034</f>
        <v>12407</v>
      </c>
      <c r="D107" s="12"/>
      <c r="E107" s="12">
        <v>1955.8000654166665</v>
      </c>
      <c r="F107" s="24">
        <f>[3]A!B880</f>
        <v>34037.4</v>
      </c>
      <c r="G107" s="12">
        <f>[3]A!K572</f>
        <v>12533.99</v>
      </c>
      <c r="H107" s="12"/>
      <c r="I107" s="12">
        <f t="shared" si="9"/>
        <v>6492.0694270833319</v>
      </c>
      <c r="J107" s="25">
        <f t="shared" si="10"/>
        <v>4798.501571249999</v>
      </c>
      <c r="K107" s="12"/>
      <c r="L107" s="12">
        <f>'[1]Pulp,P&amp;BD'!C14</f>
        <v>95265.845865490643</v>
      </c>
      <c r="M107" s="19">
        <v>419.75</v>
      </c>
      <c r="N107" s="22">
        <f t="shared" si="11"/>
        <v>2420.9682453125001</v>
      </c>
      <c r="O107" s="4">
        <v>11.935</v>
      </c>
      <c r="P107" s="12">
        <f t="shared" si="12"/>
        <v>2511.0225593785499</v>
      </c>
      <c r="Q107" s="21">
        <f t="shared" si="7"/>
        <v>39046.550878676149</v>
      </c>
      <c r="R107" s="14">
        <f>'[4]Table 3'!O43</f>
        <v>10117.986332342693</v>
      </c>
      <c r="S107" s="21">
        <f>'[1]TABLE 3!'!F108</f>
        <v>196467.29369636314</v>
      </c>
      <c r="T107" s="21">
        <f t="shared" si="5"/>
        <v>245631.83090738198</v>
      </c>
      <c r="U107" s="22">
        <v>12984.138854166664</v>
      </c>
      <c r="V107" s="26">
        <v>1599.5005237499997</v>
      </c>
      <c r="W107" s="26">
        <v>3227.9576604166668</v>
      </c>
      <c r="X107" s="22">
        <f>'[2]Wood E. Proj.'!$T27*1000</f>
        <v>1968.6254040319352</v>
      </c>
      <c r="Y107" s="22">
        <f>'[2]Wood E. Proj.'!$U27*1000</f>
        <v>542.39715534661468</v>
      </c>
      <c r="Z107" s="21">
        <f t="shared" si="8"/>
        <v>39046.550878676149</v>
      </c>
      <c r="AA107" s="10"/>
      <c r="AB107" s="22"/>
      <c r="AC107" s="26"/>
      <c r="AD107" s="26"/>
    </row>
    <row r="108" spans="1:30" ht="15">
      <c r="A108" s="10">
        <v>2004</v>
      </c>
      <c r="B108" s="11">
        <f>[3]A!B958</f>
        <v>14900.8</v>
      </c>
      <c r="C108" s="23">
        <f>[3]A!B1035</f>
        <v>12810.6</v>
      </c>
      <c r="D108" s="12"/>
      <c r="E108" s="12">
        <v>1980.5600784999997</v>
      </c>
      <c r="F108" s="24">
        <f>[3]A!B881</f>
        <v>33261.4</v>
      </c>
      <c r="G108" s="12">
        <f>[3]A!K573</f>
        <v>12557.41</v>
      </c>
      <c r="H108" s="12"/>
      <c r="I108" s="12">
        <f t="shared" si="9"/>
        <v>6591.6833124999994</v>
      </c>
      <c r="J108" s="25">
        <f t="shared" si="10"/>
        <v>4897.8018854999991</v>
      </c>
      <c r="K108" s="12"/>
      <c r="L108" s="12">
        <f>'[1]Pulp,P&amp;BD'!C15</f>
        <v>94000.515545755232</v>
      </c>
      <c r="M108" s="19">
        <v>435.5</v>
      </c>
      <c r="N108" s="22">
        <f t="shared" si="11"/>
        <v>2438.2118943750002</v>
      </c>
      <c r="O108" s="4">
        <v>12.0063</v>
      </c>
      <c r="P108" s="12">
        <f t="shared" si="12"/>
        <v>2560.9706575545465</v>
      </c>
      <c r="Q108" s="21">
        <f t="shared" si="7"/>
        <v>39823.172659410186</v>
      </c>
      <c r="R108" s="14">
        <f>'[4]Table 3'!O44</f>
        <v>9999.9559944984212</v>
      </c>
      <c r="S108" s="21">
        <f>'[1]TABLE 3!'!F109</f>
        <v>194951.28264243505</v>
      </c>
      <c r="T108" s="21">
        <f t="shared" si="5"/>
        <v>244774.41129634366</v>
      </c>
      <c r="U108" s="22">
        <v>13183.366624999999</v>
      </c>
      <c r="V108" s="26">
        <v>1632.6006284999999</v>
      </c>
      <c r="W108" s="26">
        <v>3250.9491925000002</v>
      </c>
      <c r="X108" s="22">
        <f>'[2]Wood E. Proj.'!$T28*1000</f>
        <v>2007.760629107504</v>
      </c>
      <c r="Y108" s="22">
        <f>'[2]Wood E. Proj.'!$U28*1000</f>
        <v>553.21002844704253</v>
      </c>
      <c r="Z108" s="21">
        <f t="shared" si="8"/>
        <v>39823.172659410186</v>
      </c>
      <c r="AA108" s="10"/>
      <c r="AB108" s="22"/>
      <c r="AC108" s="26"/>
      <c r="AD108" s="26"/>
    </row>
    <row r="109" spans="1:30" ht="15">
      <c r="A109" s="10">
        <v>2005</v>
      </c>
      <c r="B109" s="11">
        <f>[3]A!B959</f>
        <v>14463.1</v>
      </c>
      <c r="C109" s="23">
        <f>[3]A!B1036</f>
        <v>13325.6</v>
      </c>
      <c r="D109" s="12"/>
      <c r="E109" s="12">
        <v>2005.3200915833331</v>
      </c>
      <c r="F109" s="24">
        <f>[3]A!B882</f>
        <v>32854.1</v>
      </c>
      <c r="G109" s="12">
        <f>[3]A!K574</f>
        <v>12575.35</v>
      </c>
      <c r="H109" s="12"/>
      <c r="I109" s="12">
        <f t="shared" si="9"/>
        <v>6691.2971979166659</v>
      </c>
      <c r="J109" s="25">
        <f t="shared" si="10"/>
        <v>4997.1021997499993</v>
      </c>
      <c r="K109" s="12"/>
      <c r="L109" s="12">
        <f>'[1]Pulp,P&amp;BD'!C16</f>
        <v>93696.301102535828</v>
      </c>
      <c r="M109" s="19">
        <v>451.25</v>
      </c>
      <c r="N109" s="22">
        <f t="shared" si="11"/>
        <v>2455.4555434375002</v>
      </c>
      <c r="O109" s="4">
        <v>12.0754</v>
      </c>
      <c r="P109" s="12">
        <f t="shared" si="12"/>
        <v>2610.9394603008254</v>
      </c>
      <c r="Q109" s="21">
        <f t="shared" si="7"/>
        <v>40600.113504602021</v>
      </c>
      <c r="R109" s="14">
        <f>'[4]Table 3'!O45</f>
        <v>9883.662847969521</v>
      </c>
      <c r="S109" s="21">
        <f>'[1]TABLE 3!'!F110</f>
        <v>194984.38123978485</v>
      </c>
      <c r="T109" s="21">
        <f t="shared" si="5"/>
        <v>245468.15759235638</v>
      </c>
      <c r="U109" s="22">
        <v>13382.594395833332</v>
      </c>
      <c r="V109" s="26">
        <v>1665.7007332499998</v>
      </c>
      <c r="W109" s="26">
        <v>3273.9407245833336</v>
      </c>
      <c r="X109" s="22">
        <f>'[2]Wood E. Proj.'!$T29*1000</f>
        <v>2046.9111592371819</v>
      </c>
      <c r="Y109" s="22">
        <f>'[2]Wood E. Proj.'!$U29*1000</f>
        <v>564.02830106364354</v>
      </c>
      <c r="Z109" s="21">
        <f t="shared" si="8"/>
        <v>40600.113504602021</v>
      </c>
      <c r="AA109" s="10"/>
      <c r="AB109" s="22"/>
      <c r="AC109" s="26"/>
      <c r="AD109" s="26"/>
    </row>
    <row r="110" spans="1:30" ht="15">
      <c r="A110" s="10">
        <v>2006</v>
      </c>
      <c r="B110" s="11">
        <f>[3]A!B960</f>
        <v>13868.5</v>
      </c>
      <c r="C110" s="23">
        <f>[3]A!B1037</f>
        <v>13645</v>
      </c>
      <c r="D110" s="12"/>
      <c r="E110" s="12">
        <v>2030.0801046666663</v>
      </c>
      <c r="F110" s="24">
        <f>[3]A!B883</f>
        <v>32678.2</v>
      </c>
      <c r="G110" s="12">
        <f>[3]A!K575</f>
        <v>12607.249999999998</v>
      </c>
      <c r="H110" s="12"/>
      <c r="I110" s="12">
        <f t="shared" si="9"/>
        <v>6790.9110833333316</v>
      </c>
      <c r="J110" s="25">
        <f t="shared" si="10"/>
        <v>5096.4025139999994</v>
      </c>
      <c r="K110" s="12"/>
      <c r="L110" s="12">
        <f>'[1]Pulp,P&amp;BD'!C17</f>
        <v>92528.928445424463</v>
      </c>
      <c r="M110" s="19">
        <v>467</v>
      </c>
      <c r="N110" s="22">
        <f t="shared" si="11"/>
        <v>2472.6991925000002</v>
      </c>
      <c r="O110" s="4">
        <v>12.112</v>
      </c>
      <c r="P110" s="12">
        <f t="shared" si="12"/>
        <v>2627.1537650119167</v>
      </c>
      <c r="Q110" s="21">
        <f t="shared" si="7"/>
        <v>40852.169926266986</v>
      </c>
      <c r="R110" s="14">
        <f>'[4]Table 3'!O46</f>
        <v>9868.6765094653692</v>
      </c>
      <c r="S110" s="21">
        <f>'[1]TABLE 3!'!F111</f>
        <v>194215.59180032564</v>
      </c>
      <c r="T110" s="21">
        <f t="shared" si="5"/>
        <v>244936.43823605799</v>
      </c>
      <c r="U110" s="22">
        <v>13581.822166666663</v>
      </c>
      <c r="V110" s="26">
        <v>1698.8008379999997</v>
      </c>
      <c r="W110" s="26">
        <v>3296.9322566666669</v>
      </c>
      <c r="X110" s="22">
        <f>'[2]Wood E. Proj.'!$T30*1000</f>
        <v>2059.598394086805</v>
      </c>
      <c r="Y110" s="22">
        <f>'[2]Wood E. Proj.'!$U30*1000</f>
        <v>567.55537092511167</v>
      </c>
      <c r="Z110" s="21">
        <f t="shared" si="8"/>
        <v>40852.169926266986</v>
      </c>
      <c r="AA110" s="10"/>
      <c r="AB110" s="22"/>
      <c r="AC110" s="26"/>
      <c r="AD110" s="26"/>
    </row>
    <row r="111" spans="1:30" ht="15">
      <c r="A111" s="10">
        <v>2007</v>
      </c>
      <c r="B111" s="11">
        <f>[3]A!B961</f>
        <v>13627.4</v>
      </c>
      <c r="C111" s="23">
        <f>[3]A!B1038</f>
        <v>13970.9</v>
      </c>
      <c r="D111" s="12"/>
      <c r="E111" s="12">
        <v>2054.8401177499995</v>
      </c>
      <c r="F111" s="24">
        <f>[3]A!B884</f>
        <v>32717.3</v>
      </c>
      <c r="G111" s="12">
        <f>[3]A!K576</f>
        <v>12638.71</v>
      </c>
      <c r="H111" s="12"/>
      <c r="I111" s="12">
        <f t="shared" si="9"/>
        <v>6890.5249687499982</v>
      </c>
      <c r="J111" s="25">
        <f t="shared" si="10"/>
        <v>5195.7028282499987</v>
      </c>
      <c r="K111" s="12"/>
      <c r="L111" s="12">
        <f>'[1]Pulp,P&amp;BD'!C18</f>
        <v>93320.49437706724</v>
      </c>
      <c r="M111" s="19">
        <v>482.75</v>
      </c>
      <c r="N111" s="22">
        <f t="shared" si="11"/>
        <v>2489.9428415625002</v>
      </c>
      <c r="O111" s="4">
        <v>12.1515</v>
      </c>
      <c r="P111" s="12">
        <f t="shared" si="12"/>
        <v>2643.3892322990887</v>
      </c>
      <c r="Q111" s="21">
        <f t="shared" si="7"/>
        <v>41104.554486108595</v>
      </c>
      <c r="R111" s="14">
        <f>'[4]Table 3'!O47</f>
        <v>9852.653684669669</v>
      </c>
      <c r="S111" s="21">
        <f>'[1]TABLE 3!'!F112</f>
        <v>194932.00497058683</v>
      </c>
      <c r="T111" s="21">
        <f t="shared" si="5"/>
        <v>245889.21314136509</v>
      </c>
      <c r="U111" s="22">
        <v>13781.049937499996</v>
      </c>
      <c r="V111" s="26">
        <v>1731.9009427499996</v>
      </c>
      <c r="W111" s="26">
        <v>3319.9237887500003</v>
      </c>
      <c r="X111" s="22">
        <f>'[2]Wood E. Proj.'!$T31*1000</f>
        <v>2072.3019186094034</v>
      </c>
      <c r="Y111" s="22">
        <f>'[2]Wood E. Proj.'!$U31*1000</f>
        <v>571.08731368968552</v>
      </c>
      <c r="Z111" s="21">
        <f t="shared" si="8"/>
        <v>41104.554486108595</v>
      </c>
      <c r="AA111" s="10"/>
      <c r="AB111" s="22"/>
      <c r="AC111" s="26"/>
      <c r="AD111" s="26"/>
    </row>
    <row r="112" spans="1:30" ht="15">
      <c r="A112" s="10">
        <v>2008</v>
      </c>
      <c r="B112" s="11">
        <f>[3]A!B962</f>
        <v>13125</v>
      </c>
      <c r="C112" s="23">
        <f>[3]A!B1039</f>
        <v>14203.4</v>
      </c>
      <c r="D112" s="12"/>
      <c r="E112" s="12">
        <v>2079.600130833333</v>
      </c>
      <c r="F112" s="24">
        <f>[3]A!B885</f>
        <v>32648.9</v>
      </c>
      <c r="G112" s="12">
        <f>[3]A!K577</f>
        <v>12683.89</v>
      </c>
      <c r="H112" s="12"/>
      <c r="I112" s="12">
        <f t="shared" si="9"/>
        <v>6990.1388541666647</v>
      </c>
      <c r="J112" s="25">
        <f t="shared" si="10"/>
        <v>5295.0031424999979</v>
      </c>
      <c r="K112" s="12"/>
      <c r="L112" s="12">
        <f>'[1]Pulp,P&amp;BD'!C19</f>
        <v>94038.967585446517</v>
      </c>
      <c r="M112" s="19">
        <v>498.5</v>
      </c>
      <c r="N112" s="22">
        <f t="shared" si="11"/>
        <v>2507.1864906250003</v>
      </c>
      <c r="O112" s="4">
        <v>12.199</v>
      </c>
      <c r="P112" s="12">
        <f t="shared" si="12"/>
        <v>2659.6460949506809</v>
      </c>
      <c r="Q112" s="21">
        <f t="shared" si="7"/>
        <v>41357.27080212799</v>
      </c>
      <c r="R112" s="14">
        <f>'[4]Table 3'!O48</f>
        <v>9840.7525799667637</v>
      </c>
      <c r="S112" s="21">
        <f>'[1]TABLE 3!'!F113</f>
        <v>195416.59878771423</v>
      </c>
      <c r="T112" s="21">
        <f t="shared" si="5"/>
        <v>246614.62216980898</v>
      </c>
      <c r="U112" s="22">
        <v>13980.277708333329</v>
      </c>
      <c r="V112" s="26">
        <v>1765.0010474999995</v>
      </c>
      <c r="W112" s="26">
        <v>3342.9153208333337</v>
      </c>
      <c r="X112" s="22">
        <f>'[2]Wood E. Proj.'!$T32*1000</f>
        <v>2085.0219147097041</v>
      </c>
      <c r="Y112" s="22">
        <f>'[2]Wood E. Proj.'!$U32*1000</f>
        <v>574.62418024097656</v>
      </c>
      <c r="Z112" s="21">
        <f t="shared" si="8"/>
        <v>41357.27080212799</v>
      </c>
      <c r="AA112" s="10"/>
      <c r="AB112" s="22"/>
      <c r="AC112" s="26"/>
      <c r="AD112" s="26"/>
    </row>
    <row r="113" spans="1:30" ht="15">
      <c r="A113" s="10">
        <v>2009</v>
      </c>
      <c r="B113" s="11">
        <f>[3]A!B963</f>
        <v>12668.7</v>
      </c>
      <c r="C113" s="23">
        <f>[3]A!B1040</f>
        <v>14563</v>
      </c>
      <c r="D113" s="12"/>
      <c r="E113" s="12">
        <v>2104.3601439166659</v>
      </c>
      <c r="F113" s="24">
        <f>[3]A!B886</f>
        <v>32442.799999999999</v>
      </c>
      <c r="G113" s="12">
        <f>[3]A!K578</f>
        <v>12710.31</v>
      </c>
      <c r="H113" s="12"/>
      <c r="I113" s="12">
        <f t="shared" si="9"/>
        <v>7089.7527395833322</v>
      </c>
      <c r="J113" s="25">
        <f t="shared" si="10"/>
        <v>5394.3034567499999</v>
      </c>
      <c r="K113" s="12"/>
      <c r="L113" s="12">
        <f>'[1]Pulp,P&amp;BD'!C20</f>
        <v>95870.788643880922</v>
      </c>
      <c r="M113" s="19">
        <v>514.25</v>
      </c>
      <c r="N113" s="22">
        <f t="shared" si="11"/>
        <v>2524.4301396875003</v>
      </c>
      <c r="O113" s="4">
        <v>12.177899999999999</v>
      </c>
      <c r="P113" s="12">
        <f t="shared" si="12"/>
        <v>2675.9245883156996</v>
      </c>
      <c r="Q113" s="21">
        <f t="shared" si="7"/>
        <v>41610.322532117461</v>
      </c>
      <c r="R113" s="14">
        <f>'[4]Table 3'!O49</f>
        <v>9834.3143331499505</v>
      </c>
      <c r="S113" s="21">
        <f>'[1]TABLE 3!'!F114</f>
        <v>196368.70346762086</v>
      </c>
      <c r="T113" s="21">
        <f t="shared" si="5"/>
        <v>247813.34033288827</v>
      </c>
      <c r="U113" s="22">
        <v>14179.505479166664</v>
      </c>
      <c r="V113" s="26">
        <v>1798.1011522499998</v>
      </c>
      <c r="W113" s="26">
        <v>3365.906852916667</v>
      </c>
      <c r="X113" s="22">
        <f>'[2]Wood E. Proj.'!$T33*1000</f>
        <v>2097.7585662912002</v>
      </c>
      <c r="Y113" s="22">
        <f>'[2]Wood E. Proj.'!$U33*1000</f>
        <v>578.1660220244994</v>
      </c>
      <c r="Z113" s="21">
        <f t="shared" si="8"/>
        <v>41610.322532117461</v>
      </c>
      <c r="AA113" s="10"/>
      <c r="AB113" s="22"/>
      <c r="AC113" s="26"/>
      <c r="AD113" s="26"/>
    </row>
    <row r="114" spans="1:30" ht="15">
      <c r="A114" s="10">
        <v>2010</v>
      </c>
      <c r="B114" s="11">
        <f>[3]A!B964</f>
        <v>12396.9</v>
      </c>
      <c r="C114" s="23">
        <f>[3]A!B1041</f>
        <v>15212.4</v>
      </c>
      <c r="D114" s="12"/>
      <c r="E114" s="12">
        <v>2129.1201569999998</v>
      </c>
      <c r="F114" s="24">
        <f>[3]A!B887</f>
        <v>32467.200000000001</v>
      </c>
      <c r="G114" s="12">
        <f>[3]A!K579</f>
        <v>12734.240000000002</v>
      </c>
      <c r="H114" s="12"/>
      <c r="I114" s="12">
        <f t="shared" si="9"/>
        <v>7189.3666250000006</v>
      </c>
      <c r="J114" s="25">
        <f t="shared" si="10"/>
        <v>5493.6037710000001</v>
      </c>
      <c r="K114" s="12"/>
      <c r="L114" s="12">
        <f>'[1]Pulp,P&amp;BD'!C21</f>
        <v>96756.911466372636</v>
      </c>
      <c r="M114" s="19">
        <v>530</v>
      </c>
      <c r="N114" s="22">
        <f t="shared" si="11"/>
        <v>2541.6737887499999</v>
      </c>
      <c r="O114" s="4">
        <v>12.175599999999999</v>
      </c>
      <c r="P114" s="12">
        <f t="shared" si="12"/>
        <v>2692.2249503319936</v>
      </c>
      <c r="Q114" s="21">
        <f t="shared" si="7"/>
        <v>41863.713374098159</v>
      </c>
      <c r="R114" s="14">
        <f>'[4]Table 3'!O50</f>
        <v>9830.184623697387</v>
      </c>
      <c r="S114" s="21">
        <f>'[1]TABLE 3!'!F115</f>
        <v>197616.93405960378</v>
      </c>
      <c r="T114" s="21">
        <f t="shared" si="5"/>
        <v>249310.83205739933</v>
      </c>
      <c r="U114" s="22">
        <v>14378.733250000001</v>
      </c>
      <c r="V114" s="26">
        <v>1831.2012570000002</v>
      </c>
      <c r="W114" s="26">
        <v>3388.898385</v>
      </c>
      <c r="X114" s="22">
        <f>'[2]Wood E. Proj.'!$T34*1000</f>
        <v>2110.5120592781163</v>
      </c>
      <c r="Y114" s="22">
        <f>'[2]Wood E. Proj.'!$U34*1000</f>
        <v>581.71289105387723</v>
      </c>
      <c r="Z114" s="21">
        <f t="shared" si="8"/>
        <v>41863.713374098159</v>
      </c>
      <c r="AA114" s="10"/>
      <c r="AB114" s="22"/>
      <c r="AC114" s="26"/>
      <c r="AD114" s="26"/>
    </row>
    <row r="115" spans="1:30" ht="15">
      <c r="A115" s="10">
        <v>2011</v>
      </c>
      <c r="B115" s="11">
        <f>[3]A!B965</f>
        <v>12127.4</v>
      </c>
      <c r="C115" s="23">
        <f>[3]A!B1042</f>
        <v>15605.8</v>
      </c>
      <c r="D115" s="12"/>
      <c r="E115" s="12">
        <v>2105.6189629999999</v>
      </c>
      <c r="F115" s="24">
        <f>[3]A!B888</f>
        <v>32570.7</v>
      </c>
      <c r="G115" s="12">
        <f>[3]A!K580</f>
        <v>12768.220000000001</v>
      </c>
      <c r="H115" s="12"/>
      <c r="I115" s="12">
        <f t="shared" si="9"/>
        <v>7242.6489750000001</v>
      </c>
      <c r="J115" s="25">
        <f t="shared" si="10"/>
        <v>5504.8616550000006</v>
      </c>
      <c r="K115" s="12"/>
      <c r="L115" s="12">
        <f>'[1]Pulp,P&amp;BD'!C22</f>
        <v>98172.346857772878</v>
      </c>
      <c r="M115" s="19">
        <v>530</v>
      </c>
      <c r="N115" s="22">
        <f t="shared" si="11"/>
        <v>2521.7278799999999</v>
      </c>
      <c r="O115" s="4">
        <v>12.275700000000001</v>
      </c>
      <c r="P115" s="12">
        <f t="shared" si="12"/>
        <v>2708.013955121221</v>
      </c>
      <c r="Q115" s="21">
        <f t="shared" si="7"/>
        <v>42098.626759411061</v>
      </c>
      <c r="R115" s="14">
        <f>'[4]Table 3'!O51</f>
        <v>9775.1216482254113</v>
      </c>
      <c r="S115" s="21">
        <f>'[1]TABLE 3!'!F116</f>
        <v>199262.28831419241</v>
      </c>
      <c r="T115" s="21">
        <f t="shared" si="5"/>
        <v>251136.03672182889</v>
      </c>
      <c r="U115" s="22">
        <v>14485.29795</v>
      </c>
      <c r="V115" s="26">
        <v>1834.9538850000001</v>
      </c>
      <c r="W115" s="26">
        <v>3362.30384</v>
      </c>
      <c r="X115" s="22">
        <f>'[2]Wood E. Proj.'!$T35*1000</f>
        <v>2119.490990866213</v>
      </c>
      <c r="Y115" s="22">
        <f>'[2]Wood E. Proj.'!$U35*1000</f>
        <v>588.52296425500799</v>
      </c>
      <c r="Z115" s="21">
        <f t="shared" si="8"/>
        <v>42098.626759411061</v>
      </c>
      <c r="AA115" s="10"/>
      <c r="AB115" s="22"/>
      <c r="AC115" s="26"/>
      <c r="AD115" s="26"/>
    </row>
    <row r="116" spans="1:30" ht="15">
      <c r="A116" s="10">
        <v>2012</v>
      </c>
      <c r="B116" s="11">
        <f>[3]A!B966</f>
        <v>12006.8</v>
      </c>
      <c r="C116" s="23">
        <f>[3]A!B1043</f>
        <v>15694.5</v>
      </c>
      <c r="D116" s="12"/>
      <c r="E116" s="12">
        <v>2081.836327</v>
      </c>
      <c r="F116" s="24">
        <f>[3]A!B889</f>
        <v>32914.699999999997</v>
      </c>
      <c r="G116" s="12">
        <f>[3]A!K581</f>
        <v>12800.55</v>
      </c>
      <c r="H116" s="12"/>
      <c r="I116" s="12">
        <f t="shared" si="9"/>
        <v>7296.2187300000005</v>
      </c>
      <c r="J116" s="25">
        <f t="shared" si="10"/>
        <v>5516.0902320000005</v>
      </c>
      <c r="K116" s="12"/>
      <c r="L116" s="12">
        <f>'[1]Pulp,P&amp;BD'!C23</f>
        <v>99341.779051819176</v>
      </c>
      <c r="M116" s="19">
        <v>530</v>
      </c>
      <c r="N116" s="22">
        <f t="shared" si="11"/>
        <v>2501.5692675</v>
      </c>
      <c r="O116" s="4">
        <v>12.3161</v>
      </c>
      <c r="P116" s="12">
        <f t="shared" si="12"/>
        <v>2723.8253123181585</v>
      </c>
      <c r="Q116" s="21">
        <f t="shared" si="7"/>
        <v>42333.76390092307</v>
      </c>
      <c r="R116" s="14">
        <f>'[4]Table 3'!O52</f>
        <v>9718.9515482151728</v>
      </c>
      <c r="S116" s="21">
        <f>'[1]TABLE 3!'!F117</f>
        <v>201348.38738537548</v>
      </c>
      <c r="T116" s="21">
        <f t="shared" si="5"/>
        <v>253401.1028345137</v>
      </c>
      <c r="U116" s="22">
        <v>14592.437460000001</v>
      </c>
      <c r="V116" s="26">
        <v>1838.6967440000003</v>
      </c>
      <c r="W116" s="26">
        <v>3335.42569</v>
      </c>
      <c r="X116" s="22">
        <f>'[2]Wood E. Proj.'!$T36*1000</f>
        <v>2128.4477590724096</v>
      </c>
      <c r="Y116" s="22">
        <f>'[2]Wood E. Proj.'!$U36*1000</f>
        <v>595.37755324574903</v>
      </c>
      <c r="Z116" s="21">
        <f t="shared" si="8"/>
        <v>42333.76390092307</v>
      </c>
      <c r="AA116" s="10"/>
      <c r="AB116" s="22"/>
      <c r="AC116" s="26"/>
      <c r="AD116" s="26"/>
    </row>
    <row r="117" spans="1:30" ht="15">
      <c r="A117" s="10">
        <v>2013</v>
      </c>
      <c r="B117" s="11">
        <f>[3]A!B967</f>
        <v>11863.8</v>
      </c>
      <c r="C117" s="23">
        <f>[3]A!B1044</f>
        <v>16088.2</v>
      </c>
      <c r="D117" s="12"/>
      <c r="E117" s="12">
        <v>2057.7722509999999</v>
      </c>
      <c r="F117" s="24">
        <f>[3]A!B890</f>
        <v>33254.300000000003</v>
      </c>
      <c r="G117" s="12">
        <f>[3]A!K582</f>
        <v>12846.2</v>
      </c>
      <c r="H117" s="12"/>
      <c r="I117" s="12">
        <f t="shared" si="9"/>
        <v>7350.0758899999992</v>
      </c>
      <c r="J117" s="25">
        <f t="shared" si="10"/>
        <v>5527.2895019999996</v>
      </c>
      <c r="K117" s="12"/>
      <c r="L117" s="12">
        <f>'[1]Pulp,P&amp;BD'!C24</f>
        <v>100195.68643880925</v>
      </c>
      <c r="M117" s="19">
        <v>530</v>
      </c>
      <c r="N117" s="22">
        <f t="shared" si="11"/>
        <v>2481.1979512500002</v>
      </c>
      <c r="O117" s="4">
        <v>12.354100000000001</v>
      </c>
      <c r="P117" s="12">
        <f t="shared" si="12"/>
        <v>2739.6592677992908</v>
      </c>
      <c r="Q117" s="21">
        <f t="shared" si="7"/>
        <v>42569.128356523754</v>
      </c>
      <c r="R117" s="14">
        <f>'[4]Table 3'!O53</f>
        <v>9662.2471766294457</v>
      </c>
      <c r="S117" s="21">
        <f>'[1]TABLE 3!'!F118</f>
        <v>203019.31754426906</v>
      </c>
      <c r="T117" s="21">
        <f t="shared" si="5"/>
        <v>255250.69307742227</v>
      </c>
      <c r="U117" s="22">
        <v>14700.151779999998</v>
      </c>
      <c r="V117" s="26">
        <v>1842.429834</v>
      </c>
      <c r="W117" s="26">
        <v>3308.2639349999999</v>
      </c>
      <c r="X117" s="22">
        <f>'[2]Wood E. Proj.'!$T37*1000</f>
        <v>2137.3824715646965</v>
      </c>
      <c r="Y117" s="22">
        <f>'[2]Wood E. Proj.'!$U37*1000</f>
        <v>602.27679623459414</v>
      </c>
      <c r="Z117" s="21">
        <f t="shared" si="8"/>
        <v>42569.128356523754</v>
      </c>
      <c r="AA117" s="10"/>
      <c r="AB117" s="22"/>
      <c r="AC117" s="26"/>
      <c r="AD117" s="26"/>
    </row>
    <row r="118" spans="1:30" ht="15">
      <c r="A118" s="10">
        <v>2014</v>
      </c>
      <c r="B118" s="11">
        <f>[3]A!B968</f>
        <v>11612</v>
      </c>
      <c r="C118" s="23">
        <f>[3]A!B1045</f>
        <v>16368.2</v>
      </c>
      <c r="D118" s="12"/>
      <c r="E118" s="12">
        <v>2033.4267339999999</v>
      </c>
      <c r="F118" s="24">
        <f>[3]A!B891</f>
        <v>33372.5</v>
      </c>
      <c r="G118" s="12">
        <f>[3]A!K583</f>
        <v>12889.75</v>
      </c>
      <c r="H118" s="12"/>
      <c r="I118" s="12">
        <f t="shared" si="9"/>
        <v>7404.2204649999985</v>
      </c>
      <c r="J118" s="25">
        <f t="shared" si="10"/>
        <v>5538.4594619999998</v>
      </c>
      <c r="K118" s="12"/>
      <c r="L118" s="12">
        <f>'[1]Pulp,P&amp;BD'!C25</f>
        <v>101942.96063947078</v>
      </c>
      <c r="M118" s="19">
        <v>530</v>
      </c>
      <c r="N118" s="22">
        <f t="shared" si="11"/>
        <v>2460.61393125</v>
      </c>
      <c r="O118" s="4">
        <v>12.4412</v>
      </c>
      <c r="P118" s="12">
        <f t="shared" si="12"/>
        <v>2755.5160701457444</v>
      </c>
      <c r="Q118" s="21">
        <f t="shared" si="7"/>
        <v>42804.723722266186</v>
      </c>
      <c r="R118" s="14">
        <f>'[4]Table 3'!O54</f>
        <v>9607.0536948001572</v>
      </c>
      <c r="S118" s="21">
        <f>'[1]TABLE 3!'!F119</f>
        <v>205176.02569863244</v>
      </c>
      <c r="T118" s="21">
        <f t="shared" si="5"/>
        <v>257587.8031156988</v>
      </c>
      <c r="U118" s="22">
        <v>14808.440929999997</v>
      </c>
      <c r="V118" s="26">
        <v>1846.1531539999999</v>
      </c>
      <c r="W118" s="26">
        <v>3280.8185749999998</v>
      </c>
      <c r="X118" s="22">
        <f>'[2]Wood E. Proj.'!$T38*1000</f>
        <v>2146.2952368834476</v>
      </c>
      <c r="Y118" s="22">
        <f>'[2]Wood E. Proj.'!$U38*1000</f>
        <v>609.22083326229654</v>
      </c>
      <c r="Z118" s="21">
        <f t="shared" si="8"/>
        <v>42804.723722266186</v>
      </c>
      <c r="AA118" s="10"/>
      <c r="AB118" s="22"/>
      <c r="AC118" s="26"/>
      <c r="AD118" s="26"/>
    </row>
    <row r="119" spans="1:30" ht="15">
      <c r="A119" s="10">
        <v>2015</v>
      </c>
      <c r="B119" s="11">
        <f>[3]A!B969</f>
        <v>11616.9</v>
      </c>
      <c r="C119" s="23">
        <f>[3]A!B1046</f>
        <v>17073.2</v>
      </c>
      <c r="D119" s="12"/>
      <c r="E119" s="12">
        <v>2008.7997759999998</v>
      </c>
      <c r="F119" s="24">
        <f>[3]A!B892</f>
        <v>33991.4</v>
      </c>
      <c r="G119" s="12">
        <f>[3]A!K584</f>
        <v>12930.210000000001</v>
      </c>
      <c r="H119" s="12"/>
      <c r="I119" s="12">
        <f t="shared" si="9"/>
        <v>7458.6524399999998</v>
      </c>
      <c r="J119" s="25">
        <f t="shared" si="10"/>
        <v>5549.6001120000001</v>
      </c>
      <c r="K119" s="12"/>
      <c r="L119" s="12">
        <f>'[1]Pulp,P&amp;BD'!C26</f>
        <v>103115.76670341784</v>
      </c>
      <c r="M119" s="19">
        <v>530</v>
      </c>
      <c r="N119" s="22">
        <f t="shared" si="11"/>
        <v>2439.8172075000002</v>
      </c>
      <c r="O119" s="4">
        <v>12.496</v>
      </c>
      <c r="P119" s="12">
        <f t="shared" si="12"/>
        <v>2771.3959706730375</v>
      </c>
      <c r="Q119" s="21">
        <f t="shared" si="7"/>
        <v>43040.55363277594</v>
      </c>
      <c r="R119" s="14">
        <f>'[4]Table 3'!O55</f>
        <v>9554.977965297383</v>
      </c>
      <c r="S119" s="21">
        <f>'[1]TABLE 3!'!F120</f>
        <v>207256.57452137055</v>
      </c>
      <c r="T119" s="21">
        <f t="shared" si="5"/>
        <v>259852.10611944387</v>
      </c>
      <c r="U119" s="22">
        <v>14917.30488</v>
      </c>
      <c r="V119" s="26">
        <v>1849.866704</v>
      </c>
      <c r="W119" s="26">
        <v>3253.08961</v>
      </c>
      <c r="X119" s="22">
        <f>'[2]Wood E. Proj.'!$T39*1000</f>
        <v>2155.1861644475825</v>
      </c>
      <c r="Y119" s="22">
        <f>'[2]Wood E. Proj.'!$U39*1000</f>
        <v>616.20980622545483</v>
      </c>
      <c r="Z119" s="21">
        <f t="shared" si="8"/>
        <v>43040.55363277594</v>
      </c>
      <c r="AA119" s="10"/>
      <c r="AB119" s="22"/>
      <c r="AC119" s="26"/>
      <c r="AD119" s="26"/>
    </row>
    <row r="120" spans="1:30" ht="15">
      <c r="A120" s="10">
        <v>2016</v>
      </c>
      <c r="B120" s="11">
        <f>[3]A!B970</f>
        <v>11486.1</v>
      </c>
      <c r="C120" s="23">
        <f>[3]A!B1047</f>
        <v>17439.2</v>
      </c>
      <c r="D120" s="12"/>
      <c r="E120" s="12">
        <v>1983.8913769999999</v>
      </c>
      <c r="F120" s="24">
        <f>[3]A!B893</f>
        <v>34587</v>
      </c>
      <c r="G120" s="12">
        <f>[3]A!K585</f>
        <v>12987.25</v>
      </c>
      <c r="H120" s="12"/>
      <c r="I120" s="12">
        <f t="shared" si="9"/>
        <v>7513.3718299999991</v>
      </c>
      <c r="J120" s="25">
        <f t="shared" si="10"/>
        <v>5560.7114549999988</v>
      </c>
      <c r="K120" s="12"/>
      <c r="L120" s="12">
        <f>'[1]Pulp,P&amp;BD'!C27</f>
        <v>104567.33252480706</v>
      </c>
      <c r="M120" s="19">
        <v>530</v>
      </c>
      <c r="N120" s="22">
        <f t="shared" si="11"/>
        <v>2418.8077792499998</v>
      </c>
      <c r="O120" s="4">
        <v>12.5585</v>
      </c>
      <c r="P120" s="12">
        <f t="shared" si="12"/>
        <v>2786.9646941793385</v>
      </c>
      <c r="Q120" s="21">
        <f t="shared" si="7"/>
        <v>43271.427738333456</v>
      </c>
      <c r="R120" s="14">
        <f>'[4]Table 3'!O56</f>
        <v>9506.3965621415118</v>
      </c>
      <c r="S120" s="21">
        <f>'[1]TABLE 3!'!F121</f>
        <v>209828.97664853226</v>
      </c>
      <c r="T120" s="21">
        <f t="shared" si="5"/>
        <v>262606.80094900721</v>
      </c>
      <c r="U120" s="22">
        <v>15026.743659999998</v>
      </c>
      <c r="V120" s="26">
        <v>1853.5704849999997</v>
      </c>
      <c r="W120" s="26">
        <v>3225.0770389999998</v>
      </c>
      <c r="X120" s="22">
        <f>'[2]Wood E. Proj.'!$T40*1000</f>
        <v>2163.7956364767324</v>
      </c>
      <c r="Y120" s="22">
        <f>'[2]Wood E. Proj.'!$U40*1000</f>
        <v>623.16905770260621</v>
      </c>
      <c r="Z120" s="21">
        <f t="shared" si="8"/>
        <v>43271.427738333456</v>
      </c>
      <c r="AA120" s="10"/>
      <c r="AB120" s="22"/>
      <c r="AC120" s="26"/>
      <c r="AD120" s="26"/>
    </row>
    <row r="121" spans="1:30" ht="15">
      <c r="A121" s="10">
        <v>2017</v>
      </c>
      <c r="B121" s="11">
        <f>[3]A!B971</f>
        <v>11489.7</v>
      </c>
      <c r="C121" s="23">
        <f>[3]A!B1048</f>
        <v>17767.400000000001</v>
      </c>
      <c r="D121" s="12"/>
      <c r="E121" s="12">
        <v>1958.701538</v>
      </c>
      <c r="F121" s="24">
        <f>[3]A!B894</f>
        <v>35089.5</v>
      </c>
      <c r="G121" s="12">
        <f>[3]A!K586</f>
        <v>13045.73</v>
      </c>
      <c r="H121" s="12"/>
      <c r="I121" s="12">
        <f t="shared" si="9"/>
        <v>7568.3786249999985</v>
      </c>
      <c r="J121" s="25">
        <f t="shared" si="10"/>
        <v>5571.7934880000003</v>
      </c>
      <c r="K121" s="12"/>
      <c r="L121" s="12">
        <f>'[1]Pulp,P&amp;BD'!C28</f>
        <v>106019.35865490629</v>
      </c>
      <c r="M121" s="19">
        <v>530</v>
      </c>
      <c r="N121" s="22">
        <f t="shared" si="11"/>
        <v>2397.5856479999998</v>
      </c>
      <c r="O121" s="4">
        <v>12.6511</v>
      </c>
      <c r="P121" s="12">
        <f t="shared" si="12"/>
        <v>2802.2867547293813</v>
      </c>
      <c r="Q121" s="21">
        <f t="shared" si="7"/>
        <v>43498.351110463766</v>
      </c>
      <c r="R121" s="14">
        <f>'[4]Table 3'!O57</f>
        <v>9458.8611448111023</v>
      </c>
      <c r="S121" s="21">
        <f>'[1]TABLE 3!'!F122</f>
        <v>212458.72303693433</v>
      </c>
      <c r="T121" s="21">
        <f t="shared" si="5"/>
        <v>265415.93529220921</v>
      </c>
      <c r="U121" s="22">
        <v>15136.757249999997</v>
      </c>
      <c r="V121" s="26">
        <v>1857.264496</v>
      </c>
      <c r="W121" s="26">
        <v>3196.7808639999998</v>
      </c>
      <c r="X121" s="22">
        <f>'[2]Wood E. Proj.'!$T41*1000</f>
        <v>2172.1748322083176</v>
      </c>
      <c r="Y121" s="22">
        <f>'[2]Wood E. Proj.'!$U41*1000</f>
        <v>630.11192252106378</v>
      </c>
      <c r="Z121" s="21">
        <f t="shared" si="8"/>
        <v>43498.351110463766</v>
      </c>
      <c r="AA121" s="10"/>
      <c r="AB121" s="22"/>
      <c r="AC121" s="26"/>
      <c r="AD121" s="26"/>
    </row>
    <row r="122" spans="1:30" ht="15">
      <c r="A122" s="10">
        <v>2018</v>
      </c>
      <c r="B122" s="11">
        <f>[3]A!B972</f>
        <v>11355.6</v>
      </c>
      <c r="C122" s="23">
        <f>[3]A!B1049</f>
        <v>17919.7</v>
      </c>
      <c r="D122" s="12"/>
      <c r="E122" s="12">
        <v>1933.230258</v>
      </c>
      <c r="F122" s="24">
        <f>[3]A!B895</f>
        <v>35426</v>
      </c>
      <c r="G122" s="12">
        <f>[3]A!K587</f>
        <v>13102.4</v>
      </c>
      <c r="H122" s="12"/>
      <c r="I122" s="12">
        <f t="shared" si="9"/>
        <v>7623.6728249999987</v>
      </c>
      <c r="J122" s="25">
        <f t="shared" si="10"/>
        <v>5582.8462140000001</v>
      </c>
      <c r="K122" s="12"/>
      <c r="L122" s="12">
        <f>'[1]Pulp,P&amp;BD'!C29</f>
        <v>106854.39536934948</v>
      </c>
      <c r="M122" s="19">
        <v>530</v>
      </c>
      <c r="N122" s="22">
        <f t="shared" si="11"/>
        <v>2376.1508129999997</v>
      </c>
      <c r="O122" s="4">
        <v>12.7189</v>
      </c>
      <c r="P122" s="12">
        <f t="shared" si="12"/>
        <v>2817.6521437062356</v>
      </c>
      <c r="Q122" s="21">
        <f t="shared" si="7"/>
        <v>43725.826887392177</v>
      </c>
      <c r="R122" s="14">
        <f>'[4]Table 3'!O58</f>
        <v>9412.0435142023925</v>
      </c>
      <c r="S122" s="21">
        <f>'[1]TABLE 3!'!F123</f>
        <v>215261.51929245357</v>
      </c>
      <c r="T122" s="21">
        <f t="shared" si="5"/>
        <v>268399.38969404815</v>
      </c>
      <c r="U122" s="22">
        <v>15247.345649999997</v>
      </c>
      <c r="V122" s="26">
        <v>1860.948738</v>
      </c>
      <c r="W122" s="26">
        <v>3168.2010839999998</v>
      </c>
      <c r="X122" s="22">
        <f>'[2]Wood E. Proj.'!$T42*1000</f>
        <v>2180.5491013672035</v>
      </c>
      <c r="Y122" s="22">
        <f>'[2]Wood E. Proj.'!$U42*1000</f>
        <v>637.10304233903184</v>
      </c>
      <c r="Z122" s="21">
        <f t="shared" si="8"/>
        <v>43725.826887392177</v>
      </c>
      <c r="AA122" s="10"/>
      <c r="AB122" s="22"/>
      <c r="AC122" s="26"/>
      <c r="AD122" s="26"/>
    </row>
    <row r="123" spans="1:30" ht="15">
      <c r="A123" s="10">
        <v>2019</v>
      </c>
      <c r="B123" s="11">
        <f>[3]A!B973</f>
        <v>11279.9</v>
      </c>
      <c r="C123" s="23">
        <f>[3]A!B1050</f>
        <v>18347.2</v>
      </c>
      <c r="D123" s="12"/>
      <c r="E123" s="12">
        <v>1907.477537</v>
      </c>
      <c r="F123" s="24">
        <f>[3]A!B896</f>
        <v>35732.699999999997</v>
      </c>
      <c r="G123" s="12">
        <f>[3]A!K588</f>
        <v>13151.529999999999</v>
      </c>
      <c r="H123" s="12"/>
      <c r="I123" s="12">
        <f t="shared" si="9"/>
        <v>7679.2544349999998</v>
      </c>
      <c r="J123" s="25">
        <f t="shared" si="10"/>
        <v>5593.8696300000001</v>
      </c>
      <c r="K123" s="12"/>
      <c r="L123" s="12">
        <f>'[1]Pulp,P&amp;BD'!C30</f>
        <v>107871.36130099227</v>
      </c>
      <c r="M123" s="19">
        <v>530</v>
      </c>
      <c r="N123" s="22">
        <f t="shared" si="11"/>
        <v>2354.5032735</v>
      </c>
      <c r="O123" s="4">
        <v>12.796900000000001</v>
      </c>
      <c r="P123" s="12">
        <f t="shared" si="12"/>
        <v>2833.0611820458707</v>
      </c>
      <c r="Q123" s="21">
        <f t="shared" si="7"/>
        <v>43953.859539352605</v>
      </c>
      <c r="R123" s="14">
        <f>'[4]Table 3'!O59</f>
        <v>9365.8712547093</v>
      </c>
      <c r="S123" s="21">
        <f>'[1]TABLE 3!'!F124</f>
        <v>216897.23698400028</v>
      </c>
      <c r="T123" s="21">
        <f t="shared" si="5"/>
        <v>270216.96777806222</v>
      </c>
      <c r="U123" s="22">
        <v>15358.50887</v>
      </c>
      <c r="V123" s="26">
        <v>1864.62321</v>
      </c>
      <c r="W123" s="26">
        <v>3139.3376979999998</v>
      </c>
      <c r="X123" s="22">
        <f>'[2]Wood E. Proj.'!$T43*1000</f>
        <v>2188.9185287895903</v>
      </c>
      <c r="Y123" s="22">
        <f>'[2]Wood E. Proj.'!$U43*1000</f>
        <v>644.14265325628071</v>
      </c>
      <c r="Z123" s="21">
        <f t="shared" si="8"/>
        <v>43953.859539352605</v>
      </c>
      <c r="AA123" s="10"/>
      <c r="AB123" s="22"/>
      <c r="AC123" s="26"/>
      <c r="AD123" s="26"/>
    </row>
    <row r="124" spans="1:30" ht="15">
      <c r="A124" s="10">
        <v>2020</v>
      </c>
      <c r="B124" s="11">
        <f>[3]A!B974</f>
        <v>11195.3</v>
      </c>
      <c r="C124" s="23">
        <f>[3]A!B1051</f>
        <v>18687.2</v>
      </c>
      <c r="D124" s="12"/>
      <c r="E124" s="12">
        <v>1881.4433760000002</v>
      </c>
      <c r="F124" s="24">
        <f>[3]A!B897</f>
        <v>36079</v>
      </c>
      <c r="G124" s="12">
        <f>[3]A!K589</f>
        <v>13208.26</v>
      </c>
      <c r="H124" s="12"/>
      <c r="I124" s="12">
        <f t="shared" si="9"/>
        <v>7735.1234549999999</v>
      </c>
      <c r="J124" s="25">
        <f t="shared" si="10"/>
        <v>5604.8637359999993</v>
      </c>
      <c r="K124" s="12"/>
      <c r="L124" s="12">
        <f>'[1]Pulp,P&amp;BD'!C31</f>
        <v>109193.12745314222</v>
      </c>
      <c r="M124" s="19">
        <v>530</v>
      </c>
      <c r="N124" s="22">
        <f t="shared" si="11"/>
        <v>2332.6430302499998</v>
      </c>
      <c r="O124" s="4">
        <v>12.868</v>
      </c>
      <c r="P124" s="12">
        <f t="shared" si="12"/>
        <v>2848.5141937475237</v>
      </c>
      <c r="Q124" s="21">
        <f t="shared" si="7"/>
        <v>44182.453579065776</v>
      </c>
      <c r="R124" s="14">
        <f>'[4]Table 3'!O60</f>
        <v>9320.3430115659812</v>
      </c>
      <c r="S124" s="21">
        <f>'[1]TABLE 3!'!F125</f>
        <v>219482.18186382958</v>
      </c>
      <c r="T124" s="21">
        <f t="shared" si="5"/>
        <v>272984.97845446132</v>
      </c>
      <c r="U124" s="22">
        <v>15470.24691</v>
      </c>
      <c r="V124" s="26">
        <v>1868.2879119999998</v>
      </c>
      <c r="W124" s="26">
        <v>3110.1907069999997</v>
      </c>
      <c r="X124" s="22">
        <f>'[2]Wood E. Proj.'!$T44*1000</f>
        <v>2197.2832000635349</v>
      </c>
      <c r="Y124" s="22">
        <f>'[2]Wood E. Proj.'!$U44*1000</f>
        <v>651.23099368398891</v>
      </c>
      <c r="Z124" s="21">
        <f t="shared" si="8"/>
        <v>44182.453579065776</v>
      </c>
      <c r="AA124" s="10"/>
      <c r="AB124" s="22"/>
      <c r="AC124" s="26"/>
      <c r="AD124" s="26"/>
    </row>
    <row r="125" spans="1:30" ht="15">
      <c r="A125" s="10">
        <v>2021</v>
      </c>
      <c r="B125" s="11">
        <f>[3]A!B975</f>
        <v>11193.5</v>
      </c>
      <c r="C125" s="23">
        <f>[3]A!B1052</f>
        <v>18977.599999999999</v>
      </c>
      <c r="D125" s="12"/>
      <c r="E125" s="12">
        <v>1855.127774</v>
      </c>
      <c r="F125" s="24">
        <f>[3]A!B898</f>
        <v>36439.599999999999</v>
      </c>
      <c r="G125" s="12">
        <f>[3]A!K590</f>
        <v>13257.030000000002</v>
      </c>
      <c r="H125" s="12"/>
      <c r="I125" s="12">
        <f t="shared" si="9"/>
        <v>7791.2798799999982</v>
      </c>
      <c r="J125" s="25">
        <f t="shared" si="10"/>
        <v>5615.8285350000006</v>
      </c>
      <c r="K125" s="12"/>
      <c r="L125" s="12">
        <f>'[1]Pulp,P&amp;BD'!C32</f>
        <v>110256.02216097023</v>
      </c>
      <c r="M125" s="19">
        <v>530</v>
      </c>
      <c r="N125" s="22">
        <f t="shared" si="11"/>
        <v>2310.570084</v>
      </c>
      <c r="O125" s="4">
        <v>12.928599999999999</v>
      </c>
      <c r="P125" s="12">
        <f t="shared" si="12"/>
        <v>2865.7351799395269</v>
      </c>
      <c r="Q125" s="21">
        <f t="shared" si="7"/>
        <v>44442.912602916222</v>
      </c>
      <c r="R125" s="14">
        <f>'[4]Table 3'!O61</f>
        <v>9276.2141795064981</v>
      </c>
      <c r="S125" s="21">
        <f>'[1]TABLE 3!'!F126</f>
        <v>220958.15253453288</v>
      </c>
      <c r="T125" s="21">
        <f t="shared" si="5"/>
        <v>274677.2793169556</v>
      </c>
      <c r="U125" s="22">
        <v>15582.559759999996</v>
      </c>
      <c r="V125" s="26">
        <v>1871.942845</v>
      </c>
      <c r="W125" s="26">
        <v>3080.7601119999999</v>
      </c>
      <c r="X125" s="22">
        <f>'[2]Wood E. Proj.'!$T45*1000</f>
        <v>2208.4355144194437</v>
      </c>
      <c r="Y125" s="22">
        <f>'[2]Wood E. Proj.'!$U45*1000</f>
        <v>657.29966552008318</v>
      </c>
      <c r="Z125" s="21">
        <f t="shared" si="8"/>
        <v>44442.912602916222</v>
      </c>
      <c r="AA125" s="10"/>
      <c r="AB125" s="22"/>
      <c r="AC125" s="26"/>
      <c r="AD125" s="26"/>
    </row>
    <row r="126" spans="1:30" ht="15">
      <c r="A126" s="10">
        <v>2022</v>
      </c>
      <c r="B126" s="11">
        <f>[3]A!B976</f>
        <v>11145.3</v>
      </c>
      <c r="C126" s="23">
        <f>[3]A!B1053</f>
        <v>19232.8</v>
      </c>
      <c r="D126" s="12"/>
      <c r="E126" s="12">
        <v>1828.5307310000001</v>
      </c>
      <c r="F126" s="24">
        <f>[3]A!B899</f>
        <v>36699.1</v>
      </c>
      <c r="G126" s="12">
        <f>[3]A!K591</f>
        <v>13290.259999999998</v>
      </c>
      <c r="H126" s="12"/>
      <c r="I126" s="12">
        <f t="shared" si="9"/>
        <v>7847.7237150000001</v>
      </c>
      <c r="J126" s="25">
        <f t="shared" si="10"/>
        <v>5626.7640269999993</v>
      </c>
      <c r="K126" s="12"/>
      <c r="L126" s="12">
        <f>'[1]Pulp,P&amp;BD'!C33</f>
        <v>112041.58798235944</v>
      </c>
      <c r="M126" s="19">
        <v>530</v>
      </c>
      <c r="N126" s="22">
        <f t="shared" si="11"/>
        <v>2288.2844332499999</v>
      </c>
      <c r="O126" s="4">
        <v>13.014099999999999</v>
      </c>
      <c r="P126" s="12">
        <f t="shared" si="12"/>
        <v>2882.8829927389588</v>
      </c>
      <c r="Q126" s="21">
        <f t="shared" si="7"/>
        <v>44702.157065749489</v>
      </c>
      <c r="R126" s="14">
        <f>'[4]Table 3'!O62</f>
        <v>9233.6070552655165</v>
      </c>
      <c r="S126" s="21">
        <f>'[1]TABLE 3!'!F127</f>
        <v>224210.35708554395</v>
      </c>
      <c r="T126" s="21">
        <f t="shared" si="5"/>
        <v>278146.12120655895</v>
      </c>
      <c r="U126" s="22">
        <v>15695.44743</v>
      </c>
      <c r="V126" s="26">
        <v>1875.5880089999998</v>
      </c>
      <c r="W126" s="26">
        <v>3051.0459110000002</v>
      </c>
      <c r="X126" s="22">
        <f>'[2]Wood E. Proj.'!$T46*1000</f>
        <v>2219.5058746468512</v>
      </c>
      <c r="Y126" s="22">
        <f>'[2]Wood E. Proj.'!$U46*1000</f>
        <v>663.37711809210782</v>
      </c>
      <c r="Z126" s="21">
        <f t="shared" si="8"/>
        <v>44702.157065749489</v>
      </c>
      <c r="AA126" s="10"/>
      <c r="AB126" s="22"/>
      <c r="AC126" s="26"/>
      <c r="AD126" s="26"/>
    </row>
    <row r="127" spans="1:30" ht="15">
      <c r="A127" s="10">
        <v>2023</v>
      </c>
      <c r="B127" s="11">
        <f>[3]A!B977</f>
        <v>11127.4</v>
      </c>
      <c r="C127" s="23">
        <f>[3]A!B1054</f>
        <v>19644.2</v>
      </c>
      <c r="D127" s="12"/>
      <c r="E127" s="12">
        <v>1801.652247</v>
      </c>
      <c r="F127" s="24">
        <f>[3]A!B900</f>
        <v>37026.800000000003</v>
      </c>
      <c r="G127" s="12">
        <f>[3]A!K592</f>
        <v>13327</v>
      </c>
      <c r="H127" s="12"/>
      <c r="I127" s="12">
        <f t="shared" si="9"/>
        <v>7904.45496</v>
      </c>
      <c r="J127" s="25">
        <f t="shared" si="10"/>
        <v>5637.6702060000007</v>
      </c>
      <c r="K127" s="12"/>
      <c r="L127" s="12">
        <f>'[1]Pulp,P&amp;BD'!C34</f>
        <v>112694.26923925026</v>
      </c>
      <c r="M127" s="19">
        <v>530</v>
      </c>
      <c r="N127" s="22">
        <f t="shared" si="11"/>
        <v>2265.7860787499999</v>
      </c>
      <c r="O127" s="4">
        <v>13.09</v>
      </c>
      <c r="P127" s="12">
        <f t="shared" si="12"/>
        <v>2900.3741968044496</v>
      </c>
      <c r="Q127" s="21">
        <f t="shared" si="7"/>
        <v>44966.645786931018</v>
      </c>
      <c r="R127" s="14">
        <f>'[4]Table 3'!O63</f>
        <v>9192.4724114462351</v>
      </c>
      <c r="S127" s="21">
        <f>'[1]TABLE 3!'!F128</f>
        <v>225855.76677673755</v>
      </c>
      <c r="T127" s="21">
        <f t="shared" si="5"/>
        <v>280014.88497511484</v>
      </c>
      <c r="U127" s="22">
        <v>15808.90992</v>
      </c>
      <c r="V127" s="26">
        <v>1879.2234020000001</v>
      </c>
      <c r="W127" s="26">
        <v>3021.0481049999999</v>
      </c>
      <c r="X127" s="22">
        <f>'[2]Wood E. Proj.'!$T47*1000</f>
        <v>2230.81484359151</v>
      </c>
      <c r="Y127" s="22">
        <f>'[2]Wood E. Proj.'!$U47*1000</f>
        <v>669.55935321293964</v>
      </c>
      <c r="Z127" s="21">
        <f t="shared" si="8"/>
        <v>44966.645786931018</v>
      </c>
      <c r="AA127" s="10"/>
      <c r="AB127" s="22"/>
      <c r="AC127" s="26"/>
      <c r="AD127" s="26"/>
    </row>
    <row r="128" spans="1:30" ht="15">
      <c r="A128" s="10">
        <v>2024</v>
      </c>
      <c r="B128" s="11">
        <f>[3]A!B978</f>
        <v>11102.1</v>
      </c>
      <c r="C128" s="23">
        <f>[3]A!B1055</f>
        <v>19980.400000000001</v>
      </c>
      <c r="D128" s="12"/>
      <c r="E128" s="12">
        <v>1774.4923229999999</v>
      </c>
      <c r="F128" s="24">
        <f>[3]A!B901</f>
        <v>37298.1</v>
      </c>
      <c r="G128" s="12">
        <f>[3]A!K593</f>
        <v>13352.91</v>
      </c>
      <c r="H128" s="12"/>
      <c r="I128" s="12">
        <f t="shared" si="9"/>
        <v>7961.4736099999991</v>
      </c>
      <c r="J128" s="25">
        <f t="shared" si="10"/>
        <v>5648.5470809999988</v>
      </c>
      <c r="K128" s="12"/>
      <c r="L128" s="12">
        <f>'[1]Pulp,P&amp;BD'!C35</f>
        <v>114281.68985667035</v>
      </c>
      <c r="M128" s="19">
        <v>530</v>
      </c>
      <c r="N128" s="22">
        <f t="shared" si="11"/>
        <v>2243.0750204999999</v>
      </c>
      <c r="O128" s="4">
        <v>13.1554</v>
      </c>
      <c r="P128" s="12">
        <f t="shared" si="12"/>
        <v>2918.3096502269022</v>
      </c>
      <c r="Q128" s="21">
        <f t="shared" si="7"/>
        <v>45237.939819218911</v>
      </c>
      <c r="R128" s="14">
        <f>'[4]Table 3'!O64</f>
        <v>9152.7034287062397</v>
      </c>
      <c r="S128" s="21">
        <f>'[1]TABLE 3!'!F129</f>
        <v>228182.29502815221</v>
      </c>
      <c r="T128" s="21">
        <f t="shared" si="5"/>
        <v>282572.93827607739</v>
      </c>
      <c r="U128" s="22">
        <v>15922.947219999998</v>
      </c>
      <c r="V128" s="26">
        <v>1882.8490269999998</v>
      </c>
      <c r="W128" s="26">
        <v>2990.7666939999999</v>
      </c>
      <c r="X128" s="22">
        <f>'[2]Wood E. Proj.'!$T48*1000</f>
        <v>2242.4391546940979</v>
      </c>
      <c r="Y128" s="22">
        <f>'[2]Wood E. Proj.'!$U48*1000</f>
        <v>675.87049553280428</v>
      </c>
      <c r="Z128" s="21">
        <f t="shared" si="8"/>
        <v>45237.939819218911</v>
      </c>
      <c r="AA128" s="10"/>
      <c r="AB128" s="22"/>
      <c r="AC128" s="26"/>
      <c r="AD128" s="26"/>
    </row>
    <row r="129" spans="1:30" ht="15">
      <c r="A129" s="10">
        <v>2025</v>
      </c>
      <c r="B129" s="11">
        <f>[3]A!B979</f>
        <v>11036.4</v>
      </c>
      <c r="C129" s="23">
        <f>[3]A!B1056</f>
        <v>20125.7</v>
      </c>
      <c r="D129" s="12"/>
      <c r="E129" s="12">
        <v>1747.0509579999996</v>
      </c>
      <c r="F129" s="24">
        <f>[3]A!B902</f>
        <v>37305.800000000003</v>
      </c>
      <c r="G129" s="12">
        <f>[3]A!K594</f>
        <v>13384.310000000001</v>
      </c>
      <c r="H129" s="12"/>
      <c r="I129" s="12">
        <f t="shared" si="9"/>
        <v>8018.7796699999981</v>
      </c>
      <c r="J129" s="25">
        <f t="shared" si="10"/>
        <v>5659.3946459999997</v>
      </c>
      <c r="K129" s="12"/>
      <c r="L129" s="12">
        <f>'[1]Pulp,P&amp;BD'!C36</f>
        <v>115176.60165380375</v>
      </c>
      <c r="M129" s="19">
        <v>530</v>
      </c>
      <c r="N129" s="22">
        <f t="shared" si="11"/>
        <v>2220.1512585</v>
      </c>
      <c r="O129" s="4">
        <v>13.218999999999999</v>
      </c>
      <c r="P129" s="12">
        <f t="shared" si="12"/>
        <v>2933.6122862962839</v>
      </c>
      <c r="Q129" s="21">
        <f t="shared" si="7"/>
        <v>45468.344311202316</v>
      </c>
      <c r="R129" s="14">
        <f>'[4]Table 3'!O65</f>
        <v>9113.9643054132575</v>
      </c>
      <c r="S129" s="21">
        <f>'[1]TABLE 3!'!F130</f>
        <v>229669.91808631195</v>
      </c>
      <c r="T129" s="21">
        <f t="shared" si="5"/>
        <v>284252.2267029275</v>
      </c>
      <c r="U129" s="22">
        <v>16037.559339999996</v>
      </c>
      <c r="V129" s="26">
        <v>1886.464882</v>
      </c>
      <c r="W129" s="26">
        <v>2960.2016779999999</v>
      </c>
      <c r="X129" s="22">
        <f>'[2]Wood E. Proj.'!$T49*1000</f>
        <v>2252.0156767871194</v>
      </c>
      <c r="Y129" s="22">
        <f>'[2]Wood E. Proj.'!$U49*1000</f>
        <v>681.59660950916441</v>
      </c>
      <c r="Z129" s="21">
        <f t="shared" si="8"/>
        <v>45468.344311202316</v>
      </c>
      <c r="AA129" s="10"/>
      <c r="AB129" s="22"/>
      <c r="AC129" s="26"/>
      <c r="AD129" s="26"/>
    </row>
    <row r="130" spans="1:30" ht="15">
      <c r="A130" s="10">
        <v>2026</v>
      </c>
      <c r="B130" s="11">
        <f>[3]A!B980</f>
        <v>10966.2</v>
      </c>
      <c r="C130" s="23">
        <f>[3]A!B1057</f>
        <v>20082.5</v>
      </c>
      <c r="D130" s="12"/>
      <c r="E130" s="12">
        <v>1719.328152</v>
      </c>
      <c r="F130" s="24">
        <f>[3]A!B903</f>
        <v>37239.599999999999</v>
      </c>
      <c r="G130" s="12">
        <f>[3]A!K595</f>
        <v>13404.08</v>
      </c>
      <c r="H130" s="12"/>
      <c r="I130" s="12">
        <f t="shared" si="9"/>
        <v>8076.373134999998</v>
      </c>
      <c r="J130" s="25">
        <f t="shared" si="10"/>
        <v>5670.212900999999</v>
      </c>
      <c r="K130" s="12"/>
      <c r="L130" s="12">
        <f>'[1]Pulp,P&amp;BD'!C37</f>
        <v>115675.00022050718</v>
      </c>
      <c r="M130" s="19">
        <v>530</v>
      </c>
      <c r="N130" s="22">
        <f t="shared" si="11"/>
        <v>2197.0147927499997</v>
      </c>
      <c r="O130" s="4">
        <v>13.2666</v>
      </c>
      <c r="P130" s="12">
        <f t="shared" si="12"/>
        <v>2949.2740668537531</v>
      </c>
      <c r="Q130" s="21">
        <f t="shared" si="7"/>
        <v>45704.243359225256</v>
      </c>
      <c r="R130" s="14">
        <f>'[4]Table 3'!O66</f>
        <v>9076.4991387571408</v>
      </c>
      <c r="S130" s="21">
        <f>'[1]TABLE 3!'!F131</f>
        <v>230245.81792086901</v>
      </c>
      <c r="T130" s="21">
        <f t="shared" si="5"/>
        <v>285026.56041885144</v>
      </c>
      <c r="U130" s="22">
        <v>16152.746269999996</v>
      </c>
      <c r="V130" s="26">
        <v>1890.0709669999997</v>
      </c>
      <c r="W130" s="26">
        <v>2929.3530569999998</v>
      </c>
      <c r="X130" s="22">
        <f>'[2]Wood E. Proj.'!$T50*1000</f>
        <v>2261.8448676838711</v>
      </c>
      <c r="Y130" s="22">
        <f>'[2]Wood E. Proj.'!$U50*1000</f>
        <v>687.42919916988183</v>
      </c>
      <c r="Z130" s="21">
        <f t="shared" si="8"/>
        <v>45704.243359225256</v>
      </c>
      <c r="AA130" s="10"/>
      <c r="AB130" s="22"/>
      <c r="AC130" s="26"/>
      <c r="AD130" s="26"/>
    </row>
    <row r="131" spans="1:30" ht="15">
      <c r="A131" s="10">
        <v>2027</v>
      </c>
      <c r="B131" s="11">
        <f>[3]A!B981</f>
        <v>10938.9</v>
      </c>
      <c r="C131" s="23">
        <f>[3]A!B1058</f>
        <v>20235.5</v>
      </c>
      <c r="D131" s="12"/>
      <c r="E131" s="12">
        <v>1691.323905</v>
      </c>
      <c r="F131" s="24">
        <f>[3]A!B904</f>
        <v>37258.199999999997</v>
      </c>
      <c r="G131" s="12">
        <f>[3]A!K596</f>
        <v>13425.45</v>
      </c>
      <c r="H131" s="12"/>
      <c r="I131" s="12">
        <f t="shared" si="9"/>
        <v>8134.2540099999987</v>
      </c>
      <c r="J131" s="25">
        <f t="shared" si="10"/>
        <v>5681.0018490000002</v>
      </c>
      <c r="K131" s="12"/>
      <c r="L131" s="12">
        <f>'[1]Pulp,P&amp;BD'!C38</f>
        <v>117258.59977949283</v>
      </c>
      <c r="M131" s="19">
        <v>530</v>
      </c>
      <c r="N131" s="22">
        <f t="shared" si="11"/>
        <v>2173.6656225000002</v>
      </c>
      <c r="O131" s="4">
        <v>13.334</v>
      </c>
      <c r="P131" s="12">
        <f t="shared" si="12"/>
        <v>2965.2963367576922</v>
      </c>
      <c r="Q131" s="21">
        <f t="shared" si="7"/>
        <v>45945.655300721868</v>
      </c>
      <c r="R131" s="14">
        <f>'[4]Table 3'!O67</f>
        <v>9040.3140781200436</v>
      </c>
      <c r="S131" s="21">
        <f>'[1]TABLE 3!'!F132</f>
        <v>232029.38636847161</v>
      </c>
      <c r="T131" s="21">
        <f t="shared" si="5"/>
        <v>287015.35574731353</v>
      </c>
      <c r="U131" s="22">
        <v>16268.508019999997</v>
      </c>
      <c r="V131" s="26">
        <v>1893.667283</v>
      </c>
      <c r="W131" s="26">
        <v>2898.2208300000002</v>
      </c>
      <c r="X131" s="22">
        <f>'[2]Wood E. Proj.'!$T51*1000</f>
        <v>2271.9269563618809</v>
      </c>
      <c r="Y131" s="22">
        <f>'[2]Wood E. Proj.'!$U51*1000</f>
        <v>693.36938039581139</v>
      </c>
      <c r="Z131" s="21">
        <f t="shared" si="8"/>
        <v>45945.655300721868</v>
      </c>
      <c r="AA131" s="10"/>
      <c r="AB131" s="22"/>
      <c r="AC131" s="26"/>
      <c r="AD131" s="26"/>
    </row>
    <row r="132" spans="1:30" ht="15">
      <c r="A132" s="10">
        <v>2028</v>
      </c>
      <c r="B132" s="11">
        <f>[3]A!B982</f>
        <v>10878.2</v>
      </c>
      <c r="C132" s="23">
        <f>[3]A!B1059</f>
        <v>20287.599999999999</v>
      </c>
      <c r="D132" s="12"/>
      <c r="E132" s="12">
        <v>1663.0382179999997</v>
      </c>
      <c r="F132" s="24">
        <f>[3]A!B905</f>
        <v>37290</v>
      </c>
      <c r="G132" s="12">
        <f>[3]A!K597</f>
        <v>13448.18</v>
      </c>
      <c r="H132" s="12"/>
      <c r="I132" s="12">
        <f t="shared" si="9"/>
        <v>8192.4222899999986</v>
      </c>
      <c r="J132" s="25">
        <f t="shared" si="10"/>
        <v>5691.7614869999998</v>
      </c>
      <c r="K132" s="12"/>
      <c r="L132" s="12">
        <f>'[1]Pulp,P&amp;BD'!C39</f>
        <v>117397.69261300993</v>
      </c>
      <c r="M132" s="19">
        <v>530</v>
      </c>
      <c r="N132" s="22">
        <f t="shared" si="11"/>
        <v>2150.10374925</v>
      </c>
      <c r="O132" s="4">
        <v>13.394</v>
      </c>
      <c r="P132" s="12">
        <f t="shared" si="12"/>
        <v>2981.6805443317262</v>
      </c>
      <c r="Q132" s="21">
        <f t="shared" si="7"/>
        <v>46192.600063539736</v>
      </c>
      <c r="R132" s="14">
        <f>'[4]Table 3'!O68</f>
        <v>9005.4101589694146</v>
      </c>
      <c r="S132" s="21">
        <f>'[1]TABLE 3!'!F133</f>
        <v>233062.64681361706</v>
      </c>
      <c r="T132" s="21">
        <f t="shared" si="5"/>
        <v>288260.65703612624</v>
      </c>
      <c r="U132" s="22">
        <v>16384.844579999997</v>
      </c>
      <c r="V132" s="26">
        <v>1897.2538289999998</v>
      </c>
      <c r="W132" s="26">
        <v>2866.804999</v>
      </c>
      <c r="X132" s="22">
        <f>'[2]Wood E. Proj.'!$T52*1000</f>
        <v>2282.2622469925623</v>
      </c>
      <c r="Y132" s="22">
        <f>'[2]Wood E. Proj.'!$U52*1000</f>
        <v>699.41829733916416</v>
      </c>
      <c r="Z132" s="21">
        <f t="shared" si="8"/>
        <v>46192.600063539736</v>
      </c>
      <c r="AA132" s="10"/>
      <c r="AB132" s="22"/>
      <c r="AC132" s="26"/>
      <c r="AD132" s="26"/>
    </row>
    <row r="133" spans="1:30" ht="15">
      <c r="A133" s="10">
        <v>2029</v>
      </c>
      <c r="B133" s="11">
        <f>[3]A!B983</f>
        <v>10841.2</v>
      </c>
      <c r="C133" s="23">
        <f>[3]A!B1060</f>
        <v>20494.099999999999</v>
      </c>
      <c r="D133" s="12"/>
      <c r="E133" s="12">
        <v>1634.4710899999995</v>
      </c>
      <c r="F133" s="24">
        <f>[3]A!B906</f>
        <v>37365.199999999997</v>
      </c>
      <c r="G133" s="12">
        <f>[3]A!K598</f>
        <v>13482.560000000001</v>
      </c>
      <c r="H133" s="12"/>
      <c r="I133" s="12">
        <f t="shared" si="9"/>
        <v>8250.8779799999975</v>
      </c>
      <c r="J133" s="25">
        <f t="shared" si="10"/>
        <v>5702.4918149999994</v>
      </c>
      <c r="K133" s="12"/>
      <c r="L133" s="12">
        <f>'[1]Pulp,P&amp;BD'!C40</f>
        <v>118933.61080485115</v>
      </c>
      <c r="M133" s="19">
        <v>530</v>
      </c>
      <c r="N133" s="22">
        <f t="shared" si="11"/>
        <v>2126.3291722499998</v>
      </c>
      <c r="O133" s="4">
        <v>13.465400000000001</v>
      </c>
      <c r="P133" s="12">
        <f t="shared" si="12"/>
        <v>2998.4282427008447</v>
      </c>
      <c r="Q133" s="21">
        <f t="shared" si="7"/>
        <v>46445.099185435633</v>
      </c>
      <c r="R133" s="14">
        <f>'[4]Table 3'!O69</f>
        <v>8971.7762356487783</v>
      </c>
      <c r="S133" s="21">
        <f>'[1]TABLE 3!'!F134</f>
        <v>234846.65711031141</v>
      </c>
      <c r="T133" s="21">
        <f t="shared" si="5"/>
        <v>290263.53253139585</v>
      </c>
      <c r="U133" s="22">
        <v>16501.755959999995</v>
      </c>
      <c r="V133" s="26">
        <v>1900.8306049999997</v>
      </c>
      <c r="W133" s="26">
        <v>2835.1055630000001</v>
      </c>
      <c r="X133" s="22">
        <f>'[2]Wood E. Proj.'!$T53*1000</f>
        <v>2292.8511195781298</v>
      </c>
      <c r="Y133" s="22">
        <f>'[2]Wood E. Proj.'!$U53*1000</f>
        <v>705.57712312271485</v>
      </c>
      <c r="Z133" s="21">
        <f t="shared" si="8"/>
        <v>46445.099185435633</v>
      </c>
      <c r="AA133" s="10"/>
      <c r="AB133" s="22"/>
      <c r="AC133" s="26"/>
      <c r="AD133" s="26"/>
    </row>
    <row r="134" spans="1:30" ht="15">
      <c r="A134" s="10">
        <v>2030</v>
      </c>
      <c r="B134" s="11">
        <f>[3]A!B984</f>
        <v>10800.4</v>
      </c>
      <c r="C134" s="23">
        <f>[3]A!B1061</f>
        <v>20731.5</v>
      </c>
      <c r="D134" s="12"/>
      <c r="E134" s="12">
        <v>1605.6225209999996</v>
      </c>
      <c r="F134" s="24">
        <f>[3]A!B907</f>
        <v>37444.300000000003</v>
      </c>
      <c r="G134" s="12">
        <f>[3]A!K599</f>
        <v>13505.400000000001</v>
      </c>
      <c r="H134" s="12"/>
      <c r="I134" s="12">
        <f t="shared" si="9"/>
        <v>8309.621079999999</v>
      </c>
      <c r="J134" s="25">
        <f t="shared" si="10"/>
        <v>5713.1928360000002</v>
      </c>
      <c r="K134" s="12"/>
      <c r="L134" s="12">
        <f>'[1]Pulp,P&amp;BD'!C41</f>
        <v>119668.68676956999</v>
      </c>
      <c r="M134" s="19">
        <v>530</v>
      </c>
      <c r="N134" s="22">
        <f t="shared" si="11"/>
        <v>2102.3418907499999</v>
      </c>
      <c r="O134" s="4">
        <v>13.522</v>
      </c>
      <c r="P134" s="12">
        <f t="shared" si="12"/>
        <v>3015.6394417368679</v>
      </c>
      <c r="Q134" s="21">
        <f t="shared" si="7"/>
        <v>46704.699038066421</v>
      </c>
      <c r="R134" s="14">
        <f>'[4]Table 3'!O70</f>
        <v>8939.327689579497</v>
      </c>
      <c r="S134" s="21">
        <f>'[1]TABLE 3!'!F135</f>
        <v>236140.50371684317</v>
      </c>
      <c r="T134" s="21">
        <f t="shared" ref="T134:T154" si="13">(Q134+R134+S134)</f>
        <v>291784.53044448909</v>
      </c>
      <c r="U134" s="22">
        <v>16619.242159999998</v>
      </c>
      <c r="V134" s="26">
        <v>1904.397612</v>
      </c>
      <c r="W134" s="26">
        <v>2803.1225209999998</v>
      </c>
      <c r="X134" s="22">
        <f>'[2]Wood E. Proj.'!$T54*1000</f>
        <v>2303.7691645982395</v>
      </c>
      <c r="Y134" s="22">
        <f>'[2]Wood E. Proj.'!$U54*1000</f>
        <v>711.87027713862847</v>
      </c>
      <c r="Z134" s="21">
        <f t="shared" si="8"/>
        <v>46704.699038066421</v>
      </c>
      <c r="AA134" s="10"/>
      <c r="AB134" s="22"/>
      <c r="AC134" s="26"/>
      <c r="AD134" s="26"/>
    </row>
    <row r="135" spans="1:30" ht="15">
      <c r="A135" s="10">
        <v>2031</v>
      </c>
      <c r="B135" s="11">
        <f>[3]A!B985</f>
        <v>10835.2</v>
      </c>
      <c r="C135" s="23">
        <f>[3]A!B1062</f>
        <v>21346.1</v>
      </c>
      <c r="D135" s="12"/>
      <c r="E135" s="12">
        <v>1583.0766799999997</v>
      </c>
      <c r="F135" s="24">
        <f>[3]A!B908</f>
        <v>37748.699999999997</v>
      </c>
      <c r="G135" s="12">
        <f>[3]A!K600</f>
        <v>13532.62</v>
      </c>
      <c r="H135" s="12"/>
      <c r="I135" s="12">
        <f t="shared" si="9"/>
        <v>8390.827194999998</v>
      </c>
      <c r="J135" s="25">
        <f t="shared" si="10"/>
        <v>5739.1654529999996</v>
      </c>
      <c r="K135" s="12"/>
      <c r="L135" s="12">
        <f>'[1]Pulp,P&amp;BD'!C42</f>
        <v>120083.73307607496</v>
      </c>
      <c r="M135" s="19">
        <v>530</v>
      </c>
      <c r="N135" s="22">
        <f t="shared" si="11"/>
        <v>2083.07950725</v>
      </c>
      <c r="O135" s="4">
        <v>13.5924</v>
      </c>
      <c r="P135" s="12">
        <f t="shared" si="12"/>
        <v>3033.2172061356541</v>
      </c>
      <c r="Q135" s="21">
        <f t="shared" si="7"/>
        <v>46975.362142972983</v>
      </c>
      <c r="R135" s="14">
        <f>'[4]Table 3'!O71</f>
        <v>8908.0915012783062</v>
      </c>
      <c r="S135" s="21">
        <f>'[1]TABLE 3!'!F136</f>
        <v>237089.22047836252</v>
      </c>
      <c r="T135" s="21">
        <f t="shared" si="13"/>
        <v>292972.6741226138</v>
      </c>
      <c r="U135" s="22">
        <v>16781.654389999996</v>
      </c>
      <c r="V135" s="26">
        <v>1913.055151</v>
      </c>
      <c r="W135" s="26">
        <v>2777.439343</v>
      </c>
      <c r="X135" s="22">
        <f>'[2]Wood E. Proj.'!$T55*1000</f>
        <v>2316.693549285696</v>
      </c>
      <c r="Y135" s="22">
        <f>'[2]Wood E. Proj.'!$U55*1000</f>
        <v>716.523656849958</v>
      </c>
      <c r="Z135" s="21">
        <f t="shared" si="8"/>
        <v>46975.362142972983</v>
      </c>
      <c r="AA135" s="10"/>
      <c r="AB135" s="22"/>
      <c r="AC135" s="26"/>
      <c r="AD135" s="26"/>
    </row>
    <row r="136" spans="1:30" ht="15">
      <c r="A136" s="10">
        <v>2032</v>
      </c>
      <c r="B136" s="11">
        <f>[3]A!B986</f>
        <v>10795.7</v>
      </c>
      <c r="C136" s="23">
        <f>[3]A!B1063</f>
        <v>21711.599999999999</v>
      </c>
      <c r="D136" s="12"/>
      <c r="E136" s="12">
        <v>1560.0673299999999</v>
      </c>
      <c r="F136" s="24">
        <f>[3]A!B909</f>
        <v>37742.5</v>
      </c>
      <c r="G136" s="12">
        <f>[3]A!K601</f>
        <v>13560.82</v>
      </c>
      <c r="H136" s="12"/>
      <c r="I136" s="12">
        <f t="shared" si="9"/>
        <v>8472.5066499999975</v>
      </c>
      <c r="J136" s="25">
        <f t="shared" si="10"/>
        <v>5765.0898029999989</v>
      </c>
      <c r="K136" s="12"/>
      <c r="L136" s="12">
        <f>'[1]Pulp,P&amp;BD'!C43</f>
        <v>121644.65843439911</v>
      </c>
      <c r="M136" s="19">
        <v>530</v>
      </c>
      <c r="N136" s="22">
        <f t="shared" si="11"/>
        <v>2063.4668182500004</v>
      </c>
      <c r="O136" s="4">
        <v>13.6647</v>
      </c>
      <c r="P136" s="12">
        <f t="shared" si="12"/>
        <v>3051.1634236992454</v>
      </c>
      <c r="Q136" s="21">
        <f t="shared" si="7"/>
        <v>47251.713057536253</v>
      </c>
      <c r="R136" s="14">
        <f>'[4]Table 3'!O72</f>
        <v>8878.0312566043631</v>
      </c>
      <c r="S136" s="21">
        <f>'[1]TABLE 3!'!F137</f>
        <v>238871.85847320314</v>
      </c>
      <c r="T136" s="21">
        <f t="shared" si="13"/>
        <v>295001.60278734379</v>
      </c>
      <c r="U136" s="22">
        <v>16945.013299999995</v>
      </c>
      <c r="V136" s="26">
        <v>1921.6966009999996</v>
      </c>
      <c r="W136" s="26">
        <v>2751.2890910000006</v>
      </c>
      <c r="X136" s="22">
        <f>'[2]Wood E. Proj.'!$T56*1000</f>
        <v>2329.8934465965845</v>
      </c>
      <c r="Y136" s="22">
        <f>'[2]Wood E. Proj.'!$U56*1000</f>
        <v>721.26997710266107</v>
      </c>
      <c r="Z136" s="21">
        <f t="shared" si="8"/>
        <v>47251.713057536253</v>
      </c>
      <c r="AA136" s="10"/>
      <c r="AB136" s="22"/>
      <c r="AC136" s="26"/>
      <c r="AD136" s="26"/>
    </row>
    <row r="137" spans="1:30" ht="15">
      <c r="A137" s="10">
        <v>2033</v>
      </c>
      <c r="B137" s="11">
        <f>[3]A!B987</f>
        <v>10795.1</v>
      </c>
      <c r="C137" s="23">
        <f>[3]A!B1064</f>
        <v>21949</v>
      </c>
      <c r="D137" s="12"/>
      <c r="E137" s="12">
        <v>1536.5944709999997</v>
      </c>
      <c r="F137" s="24">
        <f>[3]A!B910</f>
        <v>37870</v>
      </c>
      <c r="G137" s="12">
        <f>[3]A!K602</f>
        <v>13588.53</v>
      </c>
      <c r="H137" s="12"/>
      <c r="I137" s="12">
        <f t="shared" si="9"/>
        <v>8554.6594449999993</v>
      </c>
      <c r="J137" s="25">
        <f t="shared" si="10"/>
        <v>5790.9658829999998</v>
      </c>
      <c r="K137" s="12"/>
      <c r="L137" s="12">
        <f>'[1]Pulp,P&amp;BD'!C44</f>
        <v>121536.40617420065</v>
      </c>
      <c r="M137" s="19">
        <v>530</v>
      </c>
      <c r="N137" s="22">
        <f t="shared" si="11"/>
        <v>2043.5038245000001</v>
      </c>
      <c r="O137" s="4">
        <v>13.7194</v>
      </c>
      <c r="P137" s="12">
        <f t="shared" si="12"/>
        <v>3069.4800927797378</v>
      </c>
      <c r="Q137" s="21">
        <f t="shared" si="7"/>
        <v>47533.782155095738</v>
      </c>
      <c r="R137" s="14">
        <f>'[4]Table 3'!O73</f>
        <v>8849.1119200560843</v>
      </c>
      <c r="S137" s="21">
        <f>'[1]TABLE 3!'!F138</f>
        <v>239405.16872101079</v>
      </c>
      <c r="T137" s="21">
        <f t="shared" si="13"/>
        <v>295788.06279616262</v>
      </c>
      <c r="U137" s="22">
        <v>17109.318889999999</v>
      </c>
      <c r="V137" s="26">
        <v>1930.3219609999999</v>
      </c>
      <c r="W137" s="26">
        <v>2724.6717659999999</v>
      </c>
      <c r="X137" s="22">
        <f>'[2]Wood E. Proj.'!$T57*1000</f>
        <v>2343.370198496812</v>
      </c>
      <c r="Y137" s="22">
        <f>'[2]Wood E. Proj.'!$U57*1000</f>
        <v>726.10989428292589</v>
      </c>
      <c r="Z137" s="21">
        <f t="shared" si="8"/>
        <v>47533.782155095738</v>
      </c>
      <c r="AA137" s="10"/>
      <c r="AB137" s="22"/>
      <c r="AC137" s="26"/>
      <c r="AD137" s="26"/>
    </row>
    <row r="138" spans="1:30" ht="15">
      <c r="A138" s="10">
        <v>2034</v>
      </c>
      <c r="B138" s="11">
        <f>[3]A!B988</f>
        <v>10824.4</v>
      </c>
      <c r="C138" s="23">
        <f>[3]A!B1065</f>
        <v>22504.9</v>
      </c>
      <c r="D138" s="12"/>
      <c r="E138" s="12">
        <v>1512.6581029999998</v>
      </c>
      <c r="F138" s="24">
        <f>[3]A!B911</f>
        <v>37925.300000000003</v>
      </c>
      <c r="G138" s="12">
        <f>[3]A!K603</f>
        <v>13621.850000000002</v>
      </c>
      <c r="H138" s="12"/>
      <c r="I138" s="12">
        <f t="shared" si="9"/>
        <v>8637.28557</v>
      </c>
      <c r="J138" s="25">
        <f t="shared" si="10"/>
        <v>5816.7936929999987</v>
      </c>
      <c r="K138" s="12"/>
      <c r="L138" s="12">
        <f>'[1]Pulp,P&amp;BD'!C45</f>
        <v>122963.53054024256</v>
      </c>
      <c r="M138" s="19">
        <v>530</v>
      </c>
      <c r="N138" s="22">
        <f t="shared" si="11"/>
        <v>2023.1905252500001</v>
      </c>
      <c r="O138" s="4">
        <v>13.789400000000001</v>
      </c>
      <c r="P138" s="12">
        <f t="shared" si="12"/>
        <v>3088.3646666548389</v>
      </c>
      <c r="Q138" s="21">
        <f t="shared" si="7"/>
        <v>47824.626506621433</v>
      </c>
      <c r="R138" s="14">
        <f>'[4]Table 3'!O74</f>
        <v>8821.3072976286494</v>
      </c>
      <c r="S138" s="21">
        <f>'[1]TABLE 3!'!F139</f>
        <v>241051.76623799026</v>
      </c>
      <c r="T138" s="21">
        <f t="shared" si="13"/>
        <v>297697.70004224032</v>
      </c>
      <c r="U138" s="22">
        <v>17274.57114</v>
      </c>
      <c r="V138" s="26">
        <v>1938.9312309999996</v>
      </c>
      <c r="W138" s="26">
        <v>2697.5873670000001</v>
      </c>
      <c r="X138" s="22">
        <f>'[2]Wood E. Proj.'!$T58*1000</f>
        <v>2357.2743316591118</v>
      </c>
      <c r="Y138" s="22">
        <f>'[2]Wood E. Proj.'!$U58*1000</f>
        <v>731.09033499572706</v>
      </c>
      <c r="Z138" s="21">
        <f t="shared" si="8"/>
        <v>47824.626506621433</v>
      </c>
      <c r="AA138" s="10"/>
      <c r="AB138" s="22"/>
      <c r="AC138" s="26"/>
      <c r="AD138" s="26"/>
    </row>
    <row r="139" spans="1:30" ht="15">
      <c r="A139" s="10">
        <v>2035</v>
      </c>
      <c r="B139" s="11">
        <f>[3]A!B989</f>
        <v>10820.9</v>
      </c>
      <c r="C139" s="23">
        <f>[3]A!B1066</f>
        <v>22773.200000000001</v>
      </c>
      <c r="D139" s="12"/>
      <c r="E139" s="12">
        <v>1488.2582249999998</v>
      </c>
      <c r="F139" s="24">
        <f>[3]A!B912</f>
        <v>37933.599999999999</v>
      </c>
      <c r="G139" s="12">
        <f>[3]A!K604</f>
        <v>13664.43</v>
      </c>
      <c r="H139" s="12"/>
      <c r="I139" s="12">
        <f t="shared" si="9"/>
        <v>8720.3850349999975</v>
      </c>
      <c r="J139" s="25">
        <f t="shared" si="10"/>
        <v>5842.5732360000002</v>
      </c>
      <c r="K139" s="12"/>
      <c r="L139" s="12">
        <f>'[1]Pulp,P&amp;BD'!C46</f>
        <v>122903.78721058434</v>
      </c>
      <c r="M139" s="19">
        <v>530</v>
      </c>
      <c r="N139" s="22">
        <f t="shared" si="11"/>
        <v>2002.5269205</v>
      </c>
      <c r="O139" s="4">
        <v>13.865600000000001</v>
      </c>
      <c r="P139" s="12">
        <f t="shared" si="12"/>
        <v>3108.7935286977704</v>
      </c>
      <c r="Q139" s="21">
        <f t="shared" si="7"/>
        <v>48139.364430162976</v>
      </c>
      <c r="R139" s="14">
        <f>'[4]Table 3'!O75</f>
        <v>8794.587552584002</v>
      </c>
      <c r="S139" s="21">
        <f>'[1]TABLE 3!'!F140</f>
        <v>241903.58289580309</v>
      </c>
      <c r="T139" s="21">
        <f t="shared" si="13"/>
        <v>298837.5348785501</v>
      </c>
      <c r="U139" s="22">
        <v>17440.770069999995</v>
      </c>
      <c r="V139" s="26">
        <v>1947.524412</v>
      </c>
      <c r="W139" s="26">
        <v>2670.0358940000001</v>
      </c>
      <c r="X139" s="22">
        <f>'[2]Wood E. Proj.'!$T59*1000</f>
        <v>2372.3506506754484</v>
      </c>
      <c r="Y139" s="22">
        <f>'[2]Wood E. Proj.'!$U59*1000</f>
        <v>736.44287802232191</v>
      </c>
      <c r="Z139" s="21">
        <f t="shared" si="8"/>
        <v>48139.364430162976</v>
      </c>
      <c r="AA139" s="10"/>
      <c r="AB139" s="22"/>
      <c r="AC139" s="26"/>
      <c r="AD139" s="26"/>
    </row>
    <row r="140" spans="1:30" ht="15">
      <c r="A140" s="10">
        <v>2036</v>
      </c>
      <c r="B140" s="11">
        <f>[3]A!B990</f>
        <v>10820</v>
      </c>
      <c r="C140" s="23">
        <f>[3]A!B1067</f>
        <v>23065.8</v>
      </c>
      <c r="D140" s="12"/>
      <c r="E140" s="12">
        <v>1463.3948389999996</v>
      </c>
      <c r="F140" s="24">
        <f>[3]A!B913</f>
        <v>38295</v>
      </c>
      <c r="G140" s="12">
        <f>[3]A!K605</f>
        <v>13694.539999999999</v>
      </c>
      <c r="H140" s="12"/>
      <c r="I140" s="12">
        <f t="shared" si="9"/>
        <v>8803.9578349999992</v>
      </c>
      <c r="J140" s="25">
        <f t="shared" si="10"/>
        <v>5868.3045089999996</v>
      </c>
      <c r="K140" s="12"/>
      <c r="L140" s="12">
        <f>'[1]Pulp,P&amp;BD'!C47</f>
        <v>124340.33715545756</v>
      </c>
      <c r="M140" s="19">
        <v>530</v>
      </c>
      <c r="N140" s="22">
        <f t="shared" si="11"/>
        <v>1981.5130109999996</v>
      </c>
      <c r="O140" s="4">
        <v>13.928699999999999</v>
      </c>
      <c r="P140" s="12">
        <f t="shared" si="12"/>
        <v>3129.6925233658558</v>
      </c>
      <c r="Q140" s="21">
        <f t="shared" si="7"/>
        <v>48461.360887121358</v>
      </c>
      <c r="R140" s="14">
        <f>'[4]Table 3'!O76</f>
        <v>8768.922050099638</v>
      </c>
      <c r="S140" s="21">
        <f>'[1]TABLE 3!'!F141</f>
        <v>244125.29229772743</v>
      </c>
      <c r="T140" s="21">
        <f t="shared" si="13"/>
        <v>301355.57523494842</v>
      </c>
      <c r="U140" s="22">
        <v>17607.915669999998</v>
      </c>
      <c r="V140" s="26">
        <v>1956.1015029999999</v>
      </c>
      <c r="W140" s="26">
        <v>2642.0173479999994</v>
      </c>
      <c r="X140" s="22">
        <f>'[2]Wood E. Proj.'!$T60*1000</f>
        <v>2387.7788656843541</v>
      </c>
      <c r="Y140" s="22">
        <f>'[2]Wood E. Proj.'!$U60*1000</f>
        <v>741.91365768150195</v>
      </c>
      <c r="Z140" s="21">
        <f t="shared" si="8"/>
        <v>48461.360887121358</v>
      </c>
      <c r="AA140" s="10"/>
      <c r="AB140" s="22"/>
      <c r="AC140" s="26"/>
      <c r="AD140" s="26"/>
    </row>
    <row r="141" spans="1:30" ht="15">
      <c r="A141" s="10">
        <v>2037</v>
      </c>
      <c r="B141" s="11">
        <f>[3]A!B991</f>
        <v>10789.2</v>
      </c>
      <c r="C141" s="23">
        <f>[3]A!B1068</f>
        <v>23247.5</v>
      </c>
      <c r="D141" s="12"/>
      <c r="E141" s="12">
        <v>1438.0679439999994</v>
      </c>
      <c r="F141" s="24">
        <f>[3]A!B914</f>
        <v>38561.199999999997</v>
      </c>
      <c r="G141" s="12">
        <f>[3]A!K606</f>
        <v>13725.210000000001</v>
      </c>
      <c r="H141" s="12"/>
      <c r="I141" s="12">
        <f t="shared" si="9"/>
        <v>8888.0039749999978</v>
      </c>
      <c r="J141" s="25">
        <f t="shared" si="10"/>
        <v>5893.9875119999979</v>
      </c>
      <c r="K141" s="12"/>
      <c r="L141" s="12">
        <f>'[1]Pulp,P&amp;BD'!C48</f>
        <v>124675.58026460859</v>
      </c>
      <c r="M141" s="19">
        <v>530</v>
      </c>
      <c r="N141" s="22">
        <f t="shared" si="11"/>
        <v>1960.1487959999999</v>
      </c>
      <c r="O141" s="4">
        <v>13.9994</v>
      </c>
      <c r="P141" s="12">
        <f t="shared" si="12"/>
        <v>3151.0638251409791</v>
      </c>
      <c r="Q141" s="21">
        <f t="shared" si="7"/>
        <v>48790.648815729997</v>
      </c>
      <c r="R141" s="14">
        <f>'[4]Table 3'!O77</f>
        <v>8744.2798311122187</v>
      </c>
      <c r="S141" s="21">
        <f>'[1]TABLE 3!'!F142</f>
        <v>244542.16162201602</v>
      </c>
      <c r="T141" s="21">
        <f t="shared" si="13"/>
        <v>302077.09026885824</v>
      </c>
      <c r="U141" s="22">
        <v>17776.007949999996</v>
      </c>
      <c r="V141" s="26">
        <v>1964.6625039999994</v>
      </c>
      <c r="W141" s="26">
        <v>2613.5317279999999</v>
      </c>
      <c r="X141" s="22">
        <f>'[2]Wood E. Proj.'!$T61*1000</f>
        <v>2403.5604009880162</v>
      </c>
      <c r="Y141" s="22">
        <f>'[2]Wood E. Proj.'!$U61*1000</f>
        <v>747.50342415296302</v>
      </c>
      <c r="Z141" s="21">
        <f t="shared" si="8"/>
        <v>48790.648815729997</v>
      </c>
      <c r="AA141" s="10"/>
      <c r="AB141" s="22"/>
      <c r="AC141" s="26"/>
      <c r="AD141" s="26"/>
    </row>
    <row r="142" spans="1:30" ht="15">
      <c r="A142" s="10">
        <v>2038</v>
      </c>
      <c r="B142" s="11">
        <f>[3]A!B992</f>
        <v>10755.4</v>
      </c>
      <c r="C142" s="23">
        <f>[3]A!B1069</f>
        <v>23408.400000000001</v>
      </c>
      <c r="D142" s="12"/>
      <c r="E142" s="12">
        <v>1412.2775389999995</v>
      </c>
      <c r="F142" s="24">
        <f>[3]A!B915</f>
        <v>38850.300000000003</v>
      </c>
      <c r="G142" s="12">
        <f>[3]A!K607</f>
        <v>13747.36</v>
      </c>
      <c r="H142" s="12"/>
      <c r="I142" s="12">
        <f t="shared" si="9"/>
        <v>8972.5234499999988</v>
      </c>
      <c r="J142" s="25">
        <f t="shared" si="10"/>
        <v>5919.6222479999988</v>
      </c>
      <c r="K142" s="12"/>
      <c r="L142" s="12">
        <f>'[1]Pulp,P&amp;BD'!C49</f>
        <v>125852.71675854464</v>
      </c>
      <c r="M142" s="19">
        <v>530</v>
      </c>
      <c r="N142" s="22">
        <f t="shared" si="11"/>
        <v>1938.43427625</v>
      </c>
      <c r="O142" s="4">
        <v>14.0631</v>
      </c>
      <c r="P142" s="12">
        <f t="shared" si="12"/>
        <v>3172.9097533218819</v>
      </c>
      <c r="Q142" s="21">
        <f t="shared" si="7"/>
        <v>49127.26339196301</v>
      </c>
      <c r="R142" s="14">
        <f>'[4]Table 3'!O78</f>
        <v>8720.6305634123564</v>
      </c>
      <c r="S142" s="21">
        <f>'[1]TABLE 3!'!F143</f>
        <v>245859.71366022996</v>
      </c>
      <c r="T142" s="21">
        <f t="shared" si="13"/>
        <v>303707.60761560535</v>
      </c>
      <c r="U142" s="22">
        <v>17945.046899999998</v>
      </c>
      <c r="V142" s="26">
        <v>1973.2074159999995</v>
      </c>
      <c r="W142" s="26">
        <v>2584.5790350000002</v>
      </c>
      <c r="X142" s="22">
        <f>'[2]Wood E. Proj.'!$T62*1000</f>
        <v>2419.6967898823964</v>
      </c>
      <c r="Y142" s="22">
        <f>'[2]Wood E. Proj.'!$U62*1000</f>
        <v>753.21296343948529</v>
      </c>
      <c r="Z142" s="21">
        <f t="shared" si="8"/>
        <v>49127.26339196301</v>
      </c>
      <c r="AA142" s="10"/>
      <c r="AB142" s="22"/>
      <c r="AC142" s="26"/>
      <c r="AD142" s="26"/>
    </row>
    <row r="143" spans="1:30" ht="15">
      <c r="A143" s="10">
        <v>2039</v>
      </c>
      <c r="B143" s="11">
        <f>[3]A!B993</f>
        <v>10758.7</v>
      </c>
      <c r="C143" s="23">
        <f>[3]A!B1070</f>
        <v>23671.5</v>
      </c>
      <c r="D143" s="12"/>
      <c r="E143" s="12">
        <v>1386.0236249999998</v>
      </c>
      <c r="F143" s="24">
        <f>[3]A!B916</f>
        <v>39197.300000000003</v>
      </c>
      <c r="G143" s="12">
        <f>[3]A!K608</f>
        <v>13773.37</v>
      </c>
      <c r="H143" s="12"/>
      <c r="I143" s="12">
        <f t="shared" si="9"/>
        <v>9057.5162599999985</v>
      </c>
      <c r="J143" s="25">
        <f t="shared" si="10"/>
        <v>5945.2087139999985</v>
      </c>
      <c r="K143" s="12"/>
      <c r="L143" s="12">
        <f>'[1]Pulp,P&amp;BD'!C50</f>
        <v>125777.18269018742</v>
      </c>
      <c r="M143" s="19">
        <v>530</v>
      </c>
      <c r="N143" s="22">
        <f t="shared" si="11"/>
        <v>1916.369451</v>
      </c>
      <c r="O143" s="4">
        <v>14.1282</v>
      </c>
      <c r="P143" s="12">
        <f t="shared" si="12"/>
        <v>3195.3296882164323</v>
      </c>
      <c r="Q143" s="21">
        <f t="shared" si="7"/>
        <v>49472.742565974004</v>
      </c>
      <c r="R143" s="14">
        <f>'[4]Table 3'!O79</f>
        <v>8697.9454488345909</v>
      </c>
      <c r="S143" s="21">
        <f>'[1]TABLE 3!'!F144</f>
        <v>245955.03018017492</v>
      </c>
      <c r="T143" s="21">
        <f t="shared" si="13"/>
        <v>304125.71819498349</v>
      </c>
      <c r="U143" s="22">
        <v>18115.032519999997</v>
      </c>
      <c r="V143" s="26">
        <v>1981.7362379999995</v>
      </c>
      <c r="W143" s="26">
        <v>2555.1592679999999</v>
      </c>
      <c r="X143" s="22">
        <f>'[2]Wood E. Proj.'!$T63*1000</f>
        <v>2436.2635678159845</v>
      </c>
      <c r="Y143" s="22">
        <f>'[2]Wood E. Proj.'!$U63*1000</f>
        <v>759.06612040044774</v>
      </c>
      <c r="Z143" s="21">
        <f t="shared" si="8"/>
        <v>49472.742565974004</v>
      </c>
      <c r="AA143" s="10"/>
      <c r="AB143" s="22"/>
      <c r="AC143" s="26"/>
      <c r="AD143" s="26"/>
    </row>
    <row r="144" spans="1:30" ht="15">
      <c r="A144" s="10">
        <v>2040</v>
      </c>
      <c r="B144" s="11">
        <f>[3]A!B994</f>
        <v>10777.1</v>
      </c>
      <c r="C144" s="23">
        <f>[3]A!B1071</f>
        <v>24161</v>
      </c>
      <c r="D144" s="12"/>
      <c r="E144" s="12">
        <v>1359.3062029999996</v>
      </c>
      <c r="F144" s="24">
        <f>[3]A!B917</f>
        <v>39546.300000000003</v>
      </c>
      <c r="G144" s="12">
        <f>[3]A!K609</f>
        <v>13798.59</v>
      </c>
      <c r="H144" s="12"/>
      <c r="I144" s="12">
        <f t="shared" si="9"/>
        <v>9142.9824099999969</v>
      </c>
      <c r="J144" s="25">
        <f t="shared" si="10"/>
        <v>5970.746912999999</v>
      </c>
      <c r="K144" s="12"/>
      <c r="L144" s="12">
        <f>'[1]Pulp,P&amp;BD'!C51</f>
        <v>127319.76979051818</v>
      </c>
      <c r="M144" s="19">
        <v>530</v>
      </c>
      <c r="N144" s="22">
        <f t="shared" si="11"/>
        <v>1893.9543202499999</v>
      </c>
      <c r="O144" s="4">
        <v>14.1972</v>
      </c>
      <c r="P144" s="12">
        <f t="shared" si="12"/>
        <v>3218.2290526554302</v>
      </c>
      <c r="Q144" s="21">
        <f t="shared" si="7"/>
        <v>49825.621171974279</v>
      </c>
      <c r="R144" s="14">
        <f>'[4]Table 3'!O80</f>
        <v>8676.1958357404164</v>
      </c>
      <c r="S144" s="21">
        <f>'[1]TABLE 3!'!F145</f>
        <v>248110.90169598002</v>
      </c>
      <c r="T144" s="21">
        <f t="shared" si="13"/>
        <v>306612.7187036947</v>
      </c>
      <c r="U144" s="22">
        <v>18285.964819999994</v>
      </c>
      <c r="V144" s="26">
        <v>1990.2489709999995</v>
      </c>
      <c r="W144" s="26">
        <v>2525.2724269999999</v>
      </c>
      <c r="X144" s="22">
        <f>'[2]Wood E. Proj.'!$T64*1000</f>
        <v>2453.1883544799744</v>
      </c>
      <c r="Y144" s="22">
        <f>'[2]Wood E. Proj.'!$U64*1000</f>
        <v>765.04069817545587</v>
      </c>
      <c r="Z144" s="21">
        <f t="shared" si="8"/>
        <v>49825.621171974279</v>
      </c>
      <c r="AA144" s="10"/>
      <c r="AB144" s="22"/>
      <c r="AC144" s="26"/>
      <c r="AD144" s="26"/>
    </row>
    <row r="145" spans="1:30" ht="15">
      <c r="A145" s="10">
        <v>2041</v>
      </c>
      <c r="B145" s="11">
        <f>[3]A!B995</f>
        <v>10780.5</v>
      </c>
      <c r="C145" s="23">
        <f>[3]A!B1072</f>
        <v>24617.3</v>
      </c>
      <c r="D145" s="12"/>
      <c r="E145" s="12">
        <v>1332.1252709999997</v>
      </c>
      <c r="F145" s="24">
        <f>[3]A!B918</f>
        <v>39988.1</v>
      </c>
      <c r="G145" s="12">
        <f>[3]A!K610</f>
        <v>13829.980000000001</v>
      </c>
      <c r="H145" s="12"/>
      <c r="I145" s="12">
        <f t="shared" si="9"/>
        <v>9228.9218899999978</v>
      </c>
      <c r="J145" s="25">
        <f t="shared" si="10"/>
        <v>5996.2368419999993</v>
      </c>
      <c r="K145" s="12"/>
      <c r="L145" s="12">
        <f>'[1]Pulp,P&amp;BD'!C52</f>
        <v>127094.82469680264</v>
      </c>
      <c r="M145" s="19">
        <v>530</v>
      </c>
      <c r="N145" s="22">
        <f t="shared" si="11"/>
        <v>1871.1888847499999</v>
      </c>
      <c r="O145" s="4">
        <v>14.261100000000001</v>
      </c>
      <c r="P145" s="12">
        <f t="shared" si="12"/>
        <v>3241.6106251677857</v>
      </c>
      <c r="Q145" s="21">
        <f t="shared" si="7"/>
        <v>50185.941480960086</v>
      </c>
      <c r="R145" s="14">
        <f>'[4]Table 3'!O81</f>
        <v>8655.3539972562266</v>
      </c>
      <c r="S145" s="21">
        <f>'[1]TABLE 3!'!F146</f>
        <v>247935.19569621477</v>
      </c>
      <c r="T145" s="21">
        <f t="shared" si="13"/>
        <v>306776.49117443105</v>
      </c>
      <c r="U145" s="22">
        <v>18457.843779999996</v>
      </c>
      <c r="V145" s="26">
        <v>1998.7456139999997</v>
      </c>
      <c r="W145" s="26">
        <v>2494.9185130000001</v>
      </c>
      <c r="X145" s="22">
        <f>'[2]Wood E. Proj.'!$T65*1000</f>
        <v>2470.4730284491757</v>
      </c>
      <c r="Y145" s="22">
        <f>'[2]Wood E. Proj.'!$U65*1000</f>
        <v>771.1375967186101</v>
      </c>
      <c r="Z145" s="21">
        <f t="shared" si="8"/>
        <v>50185.941480960086</v>
      </c>
      <c r="AA145" s="10"/>
      <c r="AB145" s="22"/>
      <c r="AC145" s="26"/>
      <c r="AD145" s="26"/>
    </row>
    <row r="146" spans="1:30" ht="15">
      <c r="A146" s="10">
        <v>2042</v>
      </c>
      <c r="B146" s="11">
        <f>[3]A!B996</f>
        <v>10789.3</v>
      </c>
      <c r="C146" s="23">
        <f>[3]A!B1073</f>
        <v>24952.6</v>
      </c>
      <c r="D146" s="12"/>
      <c r="E146" s="12">
        <v>1304.4808299999995</v>
      </c>
      <c r="F146" s="24">
        <f>[3]A!B919</f>
        <v>40384</v>
      </c>
      <c r="G146" s="12">
        <f>[3]A!K611</f>
        <v>13856.43</v>
      </c>
      <c r="H146" s="12"/>
      <c r="I146" s="12">
        <f t="shared" si="9"/>
        <v>9315.3347149999972</v>
      </c>
      <c r="J146" s="25">
        <f t="shared" si="10"/>
        <v>6021.6785009999994</v>
      </c>
      <c r="K146" s="12"/>
      <c r="L146" s="12">
        <f>'[1]Pulp,P&amp;BD'!C53</f>
        <v>128557.93969128995</v>
      </c>
      <c r="M146" s="19">
        <v>530</v>
      </c>
      <c r="N146" s="22">
        <f t="shared" si="11"/>
        <v>1848.0731437500001</v>
      </c>
      <c r="O146" s="4">
        <v>14.329800000000001</v>
      </c>
      <c r="P146" s="12">
        <f t="shared" si="12"/>
        <v>3265.5738475415915</v>
      </c>
      <c r="Q146" s="21">
        <f t="shared" si="7"/>
        <v>50555.242228529583</v>
      </c>
      <c r="R146" s="14">
        <f>'[4]Table 3'!O82</f>
        <v>8635.39311549999</v>
      </c>
      <c r="S146" s="21">
        <f>'[1]TABLE 3!'!F147</f>
        <v>249758.35413644608</v>
      </c>
      <c r="T146" s="21">
        <f t="shared" si="13"/>
        <v>308948.98948047566</v>
      </c>
      <c r="U146" s="22">
        <v>18630.669429999994</v>
      </c>
      <c r="V146" s="26">
        <v>2007.2261669999998</v>
      </c>
      <c r="W146" s="26">
        <v>2464.0975250000001</v>
      </c>
      <c r="X146" s="22">
        <f>'[2]Wood E. Proj.'!$T66*1000</f>
        <v>2488.1931187001837</v>
      </c>
      <c r="Y146" s="22">
        <f>'[2]Wood E. Proj.'!$U66*1000</f>
        <v>777.38072884140786</v>
      </c>
      <c r="Z146" s="21">
        <f t="shared" si="8"/>
        <v>50555.242228529583</v>
      </c>
      <c r="AA146" s="10"/>
      <c r="AB146" s="22"/>
      <c r="AC146" s="26"/>
      <c r="AD146" s="26"/>
    </row>
    <row r="147" spans="1:30" ht="15">
      <c r="A147" s="10">
        <v>2043</v>
      </c>
      <c r="B147" s="11">
        <f>[3]A!B997</f>
        <v>10803.1</v>
      </c>
      <c r="C147" s="23">
        <f>[3]A!B1074</f>
        <v>25355.9</v>
      </c>
      <c r="D147" s="12"/>
      <c r="E147" s="12">
        <v>1276.3728799999997</v>
      </c>
      <c r="F147" s="24">
        <f>[3]A!B920</f>
        <v>40797.5</v>
      </c>
      <c r="G147" s="12">
        <f>[3]A!K612</f>
        <v>13890.83</v>
      </c>
      <c r="H147" s="12"/>
      <c r="I147" s="12">
        <f t="shared" si="9"/>
        <v>9402.2208699999992</v>
      </c>
      <c r="J147" s="25">
        <f t="shared" si="10"/>
        <v>6047.0718929999994</v>
      </c>
      <c r="K147" s="12"/>
      <c r="L147" s="12">
        <f>'[1]Pulp,P&amp;BD'!C54</f>
        <v>127620.82050716647</v>
      </c>
      <c r="M147" s="19">
        <v>530</v>
      </c>
      <c r="N147" s="22">
        <f t="shared" si="11"/>
        <v>1824.607098</v>
      </c>
      <c r="O147" s="4">
        <v>14.400600000000001</v>
      </c>
      <c r="P147" s="12">
        <f t="shared" si="12"/>
        <v>3290.025044327162</v>
      </c>
      <c r="Q147" s="21">
        <f t="shared" si="7"/>
        <v>50932.072343393244</v>
      </c>
      <c r="R147" s="14">
        <f>'[4]Table 3'!O83</f>
        <v>8616.2869543555826</v>
      </c>
      <c r="S147" s="21">
        <f>'[1]TABLE 3!'!F148</f>
        <v>249476.28232236381</v>
      </c>
      <c r="T147" s="21">
        <f t="shared" si="13"/>
        <v>309024.64162011264</v>
      </c>
      <c r="U147" s="22">
        <v>18804.441739999998</v>
      </c>
      <c r="V147" s="26">
        <v>2015.6906309999997</v>
      </c>
      <c r="W147" s="26">
        <v>2432.8094639999999</v>
      </c>
      <c r="X147" s="22">
        <f>'[2]Wood E. Proj.'!$T67*1000</f>
        <v>2506.2769751699097</v>
      </c>
      <c r="Y147" s="22">
        <f>'[2]Wood E. Proj.'!$U67*1000</f>
        <v>783.74806915725219</v>
      </c>
      <c r="Z147" s="21">
        <f t="shared" si="8"/>
        <v>50932.072343393244</v>
      </c>
      <c r="AA147" s="10"/>
      <c r="AB147" s="22"/>
      <c r="AC147" s="26"/>
      <c r="AD147" s="26"/>
    </row>
    <row r="148" spans="1:30" ht="15">
      <c r="A148" s="10">
        <v>2044</v>
      </c>
      <c r="B148" s="11">
        <f>[3]A!B998</f>
        <v>10792</v>
      </c>
      <c r="C148" s="23">
        <f>[3]A!B1075</f>
        <v>25716.5</v>
      </c>
      <c r="D148" s="12"/>
      <c r="E148" s="12">
        <v>1247.8014209999997</v>
      </c>
      <c r="F148" s="24">
        <f>[3]A!B921</f>
        <v>41138</v>
      </c>
      <c r="G148" s="12">
        <f>[3]A!K613</f>
        <v>13915.24</v>
      </c>
      <c r="H148" s="12"/>
      <c r="I148" s="12">
        <f t="shared" si="9"/>
        <v>9489.580364999998</v>
      </c>
      <c r="J148" s="25">
        <f t="shared" si="10"/>
        <v>6072.4170149999991</v>
      </c>
      <c r="K148" s="12"/>
      <c r="L148" s="12">
        <f>'[1]Pulp,P&amp;BD'!C55</f>
        <v>130279.64785005513</v>
      </c>
      <c r="M148" s="19">
        <v>530</v>
      </c>
      <c r="N148" s="22">
        <f t="shared" si="11"/>
        <v>1800.7907467499997</v>
      </c>
      <c r="O148" s="4">
        <v>14.4643</v>
      </c>
      <c r="P148" s="12">
        <f t="shared" si="12"/>
        <v>3315.0637351541882</v>
      </c>
      <c r="Q148" s="21">
        <f t="shared" si="7"/>
        <v>51317.971654086301</v>
      </c>
      <c r="R148" s="14">
        <f>'[4]Table 3'!O84</f>
        <v>8598.0099396143232</v>
      </c>
      <c r="S148" s="21">
        <f>'[1]TABLE 3!'!F149</f>
        <v>254228.17980773363</v>
      </c>
      <c r="T148" s="21">
        <f t="shared" si="13"/>
        <v>314144.16140143422</v>
      </c>
      <c r="U148" s="22">
        <v>18979.160729999996</v>
      </c>
      <c r="V148" s="26">
        <v>2024.1390049999995</v>
      </c>
      <c r="W148" s="26">
        <v>2401.0543289999996</v>
      </c>
      <c r="X148" s="22">
        <f>'[2]Wood E. Proj.'!$T68*1000</f>
        <v>2524.8001502005823</v>
      </c>
      <c r="Y148" s="22">
        <f>'[2]Wood E. Proj.'!$U68*1000</f>
        <v>790.26358495360614</v>
      </c>
      <c r="Z148" s="21">
        <f t="shared" si="8"/>
        <v>51317.971654086301</v>
      </c>
      <c r="AA148" s="10"/>
      <c r="AB148" s="22"/>
      <c r="AC148" s="26"/>
      <c r="AD148" s="26"/>
    </row>
    <row r="149" spans="1:30" ht="15">
      <c r="A149" s="10">
        <v>2045</v>
      </c>
      <c r="B149" s="11">
        <f>[3]A!B999</f>
        <v>10786.5</v>
      </c>
      <c r="C149" s="23">
        <f>[3]A!B1076</f>
        <v>26105.5</v>
      </c>
      <c r="D149" s="12"/>
      <c r="E149" s="12">
        <v>1218.7664529999997</v>
      </c>
      <c r="F149" s="24">
        <f>[3]A!B922</f>
        <v>41479.599999999999</v>
      </c>
      <c r="G149" s="12">
        <f>[3]A!K614</f>
        <v>13945.170000000002</v>
      </c>
      <c r="H149" s="12"/>
      <c r="I149" s="12">
        <f t="shared" si="9"/>
        <v>9577.4131949999955</v>
      </c>
      <c r="J149" s="25">
        <f t="shared" si="10"/>
        <v>6097.7138669999986</v>
      </c>
      <c r="K149" s="12"/>
      <c r="L149" s="12">
        <f>'[1]Pulp,P&amp;BD'!C56</f>
        <v>130739.4218302095</v>
      </c>
      <c r="M149" s="19">
        <v>530</v>
      </c>
      <c r="N149" s="22">
        <f t="shared" si="11"/>
        <v>1776.6240907500001</v>
      </c>
      <c r="O149" s="4">
        <v>14.531599999999999</v>
      </c>
      <c r="P149" s="12">
        <f t="shared" si="12"/>
        <v>3339.2508139989477</v>
      </c>
      <c r="Q149" s="21">
        <f t="shared" si="7"/>
        <v>51690.662290931032</v>
      </c>
      <c r="R149" s="14">
        <f>'[4]Table 3'!O85</f>
        <v>8580.5372154321285</v>
      </c>
      <c r="S149" s="21">
        <f>'[1]TABLE 3!'!F150</f>
        <v>254227.32842211745</v>
      </c>
      <c r="T149" s="21">
        <f t="shared" si="13"/>
        <v>314498.52792848065</v>
      </c>
      <c r="U149" s="22">
        <v>19154.826389999991</v>
      </c>
      <c r="V149" s="26">
        <v>2032.5712889999995</v>
      </c>
      <c r="W149" s="26">
        <v>2368.8321209999999</v>
      </c>
      <c r="X149" s="22">
        <f>'[2]Wood E. Proj.'!$T69*1000</f>
        <v>2542.666546246418</v>
      </c>
      <c r="Y149" s="22">
        <f>'[2]Wood E. Proj.'!$U69*1000</f>
        <v>796.58426775252985</v>
      </c>
      <c r="Z149" s="21">
        <f t="shared" si="8"/>
        <v>51690.662290931032</v>
      </c>
      <c r="AA149" s="10"/>
      <c r="AB149" s="22"/>
      <c r="AC149" s="26"/>
      <c r="AD149" s="26"/>
    </row>
    <row r="150" spans="1:30" ht="15">
      <c r="A150" s="10">
        <v>2046</v>
      </c>
      <c r="B150" s="11">
        <f>[3]A!B1000</f>
        <v>10783</v>
      </c>
      <c r="C150" s="23">
        <f>[3]A!B1077</f>
        <v>26237.8</v>
      </c>
      <c r="D150" s="12"/>
      <c r="E150" s="12">
        <v>1189.2679749999995</v>
      </c>
      <c r="F150" s="24">
        <f>[3]A!B923</f>
        <v>41873.800000000003</v>
      </c>
      <c r="G150" s="12">
        <f>[3]A!K615</f>
        <v>13970.26</v>
      </c>
      <c r="H150" s="12"/>
      <c r="I150" s="12">
        <f t="shared" si="9"/>
        <v>9665.7193599999973</v>
      </c>
      <c r="J150" s="25">
        <f t="shared" si="10"/>
        <v>6122.9624519999988</v>
      </c>
      <c r="K150" s="12"/>
      <c r="L150" s="12">
        <f>'[1]Pulp,P&amp;BD'!C57</f>
        <v>131047.65678059535</v>
      </c>
      <c r="M150" s="19">
        <v>530</v>
      </c>
      <c r="N150" s="22">
        <f t="shared" si="11"/>
        <v>1752.1071285000003</v>
      </c>
      <c r="O150" s="4">
        <v>14.597099999999999</v>
      </c>
      <c r="P150" s="12">
        <f t="shared" si="12"/>
        <v>3360.6897023681636</v>
      </c>
      <c r="Q150" s="21">
        <f t="shared" si="7"/>
        <v>52020.788060533065</v>
      </c>
      <c r="R150" s="14">
        <f>'[4]Table 3'!O86</f>
        <v>8563.8446723285069</v>
      </c>
      <c r="S150" s="21">
        <f>'[1]TABLE 3!'!F151</f>
        <v>254387.36363726694</v>
      </c>
      <c r="T150" s="21">
        <f t="shared" si="13"/>
        <v>314971.99637012853</v>
      </c>
      <c r="U150" s="22">
        <v>19331.438719999995</v>
      </c>
      <c r="V150" s="26">
        <v>2040.9874839999995</v>
      </c>
      <c r="W150" s="26">
        <v>2336.1428380000002</v>
      </c>
      <c r="X150" s="22">
        <f>'[2]Wood E. Proj.'!$T70*1000</f>
        <v>2558.4327566348238</v>
      </c>
      <c r="Y150" s="22">
        <f>'[2]Wood E. Proj.'!$U70*1000</f>
        <v>802.25694573333988</v>
      </c>
      <c r="Z150" s="21">
        <f t="shared" si="8"/>
        <v>52020.788060533065</v>
      </c>
      <c r="AA150" s="10"/>
      <c r="AB150" s="22"/>
      <c r="AC150" s="26"/>
      <c r="AD150" s="26"/>
    </row>
    <row r="151" spans="1:30" ht="15">
      <c r="A151" s="10">
        <v>2047</v>
      </c>
      <c r="B151" s="11">
        <f>[3]A!B1001</f>
        <v>10777.3</v>
      </c>
      <c r="C151" s="23">
        <f>[3]A!B1078</f>
        <v>26636.7</v>
      </c>
      <c r="D151" s="12"/>
      <c r="E151" s="12">
        <v>1159.3059889999995</v>
      </c>
      <c r="F151" s="24">
        <f>[3]A!B924</f>
        <v>42257.7</v>
      </c>
      <c r="G151" s="12">
        <f>[3]A!K616</f>
        <v>13996.07</v>
      </c>
      <c r="H151" s="12"/>
      <c r="I151" s="12">
        <f t="shared" si="9"/>
        <v>9754.4988649999977</v>
      </c>
      <c r="J151" s="25">
        <f t="shared" si="10"/>
        <v>6148.162766999998</v>
      </c>
      <c r="K151" s="12"/>
      <c r="L151" s="12">
        <f>'[1]Pulp,P&amp;BD'!C58</f>
        <v>132069.42491730978</v>
      </c>
      <c r="M151" s="19">
        <v>530</v>
      </c>
      <c r="N151" s="22">
        <f t="shared" si="11"/>
        <v>1727.23986225</v>
      </c>
      <c r="O151" s="4">
        <v>14.666</v>
      </c>
      <c r="P151" s="12">
        <f t="shared" si="12"/>
        <v>3384.5068250304557</v>
      </c>
      <c r="Q151" s="21">
        <f t="shared" si="7"/>
        <v>52387.703533651482</v>
      </c>
      <c r="R151" s="14">
        <f>'[4]Table 3'!O87</f>
        <v>8547.9089250265242</v>
      </c>
      <c r="S151" s="21">
        <f>'[1]TABLE 3!'!F152</f>
        <v>257013.92362439277</v>
      </c>
      <c r="T151" s="21">
        <f t="shared" si="13"/>
        <v>317949.53608307079</v>
      </c>
      <c r="U151" s="22">
        <v>19508.997729999995</v>
      </c>
      <c r="V151" s="26">
        <v>2049.3875889999995</v>
      </c>
      <c r="W151" s="26">
        <v>2302.9864830000001</v>
      </c>
      <c r="X151" s="22">
        <f>'[2]Wood E. Proj.'!$T71*1000</f>
        <v>2576.0019546321791</v>
      </c>
      <c r="Y151" s="22">
        <f>'[2]Wood E. Proj.'!$U71*1000</f>
        <v>808.50487039827647</v>
      </c>
      <c r="Z151" s="21">
        <f t="shared" si="8"/>
        <v>52387.703533651482</v>
      </c>
      <c r="AA151" s="10"/>
      <c r="AB151" s="22"/>
      <c r="AC151" s="26"/>
      <c r="AD151" s="26"/>
    </row>
    <row r="152" spans="1:30" ht="15">
      <c r="A152" s="10">
        <v>2048</v>
      </c>
      <c r="B152" s="11">
        <f>[3]A!B1002</f>
        <v>10773.9</v>
      </c>
      <c r="C152" s="23">
        <f>[3]A!B1079</f>
        <v>27063.9</v>
      </c>
      <c r="D152" s="12"/>
      <c r="E152" s="12">
        <v>1128.8804939999995</v>
      </c>
      <c r="F152" s="24">
        <f>[3]A!B925</f>
        <v>42540.1</v>
      </c>
      <c r="G152" s="12">
        <f>[3]A!K617</f>
        <v>14023.25</v>
      </c>
      <c r="H152" s="12"/>
      <c r="I152" s="12">
        <f t="shared" si="9"/>
        <v>9843.7517049999969</v>
      </c>
      <c r="J152" s="25">
        <f t="shared" si="10"/>
        <v>6173.3148119999987</v>
      </c>
      <c r="K152" s="12"/>
      <c r="L152" s="12">
        <f>'[1]Pulp,P&amp;BD'!C59</f>
        <v>132670.61675854467</v>
      </c>
      <c r="M152" s="19">
        <v>530</v>
      </c>
      <c r="N152" s="22">
        <f t="shared" si="11"/>
        <v>1702.02228975</v>
      </c>
      <c r="O152" s="4">
        <v>14.7424</v>
      </c>
      <c r="P152" s="12">
        <f t="shared" si="12"/>
        <v>3408.451997773911</v>
      </c>
      <c r="Q152" s="21">
        <f t="shared" si="7"/>
        <v>52756.576293178172</v>
      </c>
      <c r="R152" s="14">
        <f>'[4]Table 3'!O88</f>
        <v>8532.7072806404285</v>
      </c>
      <c r="S152" s="21">
        <f>'[1]TABLE 3!'!F153</f>
        <v>257929.4170530228</v>
      </c>
      <c r="T152" s="21">
        <f t="shared" si="13"/>
        <v>319218.7006268414</v>
      </c>
      <c r="U152" s="22">
        <v>19687.503409999994</v>
      </c>
      <c r="V152" s="26">
        <v>2057.7716039999996</v>
      </c>
      <c r="W152" s="26">
        <v>2269.363053</v>
      </c>
      <c r="X152" s="22">
        <f>'[2]Wood E. Proj.'!$T72*1000</f>
        <v>2593.6606776759136</v>
      </c>
      <c r="Y152" s="22">
        <f>'[2]Wood E. Proj.'!$U72*1000</f>
        <v>814.7913200979973</v>
      </c>
      <c r="Z152" s="21">
        <f t="shared" si="8"/>
        <v>52756.576293178172</v>
      </c>
      <c r="AA152" s="10"/>
      <c r="AB152" s="22"/>
      <c r="AC152" s="26"/>
      <c r="AD152" s="26"/>
    </row>
    <row r="153" spans="1:30" ht="15">
      <c r="A153" s="10">
        <v>2049</v>
      </c>
      <c r="B153" s="11">
        <f>[3]A!B1003</f>
        <v>10770.1</v>
      </c>
      <c r="C153" s="23">
        <f>[3]A!B1080</f>
        <v>27459.3</v>
      </c>
      <c r="D153" s="12"/>
      <c r="E153" s="12">
        <v>1097.9914889999993</v>
      </c>
      <c r="F153" s="24">
        <f>[3]A!B926</f>
        <v>42964.3</v>
      </c>
      <c r="G153" s="12">
        <f>[3]A!K618</f>
        <v>14051.310000000001</v>
      </c>
      <c r="H153" s="12"/>
      <c r="I153" s="12">
        <f t="shared" si="9"/>
        <v>9933.4778849999966</v>
      </c>
      <c r="J153" s="25">
        <f t="shared" si="10"/>
        <v>6198.4185899999993</v>
      </c>
      <c r="K153" s="12"/>
      <c r="L153" s="12">
        <f>'[1]Pulp,P&amp;BD'!C60</f>
        <v>133160.62017640573</v>
      </c>
      <c r="M153" s="19">
        <v>530</v>
      </c>
      <c r="N153" s="22">
        <f t="shared" si="11"/>
        <v>1676.4544125000002</v>
      </c>
      <c r="O153" s="4">
        <v>14.8101</v>
      </c>
      <c r="P153" s="12">
        <f t="shared" si="12"/>
        <v>3432.5301257187207</v>
      </c>
      <c r="Q153" s="21">
        <f t="shared" si="7"/>
        <v>53127.482059677248</v>
      </c>
      <c r="R153" s="14">
        <f>'[4]Table 3'!O89</f>
        <v>8518.2177234962382</v>
      </c>
      <c r="S153" s="21">
        <f>'[1]TABLE 3!'!F154</f>
        <v>259206.93336767805</v>
      </c>
      <c r="T153" s="21">
        <f t="shared" si="13"/>
        <v>320852.63315085153</v>
      </c>
      <c r="U153" s="22">
        <v>19866.955769999993</v>
      </c>
      <c r="V153" s="26">
        <v>2066.1395299999999</v>
      </c>
      <c r="W153" s="26">
        <v>2235.2725500000001</v>
      </c>
      <c r="X153" s="22">
        <f>'[2]Wood E. Proj.'!$T73*1000</f>
        <v>2611.4125936727996</v>
      </c>
      <c r="Y153" s="22">
        <f>'[2]Wood E. Proj.'!$U73*1000</f>
        <v>821.11753204592105</v>
      </c>
      <c r="Z153" s="21">
        <f t="shared" si="8"/>
        <v>53127.482059677248</v>
      </c>
      <c r="AA153" s="10"/>
      <c r="AB153" s="22"/>
      <c r="AC153" s="26"/>
      <c r="AD153" s="26"/>
    </row>
    <row r="154" spans="1:30" ht="15">
      <c r="A154" s="10">
        <v>2050</v>
      </c>
      <c r="B154" s="11">
        <f>[3]A!B1004</f>
        <v>10761.3</v>
      </c>
      <c r="C154" s="23">
        <f>[3]A!B1081</f>
        <v>27892.7</v>
      </c>
      <c r="D154" s="12"/>
      <c r="E154" s="12">
        <v>1066</v>
      </c>
      <c r="F154" s="24">
        <f>[3]A!B927</f>
        <v>43310.3</v>
      </c>
      <c r="G154" s="12">
        <f>[3]A!K619</f>
        <v>14075.609999999999</v>
      </c>
      <c r="H154" s="12"/>
      <c r="I154" s="12">
        <f t="shared" si="9"/>
        <v>9984</v>
      </c>
      <c r="J154" s="25">
        <f t="shared" si="10"/>
        <v>6216</v>
      </c>
      <c r="K154" s="12"/>
      <c r="L154" s="12">
        <f>'[1]Pulp,P&amp;BD'!C61</f>
        <v>135105.06593164278</v>
      </c>
      <c r="M154" s="19">
        <v>530</v>
      </c>
      <c r="N154" s="22">
        <f t="shared" si="11"/>
        <v>1655.25</v>
      </c>
      <c r="O154" s="4">
        <v>14.9147</v>
      </c>
      <c r="P154" s="12">
        <f t="shared" si="12"/>
        <v>3456.746173310491</v>
      </c>
      <c r="Q154" s="21">
        <f>Z154</f>
        <v>53500.497461728475</v>
      </c>
      <c r="R154" s="14">
        <f>'[4]Table 3'!O90</f>
        <v>8504.4188900324607</v>
      </c>
      <c r="S154" s="21">
        <f>'[1]TABLE 3!'!F155</f>
        <v>261849.96724208479</v>
      </c>
      <c r="T154" s="21">
        <f t="shared" si="13"/>
        <v>323854.88359384571</v>
      </c>
      <c r="U154" s="22">
        <v>19968</v>
      </c>
      <c r="V154" s="26">
        <v>2072</v>
      </c>
      <c r="W154" s="26">
        <v>2207</v>
      </c>
      <c r="X154" s="22">
        <f>'[2]Wood E. Proj.'!$T74*1000</f>
        <v>2629.2614123935291</v>
      </c>
      <c r="Y154" s="22">
        <f>'[2]Wood E. Proj.'!$U74*1000</f>
        <v>827.48476091696193</v>
      </c>
      <c r="Z154" s="21">
        <f t="shared" si="8"/>
        <v>53500.497461728475</v>
      </c>
      <c r="AA154" s="10"/>
      <c r="AB154" s="22"/>
      <c r="AC154" s="26"/>
      <c r="AD154" s="26"/>
    </row>
    <row r="155" spans="1:30">
      <c r="X155" s="22"/>
      <c r="Y155" s="22"/>
    </row>
    <row r="156" spans="1:30" ht="11">
      <c r="A156" s="29" t="s">
        <v>38</v>
      </c>
      <c r="B156" s="30" t="s">
        <v>39</v>
      </c>
    </row>
    <row r="157" spans="1:30" ht="16.5" customHeight="1">
      <c r="B157" s="31" t="s">
        <v>40</v>
      </c>
    </row>
    <row r="158" spans="1:30" ht="40.5" customHeight="1">
      <c r="B158" s="32" t="s">
        <v>41</v>
      </c>
      <c r="C158" s="33"/>
      <c r="D158" s="33"/>
      <c r="E158" s="33"/>
      <c r="F158" s="33"/>
      <c r="G158" s="33"/>
      <c r="H158" s="33"/>
      <c r="I158" s="33"/>
      <c r="J158" s="33"/>
      <c r="K158" s="33"/>
      <c r="L158" s="33"/>
      <c r="M158" s="33"/>
      <c r="N158" s="33"/>
      <c r="O158" s="34"/>
    </row>
    <row r="159" spans="1:30" ht="18" customHeight="1">
      <c r="B159" s="31" t="s">
        <v>42</v>
      </c>
    </row>
    <row r="160" spans="1:30" ht="35.25" customHeight="1">
      <c r="B160" s="32" t="s">
        <v>43</v>
      </c>
      <c r="C160" s="35"/>
      <c r="D160" s="35"/>
      <c r="E160" s="35"/>
      <c r="F160" s="35"/>
      <c r="G160" s="35"/>
      <c r="H160" s="35"/>
      <c r="I160" s="35"/>
      <c r="J160" s="35"/>
      <c r="K160" s="35"/>
      <c r="L160" s="35"/>
      <c r="M160" s="35"/>
      <c r="N160" s="35"/>
      <c r="O160" s="36"/>
    </row>
    <row r="161" spans="1:16" ht="15">
      <c r="B161" s="32" t="s">
        <v>44</v>
      </c>
      <c r="C161" s="35"/>
      <c r="D161" s="35"/>
      <c r="E161" s="35"/>
      <c r="F161" s="35"/>
      <c r="G161" s="35"/>
      <c r="H161" s="35"/>
      <c r="I161" s="35"/>
      <c r="J161" s="35"/>
      <c r="K161" s="35"/>
      <c r="L161" s="35"/>
      <c r="M161" s="35"/>
      <c r="N161" s="35"/>
      <c r="O161" s="36"/>
    </row>
    <row r="162" spans="1:16" ht="15">
      <c r="B162" s="32" t="s">
        <v>45</v>
      </c>
      <c r="C162" s="35"/>
      <c r="D162" s="35"/>
      <c r="E162" s="35"/>
      <c r="F162" s="35"/>
      <c r="G162" s="35"/>
      <c r="H162" s="35"/>
      <c r="I162" s="35"/>
      <c r="J162" s="35"/>
      <c r="K162" s="35"/>
      <c r="L162" s="35"/>
      <c r="M162" s="35"/>
      <c r="N162" s="35"/>
      <c r="O162" s="36"/>
    </row>
    <row r="163" spans="1:16">
      <c r="B163" s="31" t="s">
        <v>46</v>
      </c>
    </row>
    <row r="164" spans="1:16" ht="15">
      <c r="B164" s="32" t="s">
        <v>47</v>
      </c>
      <c r="C164" s="35"/>
      <c r="D164" s="35"/>
      <c r="E164" s="35"/>
      <c r="F164" s="35"/>
      <c r="G164" s="35"/>
      <c r="H164" s="35"/>
      <c r="I164" s="35"/>
      <c r="J164" s="35"/>
      <c r="K164" s="35"/>
      <c r="L164" s="35"/>
      <c r="M164" s="35"/>
      <c r="N164" s="35"/>
      <c r="O164" s="36"/>
    </row>
    <row r="165" spans="1:16" ht="15">
      <c r="B165" s="32" t="s">
        <v>48</v>
      </c>
      <c r="C165" s="37"/>
      <c r="D165" s="37"/>
      <c r="E165" s="37"/>
      <c r="F165" s="37"/>
      <c r="G165" s="37"/>
      <c r="H165" s="37"/>
      <c r="I165" s="37"/>
      <c r="J165" s="37"/>
      <c r="K165" s="37"/>
      <c r="L165" s="37"/>
      <c r="M165" s="37"/>
      <c r="N165" s="37"/>
      <c r="O165" s="38"/>
    </row>
    <row r="166" spans="1:16" ht="15">
      <c r="B166" s="32" t="s">
        <v>49</v>
      </c>
      <c r="C166" s="35"/>
      <c r="D166" s="35"/>
      <c r="E166" s="35"/>
      <c r="F166" s="35"/>
      <c r="G166" s="35"/>
      <c r="H166" s="35"/>
      <c r="I166" s="35"/>
      <c r="J166" s="35"/>
      <c r="K166" s="35"/>
      <c r="L166" s="35"/>
      <c r="M166" s="35"/>
      <c r="N166" s="35"/>
      <c r="O166" s="36"/>
    </row>
    <row r="167" spans="1:16" ht="11">
      <c r="A167" s="29" t="s">
        <v>50</v>
      </c>
      <c r="B167" s="4" t="s">
        <v>51</v>
      </c>
    </row>
    <row r="168" spans="1:16" ht="15">
      <c r="B168" s="39"/>
      <c r="C168" s="40"/>
      <c r="D168" s="40"/>
      <c r="E168" s="40"/>
      <c r="F168" s="40"/>
      <c r="G168" s="40"/>
      <c r="H168" s="40"/>
      <c r="I168" s="40"/>
      <c r="J168" s="41"/>
      <c r="K168" s="41"/>
      <c r="L168" s="41"/>
      <c r="M168" s="41"/>
      <c r="N168" s="41"/>
      <c r="O168" s="41"/>
      <c r="P168" s="41"/>
    </row>
  </sheetData>
  <mergeCells count="7">
    <mergeCell ref="B166:N166"/>
    <mergeCell ref="B158:N158"/>
    <mergeCell ref="B160:N160"/>
    <mergeCell ref="B161:N161"/>
    <mergeCell ref="B162:N162"/>
    <mergeCell ref="B164:N164"/>
    <mergeCell ref="B165:N165"/>
  </mergeCells>
  <pageMargins left="0.7" right="0.7" top="0.75" bottom="0.75" header="0.3" footer="0.3"/>
  <pageSetup orientation="portrait" horizontalDpi="4294967292" verticalDpi="4294967292"/>
  <legacy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USFS Pham</cp:lastModifiedBy>
  <dcterms:created xsi:type="dcterms:W3CDTF">2015-10-14T00:32:13Z</dcterms:created>
  <dcterms:modified xsi:type="dcterms:W3CDTF">2017-04-29T21:31:40Z</dcterms:modified>
</cp:coreProperties>
</file>