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qiang\Desktop\"/>
    </mc:Choice>
  </mc:AlternateContent>
  <xr:revisionPtr revIDLastSave="0" documentId="13_ncr:1_{EFB29EE1-4B36-4120-ADE9-1E1616B88A4D}" xr6:coauthVersionLast="47" xr6:coauthVersionMax="47" xr10:uidLastSave="{00000000-0000-0000-0000-000000000000}"/>
  <bookViews>
    <workbookView xWindow="-120" yWindow="-16320" windowWidth="29040" windowHeight="15840" tabRatio="879" firstSheet="5" activeTab="5" xr2:uid="{00000000-000D-0000-FFFF-FFFF00000000}"/>
  </bookViews>
  <sheets>
    <sheet name="roll" sheetId="11" state="hidden" r:id="rId1"/>
    <sheet name="pitch" sheetId="10" state="hidden" r:id="rId2"/>
    <sheet name="roll_1" sheetId="13" state="hidden" r:id="rId3"/>
    <sheet name="roll_2" sheetId="16" state="hidden" r:id="rId4"/>
    <sheet name="pitch_1" sheetId="12" state="hidden" r:id="rId5"/>
    <sheet name="TEMPLATE" sheetId="43" r:id="rId6"/>
    <sheet name="SETTINGS" sheetId="59" r:id="rId7"/>
    <sheet name="DATASOURCE" sheetId="60" r:id="rId8"/>
    <sheet name="OUTPUT" sheetId="61" r:id="rId9"/>
    <sheet name="Sheet6" sheetId="54" state="hidden" r:id="rId10"/>
    <sheet name="RR3_1510" sheetId="30" state="hidden" r:id="rId11"/>
    <sheet name="RR8-RR2_4114 (L)" sheetId="37" state="hidden" r:id="rId12"/>
    <sheet name="RR6-RR2_4021 (L)" sheetId="38" state="hidden" r:id="rId13"/>
    <sheet name="RR1-RR9 (M)" sheetId="44" state="hidden" r:id="rId14"/>
    <sheet name="grillage web buckling (1stiff)" sheetId="23" state="hidden" r:id="rId15"/>
    <sheet name="Sheet3" sheetId="22" state="hidden" r:id="rId16"/>
    <sheet name="wing plate buckling" sheetId="9" state="hidden" r:id="rId17"/>
    <sheet name="summary" sheetId="18" state="hidden" r:id="rId18"/>
    <sheet name="Sheet2" sheetId="20" state="hidden" r:id="rId19"/>
  </sheets>
  <definedNames>
    <definedName name="_xlnm._FilterDatabase" localSheetId="9" hidden="1">Sheet6!$A$1:$J$260</definedName>
    <definedName name="d" localSheetId="13">'RR1-RR9 (M)'!$G$55</definedName>
    <definedName name="d" localSheetId="10">RR3_1510!$G$53</definedName>
    <definedName name="d" localSheetId="12">'RR6-RR2_4021 (L)'!$G$55</definedName>
    <definedName name="d" localSheetId="11">'RR8-RR2_4114 (L)'!$G$55</definedName>
    <definedName name="d" localSheetId="5">TEMPLATE!$G$42</definedName>
    <definedName name="h" localSheetId="13">'RR1-RR9 (M)'!$G$56</definedName>
    <definedName name="h" localSheetId="10">RR3_1510!$G$54</definedName>
    <definedName name="h" localSheetId="12">'RR6-RR2_4021 (L)'!$G$56</definedName>
    <definedName name="h" localSheetId="11">'RR8-RR2_4114 (L)'!$G$56</definedName>
    <definedName name="h" localSheetId="5">TEMPLATE!$G$43</definedName>
    <definedName name="_xlnm.Print_Area" localSheetId="14">'grillage web buckling (1stiff)'!$A$1:$M$184</definedName>
    <definedName name="_xlnm.Print_Area" localSheetId="13">'RR1-RR9 (M)'!$A$1:$L$206</definedName>
    <definedName name="_xlnm.Print_Area" localSheetId="10">RR3_1510!$A$1:$L$204</definedName>
    <definedName name="_xlnm.Print_Area" localSheetId="12">'RR6-RR2_4021 (L)'!$A$1:$L$206</definedName>
    <definedName name="_xlnm.Print_Area" localSheetId="11">'RR8-RR2_4114 (L)'!$A$1:$L$206</definedName>
    <definedName name="_xlnm.Print_Area" localSheetId="5">TEMPLATE!$A$1:$L$193</definedName>
    <definedName name="_xlnm.Print_Titles" localSheetId="13">'RR1-RR9 (M)'!$1:$16</definedName>
    <definedName name="_xlnm.Print_Titles" localSheetId="10">RR3_1510!$1:$16</definedName>
    <definedName name="_xlnm.Print_Titles" localSheetId="12">'RR6-RR2_4021 (L)'!$1:$16</definedName>
    <definedName name="_xlnm.Print_Titles" localSheetId="11">'RR8-RR2_4114 (L)'!$1:$16</definedName>
    <definedName name="_xlnm.Print_Titles" localSheetId="5">TEMPLATE!$1:$4</definedName>
  </definedNames>
  <calcPr calcId="191029"/>
</workbook>
</file>

<file path=xl/calcChain.xml><?xml version="1.0" encoding="utf-8"?>
<calcChain xmlns="http://schemas.openxmlformats.org/spreadsheetml/2006/main">
  <c r="I12" i="43" l="1"/>
  <c r="I13" i="43"/>
  <c r="I19" i="43"/>
  <c r="I28" i="43"/>
  <c r="I32" i="43" s="1"/>
  <c r="I29" i="43"/>
  <c r="I31" i="43"/>
  <c r="I34" i="43" s="1"/>
  <c r="I33" i="43"/>
  <c r="D166" i="43" s="1"/>
  <c r="I100" i="43"/>
  <c r="D133" i="43" s="1"/>
  <c r="I182" i="43"/>
  <c r="M182" i="43" s="1"/>
  <c r="M181" i="43"/>
  <c r="M180" i="43"/>
  <c r="M179" i="43"/>
  <c r="M178" i="43"/>
  <c r="F136" i="43"/>
  <c r="F134" i="43"/>
  <c r="C133" i="43"/>
  <c r="M128" i="43"/>
  <c r="D121" i="43"/>
  <c r="I186" i="43" s="1"/>
  <c r="M186" i="43" s="1"/>
  <c r="D119" i="43"/>
  <c r="M102" i="43"/>
  <c r="M101" i="43"/>
  <c r="M99" i="43"/>
  <c r="D164" i="43" s="1"/>
  <c r="F147" i="43" s="1"/>
  <c r="M98" i="43"/>
  <c r="M97" i="43"/>
  <c r="I41" i="43"/>
  <c r="M39" i="43"/>
  <c r="M27" i="43"/>
  <c r="M26" i="43"/>
  <c r="M25" i="43"/>
  <c r="M24" i="43"/>
  <c r="M23" i="43"/>
  <c r="M22" i="43"/>
  <c r="M15" i="43"/>
  <c r="M14" i="43"/>
  <c r="F121" i="43" l="1"/>
  <c r="D136" i="43"/>
  <c r="H136" i="43" s="1"/>
  <c r="D134" i="43"/>
  <c r="H134" i="43" s="1"/>
  <c r="D135" i="43"/>
  <c r="H135" i="43" s="1"/>
  <c r="M121" i="43"/>
  <c r="D127" i="43" s="1"/>
  <c r="F128" i="43" s="1"/>
  <c r="E54" i="43"/>
  <c r="M54" i="43" s="1"/>
  <c r="E133" i="43"/>
  <c r="I187" i="43"/>
  <c r="M34" i="43"/>
  <c r="E83" i="43" s="1"/>
  <c r="E61" i="43"/>
  <c r="E70" i="43"/>
  <c r="M166" i="43"/>
  <c r="E136" i="43"/>
  <c r="K19" i="43"/>
  <c r="E45" i="43"/>
  <c r="M45" i="43" s="1"/>
  <c r="M12" i="43"/>
  <c r="I192" i="43"/>
  <c r="M192" i="43" s="1"/>
  <c r="M100" i="43"/>
  <c r="M31" i="43"/>
  <c r="M33" i="43"/>
  <c r="E135" i="43" l="1"/>
  <c r="I135" i="43" s="1"/>
  <c r="K135" i="43" s="1"/>
  <c r="E134" i="43"/>
  <c r="I134" i="43" s="1"/>
  <c r="K134" i="43" s="1"/>
  <c r="E91" i="43"/>
  <c r="G91" i="43" s="1"/>
  <c r="E55" i="43"/>
  <c r="G55" i="43" s="1"/>
  <c r="M83" i="43"/>
  <c r="E84" i="43"/>
  <c r="G84" i="43" s="1"/>
  <c r="E74" i="43"/>
  <c r="G75" i="43" s="1"/>
  <c r="F70" i="43"/>
  <c r="G66" i="43"/>
  <c r="E65" i="43"/>
  <c r="F61" i="43"/>
  <c r="I136" i="43"/>
  <c r="K136" i="43" s="1"/>
  <c r="G136" i="43"/>
  <c r="J136" i="43" s="1"/>
  <c r="E46" i="43"/>
  <c r="G46" i="43" s="1"/>
  <c r="I133" i="43"/>
  <c r="K133" i="43" s="1"/>
  <c r="G133" i="43"/>
  <c r="J133" i="43" s="1"/>
  <c r="I188" i="43"/>
  <c r="K188" i="43" s="1"/>
  <c r="M187" i="43"/>
  <c r="E137" i="43" l="1"/>
  <c r="I139" i="43" s="1"/>
  <c r="G135" i="43"/>
  <c r="J135" i="43" s="1"/>
  <c r="G134" i="43"/>
  <c r="J134" i="43" s="1"/>
  <c r="J137" i="43" s="1"/>
  <c r="I140" i="43" s="1"/>
  <c r="M91" i="43"/>
  <c r="K137" i="43"/>
  <c r="I142" i="43" s="1"/>
  <c r="I143" i="43" s="1"/>
  <c r="M143" i="43" s="1"/>
  <c r="E75" i="43"/>
  <c r="M74" i="43"/>
  <c r="M139" i="43"/>
  <c r="D171" i="43"/>
  <c r="E66" i="43"/>
  <c r="M65" i="43"/>
  <c r="I191" i="43" s="1"/>
  <c r="I193" i="43" s="1"/>
  <c r="M142" i="43" l="1"/>
  <c r="M140" i="43"/>
  <c r="I141" i="43"/>
  <c r="I194" i="43"/>
  <c r="K194" i="43" s="1"/>
  <c r="M193" i="43"/>
  <c r="D167" i="43" l="1"/>
  <c r="M141" i="43"/>
  <c r="M167" i="43" l="1"/>
  <c r="D147" i="43"/>
  <c r="E147" i="43" l="1"/>
  <c r="D160" i="43"/>
  <c r="M160" i="43" s="1"/>
  <c r="M147" i="43"/>
  <c r="D154" i="43"/>
  <c r="M154" i="43" l="1"/>
  <c r="D173" i="43"/>
  <c r="F173" i="43" s="1"/>
  <c r="I21" i="44" l="1"/>
  <c r="I19" i="44"/>
  <c r="I23" i="44" s="1"/>
  <c r="I194" i="44"/>
  <c r="M194" i="44" s="1"/>
  <c r="M193" i="44"/>
  <c r="M192" i="44"/>
  <c r="M191" i="44"/>
  <c r="M190" i="44"/>
  <c r="D145" i="44"/>
  <c r="C145" i="44"/>
  <c r="M140" i="44"/>
  <c r="D133" i="44"/>
  <c r="D131" i="44"/>
  <c r="I114" i="44"/>
  <c r="F148" i="44" s="1"/>
  <c r="I113" i="44"/>
  <c r="F146" i="44" s="1"/>
  <c r="I112" i="44"/>
  <c r="M112" i="44" s="1"/>
  <c r="M111" i="44"/>
  <c r="M110" i="44"/>
  <c r="M109" i="44"/>
  <c r="I52" i="44"/>
  <c r="M50" i="44"/>
  <c r="I44" i="44"/>
  <c r="I204" i="44" s="1"/>
  <c r="I42" i="44"/>
  <c r="M42" i="44" s="1"/>
  <c r="I40" i="44"/>
  <c r="I39" i="44"/>
  <c r="I43" i="44" s="1"/>
  <c r="M38" i="44"/>
  <c r="M37" i="44"/>
  <c r="M36" i="44"/>
  <c r="M35" i="44"/>
  <c r="M34" i="44"/>
  <c r="M33" i="44"/>
  <c r="I30" i="44"/>
  <c r="M26" i="44"/>
  <c r="M25" i="44"/>
  <c r="D176" i="44" l="1"/>
  <c r="F159" i="44" s="1"/>
  <c r="E65" i="44"/>
  <c r="M65" i="44" s="1"/>
  <c r="E56" i="44"/>
  <c r="M56" i="44" s="1"/>
  <c r="I24" i="44"/>
  <c r="I198" i="44"/>
  <c r="M198" i="44" s="1"/>
  <c r="M204" i="44"/>
  <c r="D178" i="44"/>
  <c r="M178" i="44" s="1"/>
  <c r="E145" i="44"/>
  <c r="G145" i="44" s="1"/>
  <c r="J145" i="44" s="1"/>
  <c r="M133" i="44"/>
  <c r="D139" i="44" s="1"/>
  <c r="F140" i="44" s="1"/>
  <c r="C146" i="44"/>
  <c r="C148" i="44"/>
  <c r="M113" i="44"/>
  <c r="M44" i="44"/>
  <c r="M114" i="44"/>
  <c r="D147" i="44"/>
  <c r="I45" i="44"/>
  <c r="F133" i="44"/>
  <c r="I145" i="44" l="1"/>
  <c r="K145" i="44" s="1"/>
  <c r="I199" i="44"/>
  <c r="M199" i="44" s="1"/>
  <c r="M23" i="44"/>
  <c r="E103" i="44" s="1"/>
  <c r="G103" i="44" s="1"/>
  <c r="E66" i="44"/>
  <c r="G66" i="44" s="1"/>
  <c r="E57" i="44"/>
  <c r="G57" i="44" s="1"/>
  <c r="K30" i="44"/>
  <c r="D148" i="44"/>
  <c r="H148" i="44" s="1"/>
  <c r="E82" i="44"/>
  <c r="E72" i="44"/>
  <c r="M45" i="44"/>
  <c r="E95" i="44" s="1"/>
  <c r="M95" i="44" s="1"/>
  <c r="D146" i="44"/>
  <c r="E146" i="44" s="1"/>
  <c r="H147" i="44"/>
  <c r="E147" i="44"/>
  <c r="I21" i="38"/>
  <c r="I19" i="38"/>
  <c r="I21" i="37"/>
  <c r="I19" i="37"/>
  <c r="I200" i="44" l="1"/>
  <c r="K200" i="44" s="1"/>
  <c r="I24" i="38"/>
  <c r="I23" i="38"/>
  <c r="I24" i="37"/>
  <c r="I23" i="37"/>
  <c r="M103" i="44"/>
  <c r="H146" i="44"/>
  <c r="I146" i="44" s="1"/>
  <c r="K146" i="44" s="1"/>
  <c r="G146" i="44"/>
  <c r="J146" i="44" s="1"/>
  <c r="E96" i="44"/>
  <c r="G96" i="44" s="1"/>
  <c r="E86" i="44"/>
  <c r="F82" i="44"/>
  <c r="E76" i="44"/>
  <c r="M76" i="44" s="1"/>
  <c r="F72" i="44"/>
  <c r="I147" i="44"/>
  <c r="K147" i="44" s="1"/>
  <c r="G147" i="44"/>
  <c r="J147" i="44" s="1"/>
  <c r="E148" i="44"/>
  <c r="G87" i="44" l="1"/>
  <c r="M86" i="44"/>
  <c r="I203" i="44" s="1"/>
  <c r="I205" i="44" s="1"/>
  <c r="E87" i="44"/>
  <c r="I148" i="44"/>
  <c r="K148" i="44" s="1"/>
  <c r="K149" i="44" s="1"/>
  <c r="I154" i="44" s="1"/>
  <c r="G148" i="44"/>
  <c r="J148" i="44" s="1"/>
  <c r="J149" i="44" s="1"/>
  <c r="I152" i="44" s="1"/>
  <c r="E149" i="44"/>
  <c r="I151" i="44" s="1"/>
  <c r="E77" i="44"/>
  <c r="G77" i="44"/>
  <c r="I19" i="30"/>
  <c r="I206" i="44" l="1"/>
  <c r="K206" i="44" s="1"/>
  <c r="M205" i="44"/>
  <c r="I22" i="30"/>
  <c r="I21" i="30"/>
  <c r="I155" i="44"/>
  <c r="M155" i="44" s="1"/>
  <c r="M154" i="44"/>
  <c r="M151" i="44"/>
  <c r="D183" i="44"/>
  <c r="M152" i="44"/>
  <c r="I153" i="44"/>
  <c r="D179" i="44" l="1"/>
  <c r="M153" i="44"/>
  <c r="I194" i="38"/>
  <c r="M194" i="38" s="1"/>
  <c r="M193" i="38"/>
  <c r="M192" i="38"/>
  <c r="M191" i="38"/>
  <c r="M190" i="38"/>
  <c r="C145" i="38"/>
  <c r="M140" i="38"/>
  <c r="D133" i="38"/>
  <c r="D147" i="38" s="1"/>
  <c r="D131" i="38"/>
  <c r="I114" i="38"/>
  <c r="F148" i="38" s="1"/>
  <c r="I113" i="38"/>
  <c r="M113" i="38" s="1"/>
  <c r="I112" i="38"/>
  <c r="M112" i="38" s="1"/>
  <c r="M111" i="38"/>
  <c r="M110" i="38"/>
  <c r="M109" i="38"/>
  <c r="I52" i="38"/>
  <c r="M50" i="38"/>
  <c r="I44" i="38"/>
  <c r="I42" i="38"/>
  <c r="I45" i="38" s="1"/>
  <c r="E72" i="38" s="1"/>
  <c r="I40" i="38"/>
  <c r="I39" i="38"/>
  <c r="I43" i="38" s="1"/>
  <c r="M38" i="38"/>
  <c r="M37" i="38"/>
  <c r="M36" i="38"/>
  <c r="M35" i="38"/>
  <c r="M34" i="38"/>
  <c r="M33" i="38"/>
  <c r="I30" i="38"/>
  <c r="K30" i="38" s="1"/>
  <c r="M26" i="38"/>
  <c r="M25" i="38"/>
  <c r="M23" i="38"/>
  <c r="I194" i="37"/>
  <c r="M194" i="37" s="1"/>
  <c r="M193" i="37"/>
  <c r="M192" i="37"/>
  <c r="M191" i="37"/>
  <c r="M190" i="37"/>
  <c r="C145" i="37"/>
  <c r="M140" i="37"/>
  <c r="D133" i="37"/>
  <c r="I198" i="37" s="1"/>
  <c r="I199" i="37" s="1"/>
  <c r="D131" i="37"/>
  <c r="I114" i="37"/>
  <c r="M114" i="37" s="1"/>
  <c r="I113" i="37"/>
  <c r="M113" i="37" s="1"/>
  <c r="I112" i="37"/>
  <c r="M112" i="37" s="1"/>
  <c r="M111" i="37"/>
  <c r="M110" i="37"/>
  <c r="M109" i="37"/>
  <c r="I52" i="37"/>
  <c r="M50" i="37"/>
  <c r="I44" i="37"/>
  <c r="I42" i="37"/>
  <c r="E56" i="37" s="1"/>
  <c r="I40" i="37"/>
  <c r="I39" i="37"/>
  <c r="I43" i="37" s="1"/>
  <c r="M38" i="37"/>
  <c r="M37" i="37"/>
  <c r="M36" i="37"/>
  <c r="M35" i="37"/>
  <c r="M34" i="37"/>
  <c r="M33" i="37"/>
  <c r="I30" i="37"/>
  <c r="K30" i="37" s="1"/>
  <c r="M26" i="37"/>
  <c r="M25" i="37"/>
  <c r="M23" i="37"/>
  <c r="D176" i="37" l="1"/>
  <c r="F159" i="37" s="1"/>
  <c r="E56" i="38"/>
  <c r="M56" i="38" s="1"/>
  <c r="D176" i="38"/>
  <c r="F159" i="38" s="1"/>
  <c r="D178" i="38"/>
  <c r="I204" i="38"/>
  <c r="H147" i="38"/>
  <c r="D178" i="37"/>
  <c r="I204" i="37"/>
  <c r="M42" i="38"/>
  <c r="E103" i="38" s="1"/>
  <c r="I45" i="37"/>
  <c r="M45" i="37" s="1"/>
  <c r="E95" i="37"/>
  <c r="D145" i="37"/>
  <c r="E145" i="37" s="1"/>
  <c r="D145" i="38"/>
  <c r="E145" i="38" s="1"/>
  <c r="M133" i="38"/>
  <c r="D139" i="38" s="1"/>
  <c r="F140" i="38" s="1"/>
  <c r="I198" i="38"/>
  <c r="I199" i="38" s="1"/>
  <c r="M179" i="44"/>
  <c r="D159" i="44"/>
  <c r="E65" i="38"/>
  <c r="M65" i="38" s="1"/>
  <c r="E57" i="38"/>
  <c r="F146" i="38"/>
  <c r="C146" i="38"/>
  <c r="D146" i="38" s="1"/>
  <c r="M178" i="38"/>
  <c r="F72" i="38"/>
  <c r="C148" i="38"/>
  <c r="M114" i="38"/>
  <c r="E147" i="38"/>
  <c r="E82" i="38"/>
  <c r="F133" i="38"/>
  <c r="M44" i="38"/>
  <c r="E76" i="38" s="1"/>
  <c r="M45" i="38"/>
  <c r="E95" i="38" s="1"/>
  <c r="M95" i="38" s="1"/>
  <c r="E65" i="37"/>
  <c r="E66" i="37" s="1"/>
  <c r="G66" i="37" s="1"/>
  <c r="F148" i="37"/>
  <c r="M56" i="37"/>
  <c r="E57" i="37"/>
  <c r="M178" i="37"/>
  <c r="M198" i="37"/>
  <c r="M133" i="37"/>
  <c r="D139" i="37" s="1"/>
  <c r="F140" i="37" s="1"/>
  <c r="M42" i="37"/>
  <c r="E103" i="37" s="1"/>
  <c r="C146" i="37"/>
  <c r="C148" i="37"/>
  <c r="F146" i="37"/>
  <c r="M44" i="37"/>
  <c r="D147" i="37"/>
  <c r="F133" i="37"/>
  <c r="I112" i="30"/>
  <c r="I111" i="30"/>
  <c r="I50" i="30"/>
  <c r="E96" i="37" l="1"/>
  <c r="G96" i="37" s="1"/>
  <c r="M95" i="37"/>
  <c r="E82" i="37"/>
  <c r="G77" i="38"/>
  <c r="M76" i="38"/>
  <c r="G57" i="38"/>
  <c r="E66" i="38"/>
  <c r="G66" i="38" s="1"/>
  <c r="E72" i="37"/>
  <c r="F72" i="37" s="1"/>
  <c r="G57" i="37"/>
  <c r="G103" i="38"/>
  <c r="M103" i="38"/>
  <c r="G145" i="37"/>
  <c r="J145" i="37" s="1"/>
  <c r="I145" i="37"/>
  <c r="K145" i="37" s="1"/>
  <c r="M65" i="37"/>
  <c r="I145" i="38"/>
  <c r="K145" i="38" s="1"/>
  <c r="G145" i="38"/>
  <c r="J145" i="38" s="1"/>
  <c r="E146" i="38"/>
  <c r="G146" i="38" s="1"/>
  <c r="J146" i="38" s="1"/>
  <c r="D172" i="44"/>
  <c r="M172" i="44" s="1"/>
  <c r="E159" i="44"/>
  <c r="M159" i="44"/>
  <c r="D166" i="44" s="1"/>
  <c r="H146" i="38"/>
  <c r="E96" i="38"/>
  <c r="G96" i="38" s="1"/>
  <c r="M198" i="38"/>
  <c r="D148" i="38"/>
  <c r="E148" i="38" s="1"/>
  <c r="E77" i="38"/>
  <c r="E86" i="38"/>
  <c r="F82" i="38"/>
  <c r="M204" i="38"/>
  <c r="I147" i="38"/>
  <c r="K147" i="38" s="1"/>
  <c r="G147" i="38"/>
  <c r="J147" i="38" s="1"/>
  <c r="M204" i="37"/>
  <c r="G103" i="37"/>
  <c r="M103" i="37"/>
  <c r="E86" i="37"/>
  <c r="M86" i="37" s="1"/>
  <c r="F82" i="37"/>
  <c r="D146" i="37"/>
  <c r="H146" i="37" s="1"/>
  <c r="H147" i="37"/>
  <c r="E147" i="37"/>
  <c r="M199" i="37"/>
  <c r="I200" i="37"/>
  <c r="K200" i="37" s="1"/>
  <c r="D148" i="37"/>
  <c r="E148" i="37" s="1"/>
  <c r="E76" i="37" l="1"/>
  <c r="M76" i="37" s="1"/>
  <c r="I203" i="37" s="1"/>
  <c r="I146" i="38"/>
  <c r="K146" i="38" s="1"/>
  <c r="G87" i="38"/>
  <c r="M86" i="38"/>
  <c r="I203" i="38"/>
  <c r="I205" i="38" s="1"/>
  <c r="I206" i="38" s="1"/>
  <c r="K206" i="38" s="1"/>
  <c r="M166" i="44"/>
  <c r="D185" i="44"/>
  <c r="F185" i="44" s="1"/>
  <c r="H148" i="37"/>
  <c r="I148" i="37" s="1"/>
  <c r="K148" i="37" s="1"/>
  <c r="H148" i="38"/>
  <c r="I148" i="38" s="1"/>
  <c r="K148" i="38" s="1"/>
  <c r="K149" i="38" s="1"/>
  <c r="I154" i="38" s="1"/>
  <c r="G148" i="38"/>
  <c r="J148" i="38" s="1"/>
  <c r="J149" i="38" s="1"/>
  <c r="I152" i="38" s="1"/>
  <c r="E149" i="38"/>
  <c r="I151" i="38" s="1"/>
  <c r="E87" i="38"/>
  <c r="M199" i="38"/>
  <c r="I200" i="38"/>
  <c r="K200" i="38" s="1"/>
  <c r="G148" i="37"/>
  <c r="J148" i="37" s="1"/>
  <c r="E146" i="37"/>
  <c r="E87" i="37"/>
  <c r="E77" i="37"/>
  <c r="I205" i="37" s="1"/>
  <c r="M205" i="37" s="1"/>
  <c r="G147" i="37"/>
  <c r="J147" i="37" s="1"/>
  <c r="I147" i="37"/>
  <c r="K147" i="37" s="1"/>
  <c r="G87" i="37"/>
  <c r="G77" i="37"/>
  <c r="I192" i="30"/>
  <c r="M192" i="30" s="1"/>
  <c r="M191" i="30"/>
  <c r="M190" i="30"/>
  <c r="M188" i="30"/>
  <c r="F146" i="30"/>
  <c r="C146" i="30"/>
  <c r="F144" i="30"/>
  <c r="C144" i="30"/>
  <c r="C143" i="30"/>
  <c r="M138" i="30"/>
  <c r="D131" i="30"/>
  <c r="I196" i="30" s="1"/>
  <c r="I197" i="30" s="1"/>
  <c r="D129" i="30"/>
  <c r="M112" i="30"/>
  <c r="M111" i="30"/>
  <c r="I110" i="30"/>
  <c r="M110" i="30" s="1"/>
  <c r="M109" i="30"/>
  <c r="M108" i="30"/>
  <c r="M107" i="30"/>
  <c r="M48" i="30"/>
  <c r="I42" i="30"/>
  <c r="I40" i="30"/>
  <c r="I43" i="30" s="1"/>
  <c r="I38" i="30"/>
  <c r="I37" i="30"/>
  <c r="I41" i="30" s="1"/>
  <c r="M36" i="30"/>
  <c r="M35" i="30"/>
  <c r="M34" i="30"/>
  <c r="M33" i="30"/>
  <c r="M32" i="30"/>
  <c r="M31" i="30"/>
  <c r="I28" i="30"/>
  <c r="K28" i="30" s="1"/>
  <c r="M24" i="30"/>
  <c r="M23" i="30"/>
  <c r="M21" i="30"/>
  <c r="D174" i="30" l="1"/>
  <c r="F157" i="30" s="1"/>
  <c r="M205" i="38"/>
  <c r="I206" i="37"/>
  <c r="K206" i="37" s="1"/>
  <c r="D176" i="30"/>
  <c r="I202" i="30"/>
  <c r="M154" i="38"/>
  <c r="I155" i="38"/>
  <c r="M155" i="38" s="1"/>
  <c r="M152" i="38"/>
  <c r="I153" i="38"/>
  <c r="M151" i="38"/>
  <c r="D183" i="38"/>
  <c r="I146" i="37"/>
  <c r="K146" i="37" s="1"/>
  <c r="K149" i="37" s="1"/>
  <c r="I154" i="37" s="1"/>
  <c r="G146" i="37"/>
  <c r="J146" i="37" s="1"/>
  <c r="J149" i="37" s="1"/>
  <c r="I152" i="37" s="1"/>
  <c r="E149" i="37"/>
  <c r="I151" i="37" s="1"/>
  <c r="D145" i="30"/>
  <c r="H145" i="30" s="1"/>
  <c r="F131" i="30"/>
  <c r="E70" i="30"/>
  <c r="F70" i="30" s="1"/>
  <c r="M43" i="30"/>
  <c r="E93" i="30" s="1"/>
  <c r="M40" i="30"/>
  <c r="E101" i="30" s="1"/>
  <c r="G101" i="30" s="1"/>
  <c r="E54" i="30"/>
  <c r="E55" i="30" s="1"/>
  <c r="M131" i="30"/>
  <c r="D137" i="30" s="1"/>
  <c r="F138" i="30" s="1"/>
  <c r="D146" i="30"/>
  <c r="H146" i="30" s="1"/>
  <c r="D143" i="30"/>
  <c r="E143" i="30" s="1"/>
  <c r="D144" i="30"/>
  <c r="H144" i="30" s="1"/>
  <c r="E63" i="30"/>
  <c r="E64" i="30" s="1"/>
  <c r="G64" i="30" s="1"/>
  <c r="M176" i="30"/>
  <c r="M189" i="30"/>
  <c r="E145" i="30"/>
  <c r="M42" i="30"/>
  <c r="E80" i="30"/>
  <c r="E94" i="30" l="1"/>
  <c r="G94" i="30" s="1"/>
  <c r="M93" i="30"/>
  <c r="G55" i="30"/>
  <c r="M153" i="38"/>
  <c r="D179" i="38"/>
  <c r="M151" i="37"/>
  <c r="D183" i="37"/>
  <c r="M152" i="37"/>
  <c r="I153" i="37"/>
  <c r="I155" i="37"/>
  <c r="M155" i="37" s="1"/>
  <c r="M154" i="37"/>
  <c r="E74" i="30"/>
  <c r="E146" i="30"/>
  <c r="G146" i="30" s="1"/>
  <c r="J146" i="30" s="1"/>
  <c r="M54" i="30"/>
  <c r="E144" i="30"/>
  <c r="M101" i="30"/>
  <c r="M63" i="30"/>
  <c r="I145" i="30"/>
  <c r="K145" i="30" s="1"/>
  <c r="G145" i="30"/>
  <c r="J145" i="30" s="1"/>
  <c r="I143" i="30"/>
  <c r="K143" i="30" s="1"/>
  <c r="G143" i="30"/>
  <c r="J143" i="30" s="1"/>
  <c r="E84" i="30"/>
  <c r="F80" i="30"/>
  <c r="M202" i="30"/>
  <c r="M196" i="30"/>
  <c r="G85" i="30" l="1"/>
  <c r="M84" i="30"/>
  <c r="E75" i="30"/>
  <c r="M74" i="30"/>
  <c r="I201" i="30" s="1"/>
  <c r="I203" i="30" s="1"/>
  <c r="I204" i="30" s="1"/>
  <c r="K204" i="30" s="1"/>
  <c r="M179" i="38"/>
  <c r="D159" i="38"/>
  <c r="I146" i="30"/>
  <c r="K146" i="30" s="1"/>
  <c r="G75" i="30"/>
  <c r="E147" i="30"/>
  <c r="I149" i="30" s="1"/>
  <c r="M149" i="30" s="1"/>
  <c r="D179" i="37"/>
  <c r="M153" i="37"/>
  <c r="G144" i="30"/>
  <c r="J144" i="30" s="1"/>
  <c r="J147" i="30" s="1"/>
  <c r="I150" i="30" s="1"/>
  <c r="I151" i="30" s="1"/>
  <c r="I144" i="30"/>
  <c r="K144" i="30" s="1"/>
  <c r="M197" i="30"/>
  <c r="I198" i="30"/>
  <c r="K198" i="30" s="1"/>
  <c r="E85" i="30"/>
  <c r="M203" i="30" l="1"/>
  <c r="K147" i="30"/>
  <c r="I152" i="30" s="1"/>
  <c r="M152" i="30" s="1"/>
  <c r="E159" i="38"/>
  <c r="D172" i="38"/>
  <c r="M172" i="38" s="1"/>
  <c r="M159" i="38"/>
  <c r="D166" i="38" s="1"/>
  <c r="D181" i="30"/>
  <c r="M179" i="37"/>
  <c r="D159" i="37"/>
  <c r="M150" i="30"/>
  <c r="M151" i="30"/>
  <c r="I153" i="30" l="1"/>
  <c r="M153" i="30" s="1"/>
  <c r="M166" i="38"/>
  <c r="D185" i="38"/>
  <c r="F185" i="38" s="1"/>
  <c r="E159" i="37"/>
  <c r="D172" i="37"/>
  <c r="M172" i="37" s="1"/>
  <c r="M159" i="37"/>
  <c r="D166" i="37" s="1"/>
  <c r="D177" i="30"/>
  <c r="M166" i="37" l="1"/>
  <c r="D185" i="37"/>
  <c r="F185" i="37" s="1"/>
  <c r="M177" i="30"/>
  <c r="D157" i="30"/>
  <c r="E157" i="30" l="1"/>
  <c r="M157" i="30"/>
  <c r="D170" i="30"/>
  <c r="M170" i="30" s="1"/>
  <c r="D164" i="30"/>
  <c r="M164" i="30" l="1"/>
  <c r="D183" i="30"/>
  <c r="F183" i="30" s="1"/>
  <c r="I171" i="23" l="1"/>
  <c r="N171" i="23" s="1"/>
  <c r="N170" i="23"/>
  <c r="N169" i="23"/>
  <c r="N168" i="23"/>
  <c r="I124" i="23"/>
  <c r="N119" i="23"/>
  <c r="D111" i="23"/>
  <c r="I126" i="23" s="1"/>
  <c r="D109" i="23"/>
  <c r="N90" i="23"/>
  <c r="N89" i="23"/>
  <c r="N88" i="23"/>
  <c r="E31" i="23"/>
  <c r="E32" i="23" s="1"/>
  <c r="G32" i="23" s="1"/>
  <c r="N25" i="23"/>
  <c r="I19" i="23"/>
  <c r="E59" i="23" s="1"/>
  <c r="I18" i="23"/>
  <c r="I181" i="23" s="1"/>
  <c r="N16" i="23"/>
  <c r="N15" i="23"/>
  <c r="N14" i="23"/>
  <c r="N13" i="23"/>
  <c r="N12" i="23"/>
  <c r="N11" i="23"/>
  <c r="N10" i="23"/>
  <c r="N6" i="23"/>
  <c r="N5" i="23"/>
  <c r="N4" i="23"/>
  <c r="E82" i="23" l="1"/>
  <c r="G82" i="23" s="1"/>
  <c r="F111" i="23"/>
  <c r="E41" i="23"/>
  <c r="E42" i="23" s="1"/>
  <c r="G42" i="23" s="1"/>
  <c r="N111" i="23"/>
  <c r="D118" i="23" s="1"/>
  <c r="F119" i="23" s="1"/>
  <c r="D155" i="23"/>
  <c r="I125" i="23"/>
  <c r="I127" i="23" s="1"/>
  <c r="N18" i="23"/>
  <c r="E63" i="23" s="1"/>
  <c r="E64" i="23" s="1"/>
  <c r="G64" i="23" s="1"/>
  <c r="E49" i="23"/>
  <c r="D153" i="23"/>
  <c r="F136" i="23" s="1"/>
  <c r="N125" i="23"/>
  <c r="D161" i="23"/>
  <c r="I182" i="23"/>
  <c r="N181" i="23"/>
  <c r="F59" i="23"/>
  <c r="N41" i="23"/>
  <c r="N126" i="23"/>
  <c r="N31" i="23"/>
  <c r="F49" i="23"/>
  <c r="N155" i="23"/>
  <c r="E53" i="23"/>
  <c r="E54" i="23" s="1"/>
  <c r="I128" i="23"/>
  <c r="I175" i="23"/>
  <c r="N19" i="23"/>
  <c r="E73" i="23" s="1"/>
  <c r="E74" i="23" s="1"/>
  <c r="G74" i="23" s="1"/>
  <c r="N73" i="23" l="1"/>
  <c r="N63" i="23"/>
  <c r="I183" i="23"/>
  <c r="K183" i="23" s="1"/>
  <c r="N182" i="23"/>
  <c r="N127" i="23"/>
  <c r="I176" i="23"/>
  <c r="N175" i="23"/>
  <c r="N53" i="23"/>
  <c r="G54" i="23"/>
  <c r="I130" i="23"/>
  <c r="N130" i="23" s="1"/>
  <c r="N128" i="23"/>
  <c r="D156" i="23" l="1"/>
  <c r="N176" i="23"/>
  <c r="I177" i="23"/>
  <c r="K177" i="23" s="1"/>
  <c r="N156" i="23" l="1"/>
  <c r="D136" i="23"/>
  <c r="E136" i="23" l="1"/>
  <c r="D149" i="23"/>
  <c r="N149" i="23" s="1"/>
  <c r="N136" i="23"/>
  <c r="D143" i="23" s="1"/>
  <c r="N143" i="23" l="1"/>
  <c r="D163" i="23"/>
  <c r="F163" i="23" s="1"/>
  <c r="F78" i="13" l="1"/>
  <c r="F66" i="13"/>
  <c r="F13" i="13"/>
  <c r="F38" i="13" l="1"/>
  <c r="F100" i="16" l="1"/>
  <c r="F53" i="16"/>
  <c r="I8" i="9" l="1"/>
  <c r="K9" i="18" l="1"/>
  <c r="J2" i="18" l="1"/>
  <c r="F41" i="12"/>
  <c r="F64" i="13"/>
  <c r="F104" i="16" l="1"/>
  <c r="F102" i="16"/>
  <c r="F103" i="16" s="1"/>
  <c r="F97" i="16"/>
  <c r="F105" i="16" l="1"/>
  <c r="F106" i="16" s="1"/>
  <c r="F107" i="16" s="1"/>
  <c r="F109" i="16" s="1"/>
  <c r="F110" i="16" l="1"/>
  <c r="F40" i="12"/>
  <c r="F37" i="16"/>
  <c r="F84" i="13"/>
  <c r="C9" i="11"/>
  <c r="C15" i="10" l="1"/>
  <c r="I18" i="9"/>
  <c r="F104" i="12" l="1"/>
  <c r="F100" i="12"/>
  <c r="F102" i="12" s="1"/>
  <c r="F103" i="12" s="1"/>
  <c r="F97" i="12"/>
  <c r="F91" i="12"/>
  <c r="F66" i="12"/>
  <c r="F105" i="12" l="1"/>
  <c r="F106" i="12" s="1"/>
  <c r="F107" i="12" s="1"/>
  <c r="F109" i="12" s="1"/>
  <c r="F110" i="12" s="1"/>
  <c r="F65" i="12"/>
  <c r="F67" i="12" s="1"/>
  <c r="F102" i="13"/>
  <c r="F12" i="13"/>
  <c r="F11" i="13"/>
  <c r="I5" i="9" l="1"/>
  <c r="F44" i="12" l="1"/>
  <c r="F37" i="12"/>
  <c r="F42" i="12" l="1"/>
  <c r="F43" i="12" s="1"/>
  <c r="F45" i="12"/>
  <c r="F46" i="12" s="1"/>
  <c r="F47" i="12" s="1"/>
  <c r="F106" i="13"/>
  <c r="F99" i="13"/>
  <c r="F41" i="16"/>
  <c r="F39" i="16"/>
  <c r="F40" i="16" s="1"/>
  <c r="F34" i="16"/>
  <c r="F42" i="13"/>
  <c r="F40" i="13"/>
  <c r="F41" i="13" s="1"/>
  <c r="F35" i="13"/>
  <c r="C25" i="10"/>
  <c r="C30" i="10"/>
  <c r="C28" i="11"/>
  <c r="C33" i="11"/>
  <c r="G33" i="11" l="1"/>
  <c r="E30" i="10"/>
  <c r="G30" i="10"/>
  <c r="F49" i="12"/>
  <c r="F50" i="12" s="1"/>
  <c r="F107" i="13"/>
  <c r="F104" i="13"/>
  <c r="F105" i="13" s="1"/>
  <c r="F42" i="16"/>
  <c r="F43" i="13"/>
  <c r="E33" i="11"/>
  <c r="F62" i="16"/>
  <c r="F61" i="16"/>
  <c r="F11" i="16"/>
  <c r="F10" i="16"/>
  <c r="F12" i="16" s="1"/>
  <c r="F1" i="16"/>
  <c r="F44" i="13" l="1"/>
  <c r="F108" i="13"/>
  <c r="F109" i="13" s="1"/>
  <c r="F111" i="13" s="1"/>
  <c r="F112" i="13" s="1"/>
  <c r="F87" i="16"/>
  <c r="F16" i="16"/>
  <c r="F43" i="16"/>
  <c r="F44" i="16" s="1"/>
  <c r="F46" i="16" s="1"/>
  <c r="F47" i="16" s="1"/>
  <c r="F63" i="16"/>
  <c r="F15" i="16"/>
  <c r="F17" i="16" s="1"/>
  <c r="J17" i="16" s="1"/>
  <c r="F24" i="16"/>
  <c r="F66" i="16"/>
  <c r="F1" i="12"/>
  <c r="F1" i="13"/>
  <c r="F45" i="13" l="1"/>
  <c r="F47" i="13" s="1"/>
  <c r="F48" i="13" s="1"/>
  <c r="F70" i="12"/>
  <c r="F72" i="12" s="1"/>
  <c r="F111" i="16"/>
  <c r="F112" i="16"/>
  <c r="F49" i="16"/>
  <c r="J66" i="16"/>
  <c r="H66" i="16"/>
  <c r="F87" i="12"/>
  <c r="F71" i="12"/>
  <c r="J16" i="16"/>
  <c r="F48" i="16"/>
  <c r="J15" i="16"/>
  <c r="H15" i="16"/>
  <c r="F16" i="13"/>
  <c r="H16" i="13" s="1"/>
  <c r="F71" i="13"/>
  <c r="F69" i="13"/>
  <c r="H84" i="13" s="1"/>
  <c r="H16" i="16"/>
  <c r="H17" i="16"/>
  <c r="F25" i="13"/>
  <c r="F89" i="13"/>
  <c r="F26" i="12"/>
  <c r="J78" i="13" l="1"/>
  <c r="F74" i="12"/>
  <c r="H74" i="12" s="1"/>
  <c r="H70" i="12"/>
  <c r="J70" i="12"/>
  <c r="F111" i="12"/>
  <c r="F112" i="12"/>
  <c r="H71" i="12"/>
  <c r="J71" i="12"/>
  <c r="H72" i="12"/>
  <c r="J72" i="12"/>
  <c r="J16" i="13"/>
  <c r="F18" i="13"/>
  <c r="J18" i="13" s="1"/>
  <c r="H69" i="13"/>
  <c r="J69" i="13"/>
  <c r="F19" i="16"/>
  <c r="H19" i="16" s="1"/>
  <c r="F49" i="13"/>
  <c r="F50" i="13"/>
  <c r="F113" i="13"/>
  <c r="F114" i="13"/>
  <c r="F51" i="12"/>
  <c r="F52" i="12"/>
  <c r="F65" i="13" l="1"/>
  <c r="H18" i="13"/>
  <c r="F70" i="13"/>
  <c r="F17" i="13"/>
  <c r="F20" i="13" l="1"/>
  <c r="H20" i="13" s="1"/>
  <c r="H17" i="13"/>
  <c r="F73" i="13"/>
  <c r="J71" i="13"/>
  <c r="H71" i="13"/>
  <c r="J84" i="13"/>
  <c r="H78" i="13"/>
  <c r="H70" i="13"/>
  <c r="J70" i="13"/>
  <c r="J17" i="13"/>
  <c r="H73" i="13" l="1"/>
  <c r="F21" i="12" l="1"/>
  <c r="F16" i="12"/>
  <c r="F11" i="12"/>
  <c r="F6" i="12"/>
  <c r="H11" i="12" l="1"/>
  <c r="J11" i="12"/>
  <c r="H21" i="12"/>
  <c r="J21" i="12"/>
  <c r="C17" i="11" l="1"/>
  <c r="C15" i="11"/>
  <c r="C13" i="10"/>
  <c r="C14" i="10" s="1"/>
  <c r="C16" i="10" s="1"/>
  <c r="C17" i="10" s="1"/>
  <c r="C18" i="10" s="1"/>
  <c r="G18" i="10" s="1"/>
  <c r="D17" i="11" l="1"/>
  <c r="C18" i="11"/>
  <c r="C16" i="11"/>
  <c r="I19" i="9"/>
  <c r="I20" i="9"/>
  <c r="I15" i="9"/>
  <c r="C19" i="11" l="1"/>
  <c r="C20" i="11" s="1"/>
  <c r="C21" i="11" s="1"/>
  <c r="I21" i="9"/>
  <c r="I22" i="9" s="1"/>
  <c r="G21" i="11" l="1"/>
  <c r="E21" i="11"/>
  <c r="I23" i="9"/>
  <c r="I25" i="9" s="1"/>
  <c r="I26" i="9" s="1"/>
  <c r="I27" i="9" l="1"/>
  <c r="I28" i="9"/>
</calcChain>
</file>

<file path=xl/sharedStrings.xml><?xml version="1.0" encoding="utf-8"?>
<sst xmlns="http://schemas.openxmlformats.org/spreadsheetml/2006/main" count="3116" uniqueCount="695">
  <si>
    <t>fy =</t>
  </si>
  <si>
    <t>N/mm2</t>
  </si>
  <si>
    <t>mm</t>
  </si>
  <si>
    <t xml:space="preserve">safety factor, </t>
  </si>
  <si>
    <t>Weld length,</t>
  </si>
  <si>
    <t>Ω =</t>
  </si>
  <si>
    <t xml:space="preserve">capacity of weld, </t>
  </si>
  <si>
    <t>KN</t>
  </si>
  <si>
    <t>Weld thickness,</t>
  </si>
  <si>
    <t>tw =</t>
  </si>
  <si>
    <t>F =</t>
  </si>
  <si>
    <t xml:space="preserve">Angle of brace member to horizontal, </t>
  </si>
  <si>
    <t>θ =</t>
  </si>
  <si>
    <t>deg</t>
  </si>
  <si>
    <t xml:space="preserve">Weld strength, </t>
  </si>
  <si>
    <t>fyw =</t>
  </si>
  <si>
    <t>lw =</t>
  </si>
  <si>
    <t>Pw = 0.6fyw/Ω * 2lw * 0.707tw =</t>
  </si>
  <si>
    <t xml:space="preserve">Vertical Shear force, </t>
  </si>
  <si>
    <t>Fv = F x sin(θ) =</t>
  </si>
  <si>
    <t xml:space="preserve">Horizontal Shear force, </t>
  </si>
  <si>
    <t>Fh = F x cos(θ) =</t>
  </si>
  <si>
    <t xml:space="preserve">Tension capacity, </t>
  </si>
  <si>
    <t xml:space="preserve">Bending capacity, </t>
  </si>
  <si>
    <t>KNm</t>
  </si>
  <si>
    <t xml:space="preserve">Shear capacity, </t>
  </si>
  <si>
    <t xml:space="preserve">Vertical tension force, </t>
  </si>
  <si>
    <t>e =</t>
  </si>
  <si>
    <t>Bending moment due to eccentricity,</t>
  </si>
  <si>
    <t>combined check, Fv / Pwt + (Fh / Pwv)^2 + M / Pwb =</t>
  </si>
  <si>
    <t>M = Fh * e =</t>
  </si>
  <si>
    <t xml:space="preserve">base material strength, </t>
  </si>
  <si>
    <t>Check barge deck plate pull out shear</t>
  </si>
  <si>
    <t xml:space="preserve">Pull out shear capacity, </t>
  </si>
  <si>
    <t>Weld capacity,</t>
  </si>
  <si>
    <t xml:space="preserve">Load Information </t>
  </si>
  <si>
    <t xml:space="preserve">P = </t>
  </si>
  <si>
    <t>kN</t>
  </si>
  <si>
    <t>Bearing Length:</t>
  </si>
  <si>
    <t>N =</t>
  </si>
  <si>
    <t xml:space="preserve">Beam and Stiffener Properties Input </t>
  </si>
  <si>
    <t>Beam Properties</t>
  </si>
  <si>
    <t>Yield Strength of Beam:</t>
  </si>
  <si>
    <t xml:space="preserve">fy = </t>
  </si>
  <si>
    <t>Mpa</t>
  </si>
  <si>
    <t>Utimate tension strenght:</t>
  </si>
  <si>
    <t>MPa</t>
  </si>
  <si>
    <t>Beam Width</t>
  </si>
  <si>
    <t xml:space="preserve">Beam Depth </t>
  </si>
  <si>
    <t>Beam Flange thickness:</t>
  </si>
  <si>
    <t>Beam Web Thickness:</t>
  </si>
  <si>
    <t xml:space="preserve">S = </t>
  </si>
  <si>
    <r>
      <t>cm</t>
    </r>
    <r>
      <rPr>
        <vertAlign val="superscript"/>
        <sz val="11"/>
        <color theme="1"/>
        <rFont val="宋体"/>
        <family val="2"/>
        <scheme val="minor"/>
      </rPr>
      <t>3</t>
    </r>
  </si>
  <si>
    <t>Unstrained length:</t>
  </si>
  <si>
    <t>Stiffener Properties:</t>
  </si>
  <si>
    <t>Yield Strength of stiffener:</t>
  </si>
  <si>
    <t xml:space="preserve">Welding between stiffener and beam web: </t>
  </si>
  <si>
    <t>Welding classification number:</t>
  </si>
  <si>
    <t>ksi</t>
  </si>
  <si>
    <t xml:space="preserve">Beam Web Yielding </t>
  </si>
  <si>
    <t xml:space="preserve">Check </t>
  </si>
  <si>
    <t>Beam Web Crippling</t>
  </si>
  <si>
    <t>Beam Sidesway Buckling</t>
  </si>
  <si>
    <t xml:space="preserve">Ω = </t>
  </si>
  <si>
    <t>Safety Factor for Compression Buckling</t>
  </si>
  <si>
    <r>
      <t>mm</t>
    </r>
    <r>
      <rPr>
        <vertAlign val="superscript"/>
        <sz val="11"/>
        <color theme="1"/>
        <rFont val="宋体"/>
        <family val="2"/>
        <scheme val="minor"/>
      </rPr>
      <t>2</t>
    </r>
  </si>
  <si>
    <r>
      <t>mm</t>
    </r>
    <r>
      <rPr>
        <vertAlign val="superscript"/>
        <sz val="11"/>
        <color theme="1"/>
        <rFont val="宋体"/>
        <family val="2"/>
        <scheme val="minor"/>
      </rPr>
      <t>4</t>
    </r>
  </si>
  <si>
    <t>(Slenderness)</t>
  </si>
  <si>
    <r>
      <t>Fe = Eπ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/(λ</t>
    </r>
    <r>
      <rPr>
        <vertAlign val="subscript"/>
        <sz val="11"/>
        <color theme="1"/>
        <rFont val="Calibri"/>
        <family val="2"/>
      </rPr>
      <t>g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</si>
  <si>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t xml:space="preserve">(Elastic Critical Buckling Stress, Equ. E3-4) </t>
  </si>
  <si>
    <t xml:space="preserve">Mpa </t>
  </si>
  <si>
    <t xml:space="preserve">Fcr = </t>
  </si>
  <si>
    <t>(Flexture Buckling Stress, E3-1, E3-2)</t>
  </si>
  <si>
    <t>(if Fe&lt;0.44Fy, Fcr = 0.877Fe, otherwise Fcr = 0.658^(Fy/Fe)Fy)</t>
  </si>
  <si>
    <t>Pn = Fcr Agw =</t>
  </si>
  <si>
    <t xml:space="preserve">(Norminal compressive strength) = </t>
  </si>
  <si>
    <r>
      <t>Pa  = Pn/</t>
    </r>
    <r>
      <rPr>
        <sz val="11"/>
        <color theme="1"/>
        <rFont val="Calibri"/>
        <family val="2"/>
      </rPr>
      <t>Ω =</t>
    </r>
  </si>
  <si>
    <t>(Allowable axial load)</t>
  </si>
  <si>
    <t>Fillet Weld of Stiffener to beam web</t>
  </si>
  <si>
    <r>
      <t>P</t>
    </r>
    <r>
      <rPr>
        <vertAlign val="subscript"/>
        <sz val="11"/>
        <color theme="1"/>
        <rFont val="宋体"/>
        <family val="2"/>
        <scheme val="minor"/>
      </rPr>
      <t>xx</t>
    </r>
    <r>
      <rPr>
        <sz val="11"/>
        <color theme="1"/>
        <rFont val="宋体"/>
        <family val="2"/>
        <scheme val="minor"/>
      </rPr>
      <t xml:space="preserve"> = </t>
    </r>
  </si>
  <si>
    <t xml:space="preserve">Max Axial Compression Force </t>
  </si>
  <si>
    <t>Gap Between Longitudinal Welds:</t>
  </si>
  <si>
    <t xml:space="preserve">Length of the Welding </t>
  </si>
  <si>
    <t>Gap Between brace end and member edge:</t>
  </si>
  <si>
    <t xml:space="preserve">G = </t>
  </si>
  <si>
    <t>Brace Angle =</t>
  </si>
  <si>
    <t>Deg</t>
  </si>
  <si>
    <t>Thickness of gusset plate:</t>
  </si>
  <si>
    <r>
      <t>t</t>
    </r>
    <r>
      <rPr>
        <vertAlign val="subscript"/>
        <sz val="11"/>
        <color theme="1"/>
        <rFont val="宋体"/>
        <family val="2"/>
        <scheme val="minor"/>
      </rPr>
      <t>p</t>
    </r>
    <r>
      <rPr>
        <sz val="11"/>
        <color theme="1"/>
        <rFont val="宋体"/>
        <family val="2"/>
        <scheme val="minor"/>
      </rPr>
      <t xml:space="preserve"> = </t>
    </r>
  </si>
  <si>
    <t>Yield Strength of gusset plate:</t>
  </si>
  <si>
    <t xml:space="preserve">Length of Gusset Plate considering buckling </t>
  </si>
  <si>
    <t xml:space="preserve">Lgo = </t>
  </si>
  <si>
    <t>Gusset Plate effective length factor:</t>
  </si>
  <si>
    <t>k =</t>
  </si>
  <si>
    <t xml:space="preserve">Effective length of the gusset plate: </t>
  </si>
  <si>
    <t>Effective width of the gusset plate shall be the minmimum of the following two cases</t>
  </si>
  <si>
    <t xml:space="preserve">Wg = min(Wg1, Wg2) = </t>
  </si>
  <si>
    <t>( effective width of the gusset plate)</t>
  </si>
  <si>
    <t>Agw = Wg tp =</t>
  </si>
  <si>
    <t>(Gross Area of the Gusset Plate)</t>
  </si>
  <si>
    <r>
      <t>r</t>
    </r>
    <r>
      <rPr>
        <vertAlign val="subscript"/>
        <sz val="11"/>
        <color theme="1"/>
        <rFont val="宋体"/>
        <family val="2"/>
        <scheme val="minor"/>
      </rPr>
      <t>p</t>
    </r>
    <r>
      <rPr>
        <sz val="11"/>
        <color theme="1"/>
        <rFont val="宋体"/>
        <family val="2"/>
        <scheme val="minor"/>
      </rPr>
      <t xml:space="preserve"> = tp / (12)</t>
    </r>
    <r>
      <rPr>
        <vertAlign val="superscript"/>
        <sz val="11"/>
        <color theme="1"/>
        <rFont val="宋体"/>
        <family val="2"/>
        <scheme val="minor"/>
      </rPr>
      <t>0.5</t>
    </r>
    <r>
      <rPr>
        <sz val="11"/>
        <color theme="1"/>
        <rFont val="宋体"/>
        <family val="2"/>
        <scheme val="minor"/>
      </rPr>
      <t xml:space="preserve"> = </t>
    </r>
  </si>
  <si>
    <t>(Min. Radius of gyration of the Gusset Plate)</t>
  </si>
  <si>
    <t>UC = Pxx/Pa =</t>
  </si>
  <si>
    <t>Lgeff = k*Lgo =</t>
  </si>
  <si>
    <r>
      <t>λg = Lgeff/r</t>
    </r>
    <r>
      <rPr>
        <vertAlign val="subscript"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 xml:space="preserve"> =</t>
    </r>
  </si>
  <si>
    <t>Wg1 = bfvb + 2Lw*tan(30deg) =</t>
  </si>
  <si>
    <t>Compression Buckling of Gusset Plate (Gusset plt for pitch brace to beam/column)</t>
  </si>
  <si>
    <t>Design of weld of gusset plate for pitch brace to module beam/column (fillet weld) - Vertical Shear</t>
  </si>
  <si>
    <t>Design of weld of gusset plate for pitch brace to module beam/column (fillet weld) - Horizontal Shear</t>
  </si>
  <si>
    <t>Elatic sectional Modulus:</t>
  </si>
  <si>
    <t>Welding between stiffener and beam flange:</t>
  </si>
  <si>
    <t>fillet weld</t>
  </si>
  <si>
    <t>Beam Web Check (wo Stiffener)</t>
  </si>
  <si>
    <t>Pw = 0.6fyw/Ω * 4lw * 0.707tw =</t>
  </si>
  <si>
    <t>Eccentricity</t>
  </si>
  <si>
    <t>Effective width of the gusset plate shall be the minimum of the following two cases</t>
  </si>
  <si>
    <t>W =</t>
  </si>
  <si>
    <t>width of grillage</t>
  </si>
  <si>
    <t>W1 =</t>
  </si>
  <si>
    <t>Wg =  W1 + Lgo x tan(30) =</t>
  </si>
  <si>
    <t xml:space="preserve">Max. axial force in brace, </t>
  </si>
  <si>
    <t xml:space="preserve">Length of brace, </t>
  </si>
  <si>
    <t>L =</t>
  </si>
  <si>
    <t>m</t>
  </si>
  <si>
    <t>Providing pipe section</t>
  </si>
  <si>
    <t>Design of Pitch Braces</t>
  </si>
  <si>
    <t xml:space="preserve">Yield strength, </t>
  </si>
  <si>
    <t>Fy =</t>
  </si>
  <si>
    <t>Modulus of elasticity,</t>
  </si>
  <si>
    <t>E =</t>
  </si>
  <si>
    <t xml:space="preserve">Area of cross section, </t>
  </si>
  <si>
    <t>Ag =</t>
  </si>
  <si>
    <t>cm2</t>
  </si>
  <si>
    <t>radius of gyration,</t>
  </si>
  <si>
    <t>r =</t>
  </si>
  <si>
    <t>cm</t>
  </si>
  <si>
    <t>Reduction factor,</t>
  </si>
  <si>
    <t>Efflective length factor,</t>
  </si>
  <si>
    <t>K =</t>
  </si>
  <si>
    <t>Flexural buckling stress,</t>
  </si>
  <si>
    <t>KL/r =</t>
  </si>
  <si>
    <t>4.71 x (E/Fy)^0.5 =</t>
  </si>
  <si>
    <t>&gt; KL/r</t>
  </si>
  <si>
    <t>Elastic critical buckling stress,</t>
  </si>
  <si>
    <r>
      <t xml:space="preserve">Fe = </t>
    </r>
    <r>
      <rPr>
        <sz val="11"/>
        <color theme="1"/>
        <rFont val="Calibri"/>
        <family val="2"/>
      </rPr>
      <t>π^2E/(KL/r)^2 =</t>
    </r>
  </si>
  <si>
    <t>Pn = Fcr x Ag =</t>
  </si>
  <si>
    <t>Fcr = (0.658^(Fy/Fe)) x Fy =</t>
  </si>
  <si>
    <t>Allowable compressive strength,</t>
  </si>
  <si>
    <t>Nominal compressive strength ,</t>
  </si>
  <si>
    <r>
      <t xml:space="preserve">Pn / </t>
    </r>
    <r>
      <rPr>
        <sz val="11"/>
        <color theme="1"/>
        <rFont val="Calibri"/>
        <family val="2"/>
      </rPr>
      <t>Ω =</t>
    </r>
  </si>
  <si>
    <t>Note: No one third allowable stress increase is considered.</t>
  </si>
  <si>
    <t>Design of Roll Braces</t>
  </si>
  <si>
    <t>Design of weld of gusset plate to pitch brace (fillet weld)</t>
  </si>
  <si>
    <t>Barge deck plate thickness,</t>
  </si>
  <si>
    <t xml:space="preserve">base material yield strength, </t>
  </si>
  <si>
    <t xml:space="preserve">base material thickness, </t>
  </si>
  <si>
    <t>t =</t>
  </si>
  <si>
    <t xml:space="preserve">Pitch brace member force used for design, </t>
  </si>
  <si>
    <t xml:space="preserve">Roll brace member force used for design, </t>
  </si>
  <si>
    <t xml:space="preserve">weld material yield strength, </t>
  </si>
  <si>
    <t>Ω2 =</t>
  </si>
  <si>
    <t>Grillage Web Strength &amp; Buckling Check</t>
  </si>
  <si>
    <t xml:space="preserve">Width of wind plate </t>
  </si>
  <si>
    <t>Thickness of wind plate:</t>
  </si>
  <si>
    <t xml:space="preserve">Effective length of the wind plate: </t>
  </si>
  <si>
    <t xml:space="preserve">Effective width of the wind plate </t>
  </si>
  <si>
    <t>(effective width of the wind plate)</t>
  </si>
  <si>
    <t>(Gross Area of the wind Plate)</t>
  </si>
  <si>
    <t>(Min. Radius of gyration of the wind Plate)</t>
  </si>
  <si>
    <t>Yield Strength of wind plate:</t>
  </si>
  <si>
    <t xml:space="preserve">Length of wind Plate considering buckling </t>
  </si>
  <si>
    <t>wind Plate effective length factor:</t>
  </si>
  <si>
    <t>Note: worst case where the stub is located near the end of grillage beam</t>
  </si>
  <si>
    <r>
      <t>P</t>
    </r>
    <r>
      <rPr>
        <vertAlign val="subscript"/>
        <sz val="11"/>
        <rFont val="宋体"/>
        <family val="2"/>
        <scheme val="minor"/>
      </rPr>
      <t>xx</t>
    </r>
    <r>
      <rPr>
        <sz val="11"/>
        <rFont val="宋体"/>
        <family val="2"/>
        <scheme val="minor"/>
      </rPr>
      <t xml:space="preserve"> = </t>
    </r>
  </si>
  <si>
    <r>
      <t>b</t>
    </r>
    <r>
      <rPr>
        <vertAlign val="subscript"/>
        <sz val="11"/>
        <rFont val="宋体"/>
        <family val="2"/>
        <scheme val="minor"/>
      </rPr>
      <t>fvb</t>
    </r>
    <r>
      <rPr>
        <sz val="11"/>
        <rFont val="宋体"/>
        <family val="2"/>
        <scheme val="minor"/>
      </rPr>
      <t xml:space="preserve"> =</t>
    </r>
  </si>
  <si>
    <r>
      <t>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= </t>
    </r>
  </si>
  <si>
    <r>
      <t>t</t>
    </r>
    <r>
      <rPr>
        <vertAlign val="subscript"/>
        <sz val="11"/>
        <rFont val="宋体"/>
        <family val="2"/>
        <scheme val="minor"/>
      </rPr>
      <t>p</t>
    </r>
    <r>
      <rPr>
        <sz val="11"/>
        <rFont val="宋体"/>
        <family val="2"/>
        <scheme val="minor"/>
      </rPr>
      <t xml:space="preserve"> = </t>
    </r>
  </si>
  <si>
    <t xml:space="preserve">fillet weld thickness, </t>
  </si>
  <si>
    <t>Design of weld of gusset plate to roll brace (fillet weld)</t>
  </si>
  <si>
    <t xml:space="preserve">Horizontal force, </t>
  </si>
  <si>
    <t xml:space="preserve">Vertical force, </t>
  </si>
  <si>
    <t>combined check, Fh / Pwt + (Fv / Pwv)^2 + M / Pwb =</t>
  </si>
  <si>
    <t>M = F * e =</t>
  </si>
  <si>
    <r>
      <t xml:space="preserve">Wg2 (available width) = </t>
    </r>
    <r>
      <rPr>
        <sz val="11"/>
        <rFont val="Calibri"/>
        <family val="2"/>
      </rPr>
      <t xml:space="preserve"> </t>
    </r>
  </si>
  <si>
    <r>
      <t>mm</t>
    </r>
    <r>
      <rPr>
        <vertAlign val="superscript"/>
        <sz val="11"/>
        <rFont val="宋体"/>
        <family val="2"/>
        <scheme val="minor"/>
      </rPr>
      <t>2</t>
    </r>
  </si>
  <si>
    <r>
      <t>r</t>
    </r>
    <r>
      <rPr>
        <vertAlign val="subscript"/>
        <sz val="11"/>
        <rFont val="宋体"/>
        <family val="2"/>
        <scheme val="minor"/>
      </rPr>
      <t>p</t>
    </r>
    <r>
      <rPr>
        <sz val="11"/>
        <rFont val="宋体"/>
        <family val="2"/>
        <scheme val="minor"/>
      </rPr>
      <t xml:space="preserve"> = tp / (12)</t>
    </r>
    <r>
      <rPr>
        <vertAlign val="superscript"/>
        <sz val="11"/>
        <rFont val="宋体"/>
        <family val="2"/>
        <scheme val="minor"/>
      </rPr>
      <t>0.5</t>
    </r>
    <r>
      <rPr>
        <sz val="11"/>
        <rFont val="宋体"/>
        <family val="2"/>
        <scheme val="minor"/>
      </rPr>
      <t xml:space="preserve"> = </t>
    </r>
  </si>
  <si>
    <r>
      <t>λg = Lgeff/r</t>
    </r>
    <r>
      <rPr>
        <vertAlign val="subscript"/>
        <sz val="11"/>
        <rFont val="Calibri"/>
        <family val="2"/>
      </rPr>
      <t>p</t>
    </r>
    <r>
      <rPr>
        <sz val="11"/>
        <rFont val="Calibri"/>
        <family val="2"/>
      </rPr>
      <t xml:space="preserve"> =</t>
    </r>
  </si>
  <si>
    <r>
      <t>Fe = Eπ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>/(λ</t>
    </r>
    <r>
      <rPr>
        <vertAlign val="subscript"/>
        <sz val="11"/>
        <rFont val="Calibri"/>
        <family val="2"/>
      </rPr>
      <t>g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=</t>
    </r>
  </si>
  <si>
    <r>
      <t>Pa  = Pn/</t>
    </r>
    <r>
      <rPr>
        <sz val="11"/>
        <rFont val="Calibri"/>
        <family val="2"/>
      </rPr>
      <t>Ω =</t>
    </r>
  </si>
  <si>
    <r>
      <t>Wg2 = bfvb + G/cos(</t>
    </r>
    <r>
      <rPr>
        <sz val="11"/>
        <rFont val="Calibri"/>
        <family val="2"/>
      </rPr>
      <t xml:space="preserve">θ) + Lw*tan(30deg) = </t>
    </r>
  </si>
  <si>
    <t>Model A</t>
  </si>
  <si>
    <t>Grillage</t>
  </si>
  <si>
    <t>Stub</t>
  </si>
  <si>
    <t>Brace</t>
  </si>
  <si>
    <t>Column</t>
  </si>
  <si>
    <t>Transverse Web</t>
  </si>
  <si>
    <t>FR =</t>
  </si>
  <si>
    <t>FP =</t>
  </si>
  <si>
    <t>&gt; FP, OK</t>
  </si>
  <si>
    <t>Pwt = fy/Ω * lw * t =</t>
  </si>
  <si>
    <t>Pwb = fy/Ω * t * lw^2 / 6 =</t>
  </si>
  <si>
    <t>Pwv = 0.6fy/Ω * lw * t =</t>
  </si>
  <si>
    <t>Model B</t>
  </si>
  <si>
    <t>to stopper beam 600mm</t>
  </si>
  <si>
    <t>Pwt = fyw/Ω2 *2lw * 0.707tw=</t>
  </si>
  <si>
    <t>Pwb = 2*fyw/Ω2 * 0.707tw * lw^2/6 =</t>
  </si>
  <si>
    <t>Pwv = 0.6fyw/Ω2 *2lw * 0.707tw=</t>
  </si>
  <si>
    <t xml:space="preserve"> </t>
  </si>
  <si>
    <t>Compression Buckling of Wind plate on Grillage</t>
  </si>
  <si>
    <t>CHS273 X 18 Q345C</t>
  </si>
  <si>
    <t>CHS406 X 20 Q345C</t>
  </si>
  <si>
    <t>Check of weld between barge deck plate and side shell (fillet weld)</t>
  </si>
  <si>
    <t>weld thickness,</t>
  </si>
  <si>
    <t xml:space="preserve">weld material strength, </t>
  </si>
  <si>
    <t>Note: Vertical force is taken by the support beam</t>
  </si>
  <si>
    <t>M = Fv * e =</t>
  </si>
  <si>
    <t xml:space="preserve">Pitch brace member force, </t>
  </si>
  <si>
    <t>Design of weld of gusset plate for pitch brace to support beam (fillet weld)</t>
  </si>
  <si>
    <t>Compression Buckling of Gusset Plate (Gusset plt for pitch brace to stopper beam)</t>
  </si>
  <si>
    <t>von mises stress (N/mm2)</t>
  </si>
  <si>
    <t>Barge Max. UC</t>
  </si>
  <si>
    <t>double span grillage (max offset)</t>
  </si>
  <si>
    <t>double span grillage (min offset)</t>
  </si>
  <si>
    <t>Grid</t>
  </si>
  <si>
    <t>Maximum Load (KN)</t>
  </si>
  <si>
    <t>Case 1*</t>
  </si>
  <si>
    <t>Case 2*</t>
  </si>
  <si>
    <t>Case 3*</t>
  </si>
  <si>
    <t>Case 4*</t>
  </si>
  <si>
    <t>Pitch support beam near grid 6D</t>
  </si>
  <si>
    <t>Stub at grid 6D</t>
  </si>
  <si>
    <t>Stub at grid 7D</t>
  </si>
  <si>
    <t>Stub at grid 4D</t>
  </si>
  <si>
    <t>504 (C)</t>
  </si>
  <si>
    <t>Design of weld of gusset plate of roll brace to module beam (butt weld) - type 1</t>
  </si>
  <si>
    <r>
      <t xml:space="preserve">Compression Buckling of Gusset Plate (Gusset plt for roll brace to beam) </t>
    </r>
    <r>
      <rPr>
        <b/>
        <i/>
        <u/>
        <sz val="12"/>
        <rFont val="宋体"/>
        <family val="2"/>
        <scheme val="minor"/>
      </rPr>
      <t>-</t>
    </r>
    <r>
      <rPr>
        <b/>
        <i/>
        <u/>
        <sz val="11"/>
        <rFont val="宋体"/>
        <family val="2"/>
        <scheme val="minor"/>
      </rPr>
      <t xml:space="preserve"> type 1</t>
    </r>
  </si>
  <si>
    <t>Design of weld of gusset plate for roll brace to barge deck (butt weld+fillet weld)- type 1</t>
  </si>
  <si>
    <t>Compression Buckling of Gusset Plate (Gusset plt for roll brace to deck - type 1)</t>
  </si>
  <si>
    <t>Design of weld of gusset plate of roll brace to module beam (butt weld) - type 2</t>
  </si>
  <si>
    <r>
      <t>Compression Buckling of Gusset Plate (Gusset plt for roll brace to module beam) -</t>
    </r>
    <r>
      <rPr>
        <b/>
        <i/>
        <u/>
        <sz val="12"/>
        <rFont val="宋体"/>
        <family val="2"/>
        <scheme val="minor"/>
      </rPr>
      <t>type 2</t>
    </r>
  </si>
  <si>
    <t>Design of weld of gusset plate for roll brace to barge deck (fillet weld) - type 2</t>
  </si>
  <si>
    <t>Compression Buckling of Gusset Plate (Gusset plt for roll brace to deck - type 2)</t>
  </si>
  <si>
    <t>1.346*</t>
  </si>
  <si>
    <t>1.143*</t>
  </si>
  <si>
    <t>Highest UC</t>
  </si>
  <si>
    <r>
      <t>2</t>
    </r>
    <r>
      <rPr>
        <vertAlign val="superscript"/>
        <sz val="11"/>
        <rFont val="宋体"/>
        <family val="2"/>
        <scheme val="minor"/>
      </rPr>
      <t>nd</t>
    </r>
    <r>
      <rPr>
        <sz val="11"/>
        <rFont val="宋体"/>
        <family val="2"/>
        <scheme val="minor"/>
      </rPr>
      <t xml:space="preserve"> highest UC</t>
    </r>
  </si>
  <si>
    <t>Roll_P_Type 1</t>
  </si>
  <si>
    <t>Roll_P_Type 2</t>
  </si>
  <si>
    <t>Roll_S</t>
  </si>
  <si>
    <t>Roll support beam</t>
  </si>
  <si>
    <t>Pitch support beam near grid 5D</t>
  </si>
  <si>
    <t>2036 (C)</t>
  </si>
  <si>
    <t>3440 (T)</t>
  </si>
  <si>
    <t>3453 (C)</t>
  </si>
  <si>
    <t>3433 (T)</t>
  </si>
  <si>
    <t>1761 (C)</t>
  </si>
  <si>
    <t>863 (C)</t>
  </si>
  <si>
    <t>796 (C)</t>
  </si>
  <si>
    <t>715 (C)</t>
  </si>
  <si>
    <t>Stub at grid 5D</t>
  </si>
  <si>
    <t>501 (C)</t>
  </si>
  <si>
    <t>681 (C)</t>
  </si>
  <si>
    <t>968 (C)</t>
  </si>
  <si>
    <t>534 (C)</t>
  </si>
  <si>
    <t>Pitch support beam near grid 5G</t>
  </si>
  <si>
    <t>3262 (C)</t>
  </si>
  <si>
    <t>3167 (T)</t>
  </si>
  <si>
    <t>3263 (C)</t>
  </si>
  <si>
    <t>2750 (T)</t>
  </si>
  <si>
    <t>Stub at grid 4G</t>
  </si>
  <si>
    <t>1027 (C)</t>
  </si>
  <si>
    <t>917 (C)</t>
  </si>
  <si>
    <t>876 (C)</t>
  </si>
  <si>
    <t>572 (C)</t>
  </si>
  <si>
    <t>Stub at grid 5G</t>
  </si>
  <si>
    <t>1211 (C)</t>
  </si>
  <si>
    <t>869 (C)</t>
  </si>
  <si>
    <t>1058 (C)</t>
  </si>
  <si>
    <t>445 (C)</t>
  </si>
  <si>
    <t>3639 (C)</t>
  </si>
  <si>
    <t>3585 (T)</t>
  </si>
  <si>
    <t>3640 (C)</t>
  </si>
  <si>
    <t>3578 (T)</t>
  </si>
  <si>
    <t>870 (C)</t>
  </si>
  <si>
    <t>602 (C)</t>
  </si>
  <si>
    <t>865 (C)</t>
  </si>
  <si>
    <t>458 (C)</t>
  </si>
  <si>
    <t>1139 (C)</t>
  </si>
  <si>
    <t>1137 (C)</t>
  </si>
  <si>
    <t>359 (C)</t>
  </si>
  <si>
    <t>Pitch support beam near grid 6G</t>
  </si>
  <si>
    <t>3366 (C)</t>
  </si>
  <si>
    <t>3281 (T)</t>
  </si>
  <si>
    <t>3368 (C)</t>
  </si>
  <si>
    <t>2866 (T)</t>
  </si>
  <si>
    <t>Stub at grid 7G</t>
  </si>
  <si>
    <t>1278 (C)</t>
  </si>
  <si>
    <t>691 (C)</t>
  </si>
  <si>
    <t>1126 (C)</t>
  </si>
  <si>
    <t>345 (C)</t>
  </si>
  <si>
    <t>Stub at grid 6G</t>
  </si>
  <si>
    <t>1437 (C)</t>
  </si>
  <si>
    <t>639 (C)</t>
  </si>
  <si>
    <t>1286 (C)</t>
  </si>
  <si>
    <t>216 (C)</t>
  </si>
  <si>
    <t>Pitch_G5D</t>
  </si>
  <si>
    <t>UC</t>
  </si>
  <si>
    <t xml:space="preserve">Pitch support beam </t>
  </si>
  <si>
    <t>1.353*</t>
  </si>
  <si>
    <r>
      <t>2</t>
    </r>
    <r>
      <rPr>
        <b/>
        <vertAlign val="superscript"/>
        <sz val="11"/>
        <rFont val="宋体"/>
        <family val="2"/>
        <scheme val="minor"/>
      </rPr>
      <t>nd</t>
    </r>
    <r>
      <rPr>
        <b/>
        <sz val="11"/>
        <rFont val="宋体"/>
        <family val="2"/>
        <scheme val="minor"/>
      </rPr>
      <t xml:space="preserve"> highest UC</t>
    </r>
  </si>
  <si>
    <t>1.193*</t>
  </si>
  <si>
    <t>Pitch_G5G</t>
  </si>
  <si>
    <t>Pitch_G6D</t>
  </si>
  <si>
    <t>Pitch_G6G</t>
  </si>
  <si>
    <t>1.482*</t>
  </si>
  <si>
    <t>1.463*</t>
  </si>
  <si>
    <t>Fcr = 0.877 x Fe =</t>
  </si>
  <si>
    <t>(E3-1)</t>
  </si>
  <si>
    <t>(E3-2)</t>
  </si>
  <si>
    <t>(E3-3)</t>
  </si>
  <si>
    <r>
      <t>W</t>
    </r>
    <r>
      <rPr>
        <vertAlign val="subscript"/>
        <sz val="11"/>
        <rFont val="宋体"/>
        <family val="2"/>
        <scheme val="minor"/>
      </rPr>
      <t>g1</t>
    </r>
    <r>
      <rPr>
        <sz val="11"/>
        <rFont val="宋体"/>
        <family val="2"/>
        <scheme val="minor"/>
      </rPr>
      <t xml:space="preserve"> = b</t>
    </r>
    <r>
      <rPr>
        <vertAlign val="subscript"/>
        <sz val="11"/>
        <rFont val="宋体"/>
        <family val="2"/>
        <scheme val="minor"/>
      </rPr>
      <t>fvb</t>
    </r>
    <r>
      <rPr>
        <sz val="11"/>
        <rFont val="宋体"/>
        <family val="2"/>
        <scheme val="minor"/>
      </rPr>
      <t xml:space="preserve"> + 2L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*tan(30deg) =</t>
    </r>
  </si>
  <si>
    <r>
      <t>L</t>
    </r>
    <r>
      <rPr>
        <vertAlign val="subscript"/>
        <sz val="11"/>
        <rFont val="宋体"/>
        <family val="2"/>
        <scheme val="minor"/>
      </rPr>
      <t>go</t>
    </r>
    <r>
      <rPr>
        <sz val="11"/>
        <rFont val="宋体"/>
        <family val="2"/>
        <scheme val="minor"/>
      </rPr>
      <t xml:space="preserve"> = </t>
    </r>
  </si>
  <si>
    <r>
      <t>L</t>
    </r>
    <r>
      <rPr>
        <vertAlign val="subscript"/>
        <sz val="11"/>
        <rFont val="宋体"/>
        <family val="2"/>
        <scheme val="minor"/>
      </rPr>
      <t>geff</t>
    </r>
    <r>
      <rPr>
        <sz val="11"/>
        <rFont val="宋体"/>
        <family val="2"/>
        <scheme val="minor"/>
      </rPr>
      <t xml:space="preserve"> = k*L</t>
    </r>
    <r>
      <rPr>
        <vertAlign val="subscript"/>
        <sz val="11"/>
        <rFont val="宋体"/>
        <family val="2"/>
        <scheme val="minor"/>
      </rPr>
      <t>go</t>
    </r>
    <r>
      <rPr>
        <sz val="11"/>
        <rFont val="宋体"/>
        <family val="2"/>
        <scheme val="minor"/>
      </rPr>
      <t xml:space="preserve"> =</t>
    </r>
  </si>
  <si>
    <r>
      <t>W</t>
    </r>
    <r>
      <rPr>
        <vertAlign val="subscript"/>
        <sz val="11"/>
        <rFont val="宋体"/>
        <family val="2"/>
        <scheme val="minor"/>
      </rPr>
      <t>g2</t>
    </r>
    <r>
      <rPr>
        <sz val="11"/>
        <rFont val="宋体"/>
        <family val="2"/>
        <scheme val="minor"/>
      </rPr>
      <t xml:space="preserve"> (available width) = </t>
    </r>
    <r>
      <rPr>
        <sz val="11"/>
        <rFont val="Calibri"/>
        <family val="2"/>
      </rPr>
      <t xml:space="preserve"> </t>
    </r>
  </si>
  <si>
    <r>
      <t>A</t>
    </r>
    <r>
      <rPr>
        <vertAlign val="subscript"/>
        <sz val="11"/>
        <rFont val="宋体"/>
        <family val="2"/>
        <scheme val="minor"/>
      </rPr>
      <t>gw</t>
    </r>
    <r>
      <rPr>
        <sz val="11"/>
        <rFont val="宋体"/>
        <family val="2"/>
        <scheme val="minor"/>
      </rPr>
      <t xml:space="preserve"> = W</t>
    </r>
    <r>
      <rPr>
        <vertAlign val="subscript"/>
        <sz val="11"/>
        <rFont val="宋体"/>
        <family val="2"/>
        <scheme val="minor"/>
      </rPr>
      <t>g</t>
    </r>
    <r>
      <rPr>
        <sz val="11"/>
        <rFont val="宋体"/>
        <family val="2"/>
        <scheme val="minor"/>
      </rPr>
      <t xml:space="preserve"> t</t>
    </r>
    <r>
      <rPr>
        <vertAlign val="subscript"/>
        <sz val="11"/>
        <rFont val="宋体"/>
        <family val="2"/>
        <scheme val="minor"/>
      </rPr>
      <t>p</t>
    </r>
    <r>
      <rPr>
        <sz val="11"/>
        <rFont val="宋体"/>
        <family val="2"/>
        <scheme val="minor"/>
      </rPr>
      <t xml:space="preserve"> =</t>
    </r>
  </si>
  <si>
    <r>
      <t>W</t>
    </r>
    <r>
      <rPr>
        <vertAlign val="subscript"/>
        <sz val="11"/>
        <rFont val="宋体"/>
        <family val="2"/>
        <scheme val="minor"/>
      </rPr>
      <t>g</t>
    </r>
    <r>
      <rPr>
        <sz val="11"/>
        <rFont val="宋体"/>
        <family val="2"/>
        <scheme val="minor"/>
      </rPr>
      <t xml:space="preserve"> = min(W</t>
    </r>
    <r>
      <rPr>
        <vertAlign val="subscript"/>
        <sz val="11"/>
        <rFont val="宋体"/>
        <family val="2"/>
        <scheme val="minor"/>
      </rPr>
      <t>g1</t>
    </r>
    <r>
      <rPr>
        <sz val="11"/>
        <rFont val="宋体"/>
        <family val="2"/>
        <scheme val="minor"/>
      </rPr>
      <t>, W</t>
    </r>
    <r>
      <rPr>
        <vertAlign val="subscript"/>
        <sz val="11"/>
        <rFont val="宋体"/>
        <family val="2"/>
        <scheme val="minor"/>
      </rPr>
      <t>g2</t>
    </r>
    <r>
      <rPr>
        <sz val="11"/>
        <rFont val="宋体"/>
        <family val="2"/>
        <scheme val="minor"/>
      </rPr>
      <t xml:space="preserve">) = </t>
    </r>
  </si>
  <si>
    <t>(effective width of the gusset plate)</t>
  </si>
  <si>
    <r>
      <t>r</t>
    </r>
    <r>
      <rPr>
        <vertAlign val="subscript"/>
        <sz val="11"/>
        <rFont val="宋体"/>
        <family val="2"/>
        <scheme val="minor"/>
      </rPr>
      <t>p</t>
    </r>
    <r>
      <rPr>
        <sz val="11"/>
        <rFont val="宋体"/>
        <family val="2"/>
        <scheme val="minor"/>
      </rPr>
      <t xml:space="preserve"> = t</t>
    </r>
    <r>
      <rPr>
        <vertAlign val="subscript"/>
        <sz val="11"/>
        <rFont val="宋体"/>
        <family val="2"/>
        <scheme val="minor"/>
      </rPr>
      <t>p</t>
    </r>
    <r>
      <rPr>
        <sz val="11"/>
        <rFont val="宋体"/>
        <family val="2"/>
        <scheme val="minor"/>
      </rPr>
      <t xml:space="preserve"> / (12)</t>
    </r>
    <r>
      <rPr>
        <vertAlign val="superscript"/>
        <sz val="11"/>
        <rFont val="宋体"/>
        <family val="2"/>
        <scheme val="minor"/>
      </rPr>
      <t>0.5</t>
    </r>
    <r>
      <rPr>
        <sz val="11"/>
        <rFont val="宋体"/>
        <family val="2"/>
        <scheme val="minor"/>
      </rPr>
      <t xml:space="preserve"> = </t>
    </r>
  </si>
  <si>
    <r>
      <t>λ</t>
    </r>
    <r>
      <rPr>
        <vertAlign val="subscript"/>
        <sz val="11"/>
        <rFont val="Calibri"/>
        <family val="2"/>
      </rPr>
      <t>g</t>
    </r>
    <r>
      <rPr>
        <sz val="11"/>
        <rFont val="Calibri"/>
        <family val="2"/>
      </rPr>
      <t xml:space="preserve"> = L</t>
    </r>
    <r>
      <rPr>
        <vertAlign val="subscript"/>
        <sz val="11"/>
        <rFont val="Calibri"/>
        <family val="2"/>
      </rPr>
      <t>geff</t>
    </r>
    <r>
      <rPr>
        <sz val="11"/>
        <rFont val="Calibri"/>
        <family val="2"/>
      </rPr>
      <t>/r</t>
    </r>
    <r>
      <rPr>
        <vertAlign val="subscript"/>
        <sz val="11"/>
        <rFont val="Calibri"/>
        <family val="2"/>
      </rPr>
      <t>p</t>
    </r>
    <r>
      <rPr>
        <sz val="11"/>
        <rFont val="Calibri"/>
        <family val="2"/>
      </rPr>
      <t xml:space="preserve"> =</t>
    </r>
  </si>
  <si>
    <r>
      <t>F</t>
    </r>
    <r>
      <rPr>
        <vertAlign val="subscript"/>
        <sz val="11"/>
        <rFont val="Calibri"/>
        <family val="2"/>
      </rPr>
      <t>e</t>
    </r>
    <r>
      <rPr>
        <sz val="11"/>
        <rFont val="Calibri"/>
        <family val="2"/>
      </rPr>
      <t xml:space="preserve"> = Eπ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>/(λ</t>
    </r>
    <r>
      <rPr>
        <vertAlign val="subscript"/>
        <sz val="11"/>
        <rFont val="Calibri"/>
        <family val="2"/>
      </rPr>
      <t>g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=</t>
    </r>
  </si>
  <si>
    <r>
      <t>F</t>
    </r>
    <r>
      <rPr>
        <vertAlign val="subscript"/>
        <sz val="11"/>
        <rFont val="Calibri"/>
        <family val="2"/>
      </rPr>
      <t>cr</t>
    </r>
    <r>
      <rPr>
        <sz val="11"/>
        <rFont val="Calibri"/>
        <family val="2"/>
      </rPr>
      <t xml:space="preserve"> = </t>
    </r>
  </si>
  <si>
    <r>
      <t>(if F</t>
    </r>
    <r>
      <rPr>
        <vertAlign val="subscript"/>
        <sz val="11"/>
        <rFont val="宋体"/>
        <family val="2"/>
        <scheme val="minor"/>
      </rPr>
      <t>e</t>
    </r>
    <r>
      <rPr>
        <sz val="11"/>
        <rFont val="宋体"/>
        <family val="2"/>
        <scheme val="minor"/>
      </rPr>
      <t>&lt;0.44F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, Fcr = 0.877F</t>
    </r>
    <r>
      <rPr>
        <vertAlign val="subscript"/>
        <sz val="11"/>
        <rFont val="宋体"/>
        <family val="2"/>
        <scheme val="minor"/>
      </rPr>
      <t>e</t>
    </r>
    <r>
      <rPr>
        <sz val="11"/>
        <rFont val="宋体"/>
        <family val="2"/>
        <scheme val="minor"/>
      </rPr>
      <t>, otherwise F</t>
    </r>
    <r>
      <rPr>
        <vertAlign val="subscript"/>
        <sz val="11"/>
        <rFont val="宋体"/>
        <family val="2"/>
        <scheme val="minor"/>
      </rPr>
      <t>cr</t>
    </r>
    <r>
      <rPr>
        <sz val="11"/>
        <rFont val="宋体"/>
        <family val="2"/>
        <scheme val="minor"/>
      </rPr>
      <t xml:space="preserve"> = 0.658^(F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/F</t>
    </r>
    <r>
      <rPr>
        <vertAlign val="subscript"/>
        <sz val="11"/>
        <rFont val="宋体"/>
        <family val="2"/>
        <scheme val="minor"/>
      </rPr>
      <t>e</t>
    </r>
    <r>
      <rPr>
        <sz val="11"/>
        <rFont val="宋体"/>
        <family val="2"/>
        <scheme val="minor"/>
      </rPr>
      <t>)F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)</t>
    </r>
  </si>
  <si>
    <t>(Flexural Buckling Stress, E3-2, E3-3)</t>
  </si>
  <si>
    <t xml:space="preserve">(Norminal compressive strength, E3-1) = </t>
  </si>
  <si>
    <r>
      <t>P</t>
    </r>
    <r>
      <rPr>
        <vertAlign val="subscript"/>
        <sz val="11"/>
        <rFont val="宋体"/>
        <family val="2"/>
        <scheme val="minor"/>
      </rPr>
      <t>n</t>
    </r>
    <r>
      <rPr>
        <sz val="11"/>
        <rFont val="宋体"/>
        <family val="2"/>
        <scheme val="minor"/>
      </rPr>
      <t xml:space="preserve"> = F</t>
    </r>
    <r>
      <rPr>
        <vertAlign val="subscript"/>
        <sz val="11"/>
        <rFont val="宋体"/>
        <family val="2"/>
        <scheme val="minor"/>
      </rPr>
      <t>cr</t>
    </r>
    <r>
      <rPr>
        <sz val="11"/>
        <rFont val="宋体"/>
        <family val="2"/>
        <scheme val="minor"/>
      </rPr>
      <t xml:space="preserve"> A</t>
    </r>
    <r>
      <rPr>
        <vertAlign val="subscript"/>
        <sz val="11"/>
        <rFont val="宋体"/>
        <family val="2"/>
        <scheme val="minor"/>
      </rPr>
      <t>gw</t>
    </r>
    <r>
      <rPr>
        <sz val="11"/>
        <rFont val="宋体"/>
        <family val="2"/>
        <scheme val="minor"/>
      </rPr>
      <t xml:space="preserve"> =</t>
    </r>
  </si>
  <si>
    <r>
      <t>P</t>
    </r>
    <r>
      <rPr>
        <vertAlign val="subscript"/>
        <sz val="11"/>
        <rFont val="宋体"/>
        <family val="2"/>
        <scheme val="minor"/>
      </rPr>
      <t>a</t>
    </r>
    <r>
      <rPr>
        <sz val="11"/>
        <rFont val="宋体"/>
        <family val="2"/>
        <scheme val="minor"/>
      </rPr>
      <t xml:space="preserve">  = P</t>
    </r>
    <r>
      <rPr>
        <vertAlign val="subscript"/>
        <sz val="11"/>
        <rFont val="宋体"/>
        <family val="2"/>
        <scheme val="minor"/>
      </rPr>
      <t>n</t>
    </r>
    <r>
      <rPr>
        <sz val="11"/>
        <rFont val="宋体"/>
        <family val="2"/>
        <scheme val="minor"/>
      </rPr>
      <t>/</t>
    </r>
    <r>
      <rPr>
        <sz val="11"/>
        <rFont val="Calibri"/>
        <family val="2"/>
      </rPr>
      <t>Ω =</t>
    </r>
  </si>
  <si>
    <r>
      <t>UC = P</t>
    </r>
    <r>
      <rPr>
        <vertAlign val="subscript"/>
        <sz val="11"/>
        <rFont val="宋体"/>
        <family val="2"/>
        <scheme val="minor"/>
      </rPr>
      <t>xx</t>
    </r>
    <r>
      <rPr>
        <sz val="11"/>
        <rFont val="宋体"/>
        <family val="2"/>
        <scheme val="minor"/>
      </rPr>
      <t>/P</t>
    </r>
    <r>
      <rPr>
        <vertAlign val="subscript"/>
        <sz val="11"/>
        <rFont val="宋体"/>
        <family val="2"/>
        <scheme val="minor"/>
      </rPr>
      <t>a</t>
    </r>
    <r>
      <rPr>
        <sz val="11"/>
        <rFont val="宋体"/>
        <family val="2"/>
        <scheme val="minor"/>
      </rPr>
      <t xml:space="preserve"> =</t>
    </r>
  </si>
  <si>
    <r>
      <t>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=</t>
    </r>
  </si>
  <si>
    <r>
      <t>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 xml:space="preserve"> =</t>
    </r>
  </si>
  <si>
    <r>
      <t>P</t>
    </r>
    <r>
      <rPr>
        <vertAlign val="subscript"/>
        <sz val="11"/>
        <rFont val="宋体"/>
        <family val="2"/>
        <scheme val="minor"/>
      </rPr>
      <t>wb</t>
    </r>
    <r>
      <rPr>
        <sz val="11"/>
        <rFont val="宋体"/>
        <family val="2"/>
        <scheme val="minor"/>
      </rPr>
      <t xml:space="preserve"> = 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 * t * 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^2 / 6 =</t>
    </r>
  </si>
  <si>
    <r>
      <t>P</t>
    </r>
    <r>
      <rPr>
        <vertAlign val="subscript"/>
        <sz val="11"/>
        <rFont val="宋体"/>
        <family val="2"/>
        <scheme val="minor"/>
      </rPr>
      <t>wt</t>
    </r>
    <r>
      <rPr>
        <sz val="11"/>
        <rFont val="宋体"/>
        <family val="2"/>
        <scheme val="minor"/>
      </rPr>
      <t xml:space="preserve"> = 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 * 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* t =</t>
    </r>
  </si>
  <si>
    <r>
      <t>F</t>
    </r>
    <r>
      <rPr>
        <vertAlign val="subscript"/>
        <sz val="11"/>
        <rFont val="宋体"/>
        <family val="2"/>
        <scheme val="minor"/>
      </rPr>
      <t>h</t>
    </r>
    <r>
      <rPr>
        <sz val="11"/>
        <rFont val="宋体"/>
        <family val="2"/>
        <scheme val="minor"/>
      </rPr>
      <t xml:space="preserve"> = F x cos(θ) =</t>
    </r>
  </si>
  <si>
    <r>
      <t>F</t>
    </r>
    <r>
      <rPr>
        <vertAlign val="subscript"/>
        <sz val="11"/>
        <rFont val="宋体"/>
        <family val="2"/>
        <scheme val="minor"/>
      </rPr>
      <t>v</t>
    </r>
    <r>
      <rPr>
        <sz val="11"/>
        <rFont val="宋体"/>
        <family val="2"/>
        <scheme val="minor"/>
      </rPr>
      <t xml:space="preserve"> = F x sin(θ) =</t>
    </r>
  </si>
  <si>
    <r>
      <t>M = F</t>
    </r>
    <r>
      <rPr>
        <vertAlign val="subscript"/>
        <sz val="11"/>
        <rFont val="宋体"/>
        <family val="2"/>
        <scheme val="minor"/>
      </rPr>
      <t>h</t>
    </r>
    <r>
      <rPr>
        <sz val="11"/>
        <rFont val="宋体"/>
        <family val="2"/>
        <scheme val="minor"/>
      </rPr>
      <t xml:space="preserve"> * e =</t>
    </r>
  </si>
  <si>
    <r>
      <t>f</t>
    </r>
    <r>
      <rPr>
        <vertAlign val="subscript"/>
        <sz val="11"/>
        <rFont val="宋体"/>
        <family val="2"/>
        <scheme val="minor"/>
      </rPr>
      <t>yw</t>
    </r>
    <r>
      <rPr>
        <sz val="11"/>
        <rFont val="宋体"/>
        <family val="2"/>
        <scheme val="minor"/>
      </rPr>
      <t xml:space="preserve"> =</t>
    </r>
  </si>
  <si>
    <r>
      <t>t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=</t>
    </r>
  </si>
  <si>
    <r>
      <t>Ω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</rPr>
      <t xml:space="preserve"> =</t>
    </r>
  </si>
  <si>
    <r>
      <t>combined check, F</t>
    </r>
    <r>
      <rPr>
        <vertAlign val="subscript"/>
        <sz val="11"/>
        <rFont val="宋体"/>
        <family val="2"/>
        <scheme val="minor"/>
      </rPr>
      <t>v</t>
    </r>
    <r>
      <rPr>
        <sz val="11"/>
        <rFont val="宋体"/>
        <family val="2"/>
        <scheme val="minor"/>
      </rPr>
      <t xml:space="preserve"> / P</t>
    </r>
    <r>
      <rPr>
        <vertAlign val="subscript"/>
        <sz val="11"/>
        <rFont val="宋体"/>
        <family val="2"/>
        <scheme val="minor"/>
      </rPr>
      <t>wt</t>
    </r>
    <r>
      <rPr>
        <sz val="11"/>
        <rFont val="宋体"/>
        <family val="2"/>
        <scheme val="minor"/>
      </rPr>
      <t xml:space="preserve"> + (F</t>
    </r>
    <r>
      <rPr>
        <vertAlign val="subscript"/>
        <sz val="11"/>
        <rFont val="宋体"/>
        <family val="2"/>
        <scheme val="minor"/>
      </rPr>
      <t>h</t>
    </r>
    <r>
      <rPr>
        <sz val="11"/>
        <rFont val="宋体"/>
        <family val="2"/>
        <scheme val="minor"/>
      </rPr>
      <t xml:space="preserve"> / P</t>
    </r>
    <r>
      <rPr>
        <vertAlign val="subscript"/>
        <sz val="11"/>
        <rFont val="宋体"/>
        <family val="2"/>
        <scheme val="minor"/>
      </rPr>
      <t>wv</t>
    </r>
    <r>
      <rPr>
        <sz val="11"/>
        <rFont val="宋体"/>
        <family val="2"/>
        <scheme val="minor"/>
      </rPr>
      <t>)^2 + M / P</t>
    </r>
    <r>
      <rPr>
        <vertAlign val="subscript"/>
        <sz val="11"/>
        <rFont val="宋体"/>
        <family val="2"/>
        <scheme val="minor"/>
      </rPr>
      <t>wb</t>
    </r>
    <r>
      <rPr>
        <sz val="11"/>
        <rFont val="宋体"/>
        <family val="2"/>
        <scheme val="minor"/>
      </rPr>
      <t xml:space="preserve"> =</t>
    </r>
  </si>
  <si>
    <r>
      <t>t</t>
    </r>
    <r>
      <rPr>
        <vertAlign val="subscript"/>
        <sz val="11"/>
        <rFont val="宋体"/>
        <family val="2"/>
        <scheme val="minor"/>
      </rPr>
      <t>b</t>
    </r>
    <r>
      <rPr>
        <sz val="11"/>
        <rFont val="宋体"/>
        <family val="2"/>
        <scheme val="minor"/>
      </rPr>
      <t xml:space="preserve"> =</t>
    </r>
  </si>
  <si>
    <r>
      <t>P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= 0.6f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/Ω*2l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*0.707t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=</t>
    </r>
  </si>
  <si>
    <r>
      <t>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 xml:space="preserve"> = </t>
    </r>
  </si>
  <si>
    <r>
      <t>L</t>
    </r>
    <r>
      <rPr>
        <vertAlign val="subscript"/>
        <sz val="11"/>
        <rFont val="宋体"/>
        <family val="2"/>
        <scheme val="minor"/>
      </rPr>
      <t xml:space="preserve">go </t>
    </r>
    <r>
      <rPr>
        <sz val="11"/>
        <rFont val="宋体"/>
        <family val="2"/>
        <scheme val="minor"/>
      </rPr>
      <t xml:space="preserve">= </t>
    </r>
  </si>
  <si>
    <r>
      <t>(if F</t>
    </r>
    <r>
      <rPr>
        <vertAlign val="subscript"/>
        <sz val="11"/>
        <rFont val="宋体"/>
        <family val="2"/>
        <scheme val="minor"/>
      </rPr>
      <t>e</t>
    </r>
    <r>
      <rPr>
        <sz val="11"/>
        <rFont val="宋体"/>
        <family val="2"/>
        <scheme val="minor"/>
      </rPr>
      <t>&lt;0.44F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, F</t>
    </r>
    <r>
      <rPr>
        <vertAlign val="subscript"/>
        <sz val="11"/>
        <rFont val="宋体"/>
        <family val="2"/>
        <scheme val="minor"/>
      </rPr>
      <t>cr</t>
    </r>
    <r>
      <rPr>
        <sz val="11"/>
        <rFont val="宋体"/>
        <family val="2"/>
        <scheme val="minor"/>
      </rPr>
      <t xml:space="preserve"> = 0.877F</t>
    </r>
    <r>
      <rPr>
        <vertAlign val="subscript"/>
        <sz val="11"/>
        <rFont val="宋体"/>
        <family val="2"/>
        <scheme val="minor"/>
      </rPr>
      <t>e</t>
    </r>
    <r>
      <rPr>
        <sz val="11"/>
        <rFont val="宋体"/>
        <family val="2"/>
        <scheme val="minor"/>
      </rPr>
      <t>, otherwise F</t>
    </r>
    <r>
      <rPr>
        <vertAlign val="subscript"/>
        <sz val="11"/>
        <rFont val="宋体"/>
        <family val="2"/>
        <scheme val="minor"/>
      </rPr>
      <t>cr</t>
    </r>
    <r>
      <rPr>
        <sz val="11"/>
        <rFont val="宋体"/>
        <family val="2"/>
        <scheme val="minor"/>
      </rPr>
      <t xml:space="preserve"> = 0.658^(F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/F</t>
    </r>
    <r>
      <rPr>
        <vertAlign val="subscript"/>
        <sz val="11"/>
        <rFont val="宋体"/>
        <family val="2"/>
        <scheme val="minor"/>
      </rPr>
      <t>e</t>
    </r>
    <r>
      <rPr>
        <sz val="11"/>
        <rFont val="宋体"/>
        <family val="2"/>
        <scheme val="minor"/>
      </rPr>
      <t>)F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)</t>
    </r>
  </si>
  <si>
    <r>
      <t>L</t>
    </r>
    <r>
      <rPr>
        <vertAlign val="subscript"/>
        <sz val="11"/>
        <rFont val="宋体"/>
        <family val="2"/>
        <scheme val="minor"/>
      </rPr>
      <t>gef</t>
    </r>
    <r>
      <rPr>
        <sz val="11"/>
        <rFont val="宋体"/>
        <family val="2"/>
        <scheme val="minor"/>
      </rPr>
      <t>f = k*L</t>
    </r>
    <r>
      <rPr>
        <vertAlign val="subscript"/>
        <sz val="11"/>
        <rFont val="宋体"/>
        <family val="2"/>
        <scheme val="minor"/>
      </rPr>
      <t>go</t>
    </r>
    <r>
      <rPr>
        <sz val="11"/>
        <rFont val="宋体"/>
        <family val="2"/>
        <scheme val="minor"/>
      </rPr>
      <t xml:space="preserve"> =</t>
    </r>
  </si>
  <si>
    <r>
      <t>Z = bd</t>
    </r>
    <r>
      <rPr>
        <vertAlign val="superscript"/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/6</t>
    </r>
  </si>
  <si>
    <t>(J4-1)</t>
  </si>
  <si>
    <t>(J4-3)</t>
  </si>
  <si>
    <t>(F2-1)</t>
  </si>
  <si>
    <t>(H3-6)</t>
  </si>
  <si>
    <r>
      <t>P</t>
    </r>
    <r>
      <rPr>
        <vertAlign val="subscript"/>
        <sz val="11"/>
        <rFont val="宋体"/>
        <family val="2"/>
        <scheme val="minor"/>
      </rPr>
      <t>wv</t>
    </r>
    <r>
      <rPr>
        <sz val="11"/>
        <rFont val="宋体"/>
        <family val="2"/>
        <scheme val="minor"/>
      </rPr>
      <t xml:space="preserve"> = 0.6f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</t>
    </r>
    <r>
      <rPr>
        <vertAlign val="subscript"/>
        <sz val="11"/>
        <rFont val="宋体"/>
        <family val="2"/>
        <scheme val="minor"/>
      </rPr>
      <t>2</t>
    </r>
    <r>
      <rPr>
        <sz val="11"/>
        <rFont val="宋体"/>
        <family val="2"/>
        <scheme val="minor"/>
      </rPr>
      <t xml:space="preserve"> * 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* t =</t>
    </r>
  </si>
  <si>
    <r>
      <t>Ω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 xml:space="preserve"> =</t>
    </r>
  </si>
  <si>
    <r>
      <t>P</t>
    </r>
    <r>
      <rPr>
        <vertAlign val="subscript"/>
        <sz val="11"/>
        <rFont val="宋体"/>
        <family val="2"/>
        <scheme val="minor"/>
      </rPr>
      <t>wb</t>
    </r>
    <r>
      <rPr>
        <sz val="11"/>
        <rFont val="宋体"/>
        <family val="2"/>
        <scheme val="minor"/>
      </rPr>
      <t xml:space="preserve"> = 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 * t * 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^2/6 + 2*f</t>
    </r>
    <r>
      <rPr>
        <vertAlign val="subscript"/>
        <sz val="11"/>
        <rFont val="宋体"/>
        <family val="2"/>
        <scheme val="minor"/>
      </rPr>
      <t>yw</t>
    </r>
    <r>
      <rPr>
        <sz val="11"/>
        <rFont val="宋体"/>
        <family val="2"/>
        <scheme val="minor"/>
      </rPr>
      <t>/Ω</t>
    </r>
    <r>
      <rPr>
        <vertAlign val="subscript"/>
        <sz val="11"/>
        <rFont val="宋体"/>
        <family val="2"/>
        <scheme val="minor"/>
      </rPr>
      <t>3</t>
    </r>
    <r>
      <rPr>
        <sz val="11"/>
        <rFont val="宋体"/>
        <family val="2"/>
        <scheme val="minor"/>
      </rPr>
      <t xml:space="preserve"> * 0.707t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* 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^2/6 =</t>
    </r>
  </si>
  <si>
    <r>
      <t>P</t>
    </r>
    <r>
      <rPr>
        <vertAlign val="subscript"/>
        <sz val="11"/>
        <rFont val="宋体"/>
        <family val="2"/>
        <scheme val="minor"/>
      </rPr>
      <t>wt</t>
    </r>
    <r>
      <rPr>
        <sz val="11"/>
        <rFont val="宋体"/>
        <family val="2"/>
        <scheme val="minor"/>
      </rPr>
      <t xml:space="preserve"> = 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 * 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* t + f</t>
    </r>
    <r>
      <rPr>
        <vertAlign val="subscript"/>
        <sz val="11"/>
        <rFont val="宋体"/>
        <family val="2"/>
        <scheme val="minor"/>
      </rPr>
      <t>yw</t>
    </r>
    <r>
      <rPr>
        <sz val="11"/>
        <rFont val="宋体"/>
        <family val="2"/>
        <scheme val="minor"/>
      </rPr>
      <t>/Ω</t>
    </r>
    <r>
      <rPr>
        <vertAlign val="subscript"/>
        <sz val="11"/>
        <rFont val="宋体"/>
        <family val="2"/>
        <scheme val="minor"/>
      </rPr>
      <t>3</t>
    </r>
    <r>
      <rPr>
        <sz val="11"/>
        <rFont val="宋体"/>
        <family val="2"/>
        <scheme val="minor"/>
      </rPr>
      <t xml:space="preserve"> *2l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* 0.707t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=</t>
    </r>
  </si>
  <si>
    <r>
      <t>P</t>
    </r>
    <r>
      <rPr>
        <vertAlign val="subscript"/>
        <sz val="11"/>
        <rFont val="宋体"/>
        <family val="2"/>
        <scheme val="minor"/>
      </rPr>
      <t>wv</t>
    </r>
    <r>
      <rPr>
        <sz val="11"/>
        <rFont val="宋体"/>
        <family val="2"/>
        <scheme val="minor"/>
      </rPr>
      <t xml:space="preserve"> = 0.6f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</t>
    </r>
    <r>
      <rPr>
        <vertAlign val="subscript"/>
        <sz val="11"/>
        <rFont val="宋体"/>
        <family val="2"/>
        <scheme val="minor"/>
      </rPr>
      <t>2</t>
    </r>
    <r>
      <rPr>
        <sz val="11"/>
        <rFont val="宋体"/>
        <family val="2"/>
        <scheme val="minor"/>
      </rPr>
      <t xml:space="preserve"> * 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* t + 0.6f</t>
    </r>
    <r>
      <rPr>
        <vertAlign val="subscript"/>
        <sz val="11"/>
        <rFont val="宋体"/>
        <family val="2"/>
        <scheme val="minor"/>
      </rPr>
      <t>yw</t>
    </r>
    <r>
      <rPr>
        <sz val="11"/>
        <rFont val="宋体"/>
        <family val="2"/>
        <scheme val="minor"/>
      </rPr>
      <t>/Ω</t>
    </r>
    <r>
      <rPr>
        <vertAlign val="subscript"/>
        <sz val="11"/>
        <rFont val="宋体"/>
        <family val="2"/>
        <scheme val="minor"/>
      </rPr>
      <t>3</t>
    </r>
    <r>
      <rPr>
        <sz val="11"/>
        <rFont val="宋体"/>
        <family val="2"/>
        <scheme val="minor"/>
      </rPr>
      <t xml:space="preserve"> *2l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 xml:space="preserve"> * 0.707t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=</t>
    </r>
  </si>
  <si>
    <r>
      <t>P = 0.6*f</t>
    </r>
    <r>
      <rPr>
        <vertAlign val="subscript"/>
        <sz val="11"/>
        <rFont val="宋体"/>
        <family val="2"/>
        <scheme val="minor"/>
      </rPr>
      <t>y</t>
    </r>
    <r>
      <rPr>
        <sz val="11"/>
        <rFont val="宋体"/>
        <family val="2"/>
        <scheme val="minor"/>
      </rPr>
      <t>/Ω</t>
    </r>
    <r>
      <rPr>
        <vertAlign val="subscript"/>
        <sz val="11"/>
        <rFont val="宋体"/>
        <family val="2"/>
        <scheme val="minor"/>
      </rPr>
      <t>2</t>
    </r>
    <r>
      <rPr>
        <sz val="11"/>
        <rFont val="宋体"/>
        <family val="2"/>
        <scheme val="minor"/>
      </rPr>
      <t>*2*l</t>
    </r>
    <r>
      <rPr>
        <vertAlign val="subscript"/>
        <sz val="11"/>
        <rFont val="宋体"/>
        <family val="2"/>
        <scheme val="minor"/>
      </rPr>
      <t>w</t>
    </r>
    <r>
      <rPr>
        <sz val="11"/>
        <rFont val="宋体"/>
        <family val="2"/>
        <scheme val="minor"/>
      </rPr>
      <t>*t</t>
    </r>
    <r>
      <rPr>
        <vertAlign val="subscript"/>
        <sz val="11"/>
        <rFont val="宋体"/>
        <family val="2"/>
        <scheme val="minor"/>
      </rPr>
      <t>b</t>
    </r>
  </si>
  <si>
    <t>Utimate tension strength:</t>
  </si>
  <si>
    <r>
      <t>F</t>
    </r>
    <r>
      <rPr>
        <vertAlign val="subscript"/>
        <sz val="11"/>
        <color theme="1"/>
        <rFont val="Calibri"/>
        <family val="2"/>
      </rPr>
      <t>exx</t>
    </r>
    <r>
      <rPr>
        <sz val="11"/>
        <color theme="1"/>
        <rFont val="Calibri"/>
        <family val="2"/>
      </rPr>
      <t xml:space="preserve"> =</t>
    </r>
  </si>
  <si>
    <r>
      <t>b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 = </t>
    </r>
  </si>
  <si>
    <r>
      <t>t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</si>
  <si>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 xml:space="preserve"> = </t>
    </r>
  </si>
  <si>
    <t>D =</t>
  </si>
  <si>
    <t>mm ( distance of force apllied from the member end )</t>
  </si>
  <si>
    <t>a.</t>
  </si>
  <si>
    <t>D &gt; d</t>
  </si>
  <si>
    <r>
      <t>P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&lt;</t>
    </r>
  </si>
  <si>
    <r>
      <t>t</t>
    </r>
    <r>
      <rPr>
        <vertAlign val="subscript"/>
        <sz val="10"/>
        <rFont val="Arial"/>
        <family val="2"/>
      </rPr>
      <t xml:space="preserve">w </t>
    </r>
    <r>
      <rPr>
        <sz val="10"/>
        <rFont val="Arial"/>
        <family val="2"/>
      </rPr>
      <t>x ( N + 5k ) x 0.66 F</t>
    </r>
    <r>
      <rPr>
        <vertAlign val="subscript"/>
        <sz val="10"/>
        <rFont val="Arial"/>
        <family val="2"/>
      </rPr>
      <t>y</t>
    </r>
  </si>
  <si>
    <t>b.</t>
  </si>
  <si>
    <t>D &lt; d</t>
  </si>
  <si>
    <r>
      <t>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x ( N + 2.5k ) x 0.66 F</t>
    </r>
    <r>
      <rPr>
        <vertAlign val="subscript"/>
        <sz val="10"/>
        <rFont val="Arial"/>
        <family val="2"/>
      </rPr>
      <t>y</t>
    </r>
  </si>
  <si>
    <r>
      <t>P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=</t>
    </r>
  </si>
  <si>
    <t xml:space="preserve">d = </t>
  </si>
  <si>
    <t>Distance from outer face of flange to web toe of fillet:</t>
  </si>
  <si>
    <r>
      <t>P/P</t>
    </r>
    <r>
      <rPr>
        <vertAlign val="subscript"/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 xml:space="preserve"> =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</si>
  <si>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K1-2)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</si>
  <si>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K1-3)</t>
    </r>
  </si>
  <si>
    <t>D &gt; 0.5 d</t>
  </si>
  <si>
    <r>
      <t xml:space="preserve"> 67.5 t</t>
    </r>
    <r>
      <rPr>
        <vertAlign val="subscript"/>
        <sz val="10"/>
        <rFont val="Arial"/>
        <family val="2"/>
      </rPr>
      <t>w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x [ 1 + 3 ( N / d ) x ( 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/ t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)</t>
    </r>
    <r>
      <rPr>
        <vertAlign val="superscript"/>
        <sz val="10"/>
        <rFont val="Arial"/>
        <family val="2"/>
      </rPr>
      <t>1.5</t>
    </r>
    <r>
      <rPr>
        <sz val="10"/>
        <rFont val="Arial"/>
        <family val="2"/>
      </rPr>
      <t>] x ( 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t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/ 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)</t>
    </r>
    <r>
      <rPr>
        <vertAlign val="superscript"/>
        <sz val="10"/>
        <rFont val="Arial"/>
        <family val="2"/>
      </rPr>
      <t>0.5</t>
    </r>
  </si>
  <si>
    <t>D &lt; 0.5 d</t>
  </si>
  <si>
    <r>
      <t xml:space="preserve"> 34 t</t>
    </r>
    <r>
      <rPr>
        <vertAlign val="subscript"/>
        <sz val="10"/>
        <rFont val="Arial"/>
        <family val="2"/>
      </rPr>
      <t>w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x [ 1 + 3 ( N / d ) x ( 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/ t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)</t>
    </r>
    <r>
      <rPr>
        <vertAlign val="superscript"/>
        <sz val="10"/>
        <rFont val="Arial"/>
        <family val="2"/>
      </rPr>
      <t>1.5</t>
    </r>
    <r>
      <rPr>
        <sz val="10"/>
        <rFont val="Arial"/>
        <family val="2"/>
      </rPr>
      <t>] x ( 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 xml:space="preserve"> t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/ 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)</t>
    </r>
    <r>
      <rPr>
        <vertAlign val="superscript"/>
        <sz val="10"/>
        <rFont val="Arial"/>
        <family val="2"/>
      </rPr>
      <t>0.5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</si>
  <si>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K1-5)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</si>
  <si>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K1-4)</t>
    </r>
  </si>
  <si>
    <r>
      <t>d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=</t>
    </r>
  </si>
  <si>
    <t>h =</t>
  </si>
  <si>
    <t>Web Height clear of fillets:</t>
  </si>
  <si>
    <t>Web Height clear of flanges:</t>
  </si>
  <si>
    <r>
      <t>Loaded flange is restaint against rotation and (d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/ 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 / (</t>
    </r>
    <r>
      <rPr>
        <i/>
        <sz val="10"/>
        <rFont val="Lucida Handwriting"/>
        <family val="4"/>
      </rPr>
      <t>l</t>
    </r>
    <r>
      <rPr>
        <sz val="10"/>
        <rFont val="Arial"/>
        <family val="2"/>
      </rPr>
      <t xml:space="preserve"> / 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 &lt; 2.3</t>
    </r>
  </si>
  <si>
    <r>
      <t xml:space="preserve"> 6,800 t</t>
    </r>
    <r>
      <rPr>
        <vertAlign val="subscript"/>
        <sz val="10"/>
        <rFont val="Arial"/>
        <family val="2"/>
      </rPr>
      <t>w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x {1+ 0.4 [ (d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 / (</t>
    </r>
    <r>
      <rPr>
        <i/>
        <sz val="10"/>
        <rFont val="Lucida Handwriting"/>
        <family val="4"/>
      </rPr>
      <t>l</t>
    </r>
    <r>
      <rPr>
        <sz val="10"/>
        <rFont val="Arial"/>
        <family val="2"/>
      </rPr>
      <t>/b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 ]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} / h</t>
    </r>
  </si>
  <si>
    <r>
      <t>Loaded flange is not restaint against rotation and (d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/ 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 / (</t>
    </r>
    <r>
      <rPr>
        <i/>
        <sz val="10"/>
        <rFont val="Lucida Handwriting"/>
        <family val="4"/>
      </rPr>
      <t>l</t>
    </r>
    <r>
      <rPr>
        <sz val="10"/>
        <rFont val="Arial"/>
        <family val="2"/>
      </rPr>
      <t xml:space="preserve"> / 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 &lt; 1.7</t>
    </r>
  </si>
  <si>
    <r>
      <t>l</t>
    </r>
    <r>
      <rPr>
        <sz val="10"/>
        <rFont val="Courier New"/>
        <family val="3"/>
      </rPr>
      <t xml:space="preserve"> =</t>
    </r>
  </si>
  <si>
    <r>
      <t xml:space="preserve"> 6,800 t</t>
    </r>
    <r>
      <rPr>
        <vertAlign val="subscript"/>
        <sz val="10"/>
        <rFont val="Arial"/>
        <family val="2"/>
      </rPr>
      <t>w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x { 0.4 [ (d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 / (</t>
    </r>
    <r>
      <rPr>
        <i/>
        <sz val="10"/>
        <rFont val="Lucida Handwriting"/>
        <family val="4"/>
      </rPr>
      <t>l</t>
    </r>
    <r>
      <rPr>
        <sz val="10"/>
        <rFont val="Arial"/>
        <family val="2"/>
      </rPr>
      <t>/b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 ]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} / h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</si>
  <si>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K1-6)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</si>
  <si>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K1-7)</t>
    </r>
  </si>
  <si>
    <r>
      <t>(d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/ 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 / (</t>
    </r>
    <r>
      <rPr>
        <i/>
        <sz val="10"/>
        <rFont val="Lucida Handwriting"/>
        <family val="4"/>
      </rPr>
      <t>l</t>
    </r>
    <r>
      <rPr>
        <sz val="10"/>
        <rFont val="Arial"/>
        <family val="2"/>
      </rPr>
      <t xml:space="preserve"> / b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 =</t>
    </r>
  </si>
  <si>
    <t>in</t>
  </si>
  <si>
    <t>kips</t>
  </si>
  <si>
    <t>Compression Buckling of the Web</t>
  </si>
  <si>
    <r>
      <t>d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&lt;</t>
    </r>
  </si>
  <si>
    <r>
      <t>4100 t</t>
    </r>
    <r>
      <rPr>
        <vertAlign val="subscript"/>
        <sz val="10"/>
        <rFont val="Arial"/>
        <family val="2"/>
      </rPr>
      <t>w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F</t>
    </r>
    <r>
      <rPr>
        <vertAlign val="subscript"/>
        <sz val="10"/>
        <rFont val="Arial"/>
        <family val="2"/>
      </rPr>
      <t>y</t>
    </r>
    <r>
      <rPr>
        <vertAlign val="superscript"/>
        <sz val="10"/>
        <rFont val="Arial"/>
        <family val="2"/>
      </rPr>
      <t xml:space="preserve">0.5 </t>
    </r>
    <r>
      <rPr>
        <sz val="10"/>
        <rFont val="Arial"/>
        <family val="2"/>
      </rPr>
      <t>/ P</t>
    </r>
    <r>
      <rPr>
        <vertAlign val="subscript"/>
        <sz val="10"/>
        <rFont val="Arial"/>
        <family val="2"/>
      </rPr>
      <t>bf</t>
    </r>
  </si>
  <si>
    <r>
      <t>0.6 * 4100 t</t>
    </r>
    <r>
      <rPr>
        <vertAlign val="subscript"/>
        <sz val="10"/>
        <rFont val="Arial"/>
        <family val="2"/>
      </rPr>
      <t>w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F</t>
    </r>
    <r>
      <rPr>
        <vertAlign val="subscript"/>
        <sz val="10"/>
        <rFont val="Arial"/>
        <family val="2"/>
      </rPr>
      <t>y</t>
    </r>
    <r>
      <rPr>
        <vertAlign val="superscript"/>
        <sz val="10"/>
        <rFont val="Arial"/>
        <family val="2"/>
      </rPr>
      <t xml:space="preserve">0.5 </t>
    </r>
    <r>
      <rPr>
        <sz val="10"/>
        <rFont val="Arial"/>
        <family val="2"/>
      </rPr>
      <t>/ d</t>
    </r>
    <r>
      <rPr>
        <vertAlign val="subscript"/>
        <sz val="10"/>
        <rFont val="Arial"/>
        <family val="2"/>
      </rPr>
      <t>c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</si>
  <si>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K1-8)</t>
    </r>
  </si>
  <si>
    <t>Stiffener Cross Sectional Area Required</t>
  </si>
  <si>
    <r>
      <t>A</t>
    </r>
    <r>
      <rPr>
        <vertAlign val="subscript"/>
        <sz val="10"/>
        <rFont val="Arial"/>
        <family val="2"/>
      </rPr>
      <t>st</t>
    </r>
    <r>
      <rPr>
        <sz val="10"/>
        <rFont val="Arial"/>
        <family val="2"/>
      </rPr>
      <t xml:space="preserve"> =</t>
    </r>
  </si>
  <si>
    <r>
      <t>P</t>
    </r>
    <r>
      <rPr>
        <vertAlign val="subscript"/>
        <sz val="10"/>
        <rFont val="Arial"/>
        <family val="2"/>
      </rPr>
      <t>bf</t>
    </r>
    <r>
      <rPr>
        <sz val="10"/>
        <rFont val="Arial"/>
        <family val="2"/>
      </rPr>
      <t xml:space="preserve"> - F</t>
    </r>
    <r>
      <rPr>
        <vertAlign val="subscript"/>
        <sz val="10"/>
        <rFont val="Arial"/>
        <family val="2"/>
      </rPr>
      <t>yc</t>
    </r>
    <r>
      <rPr>
        <sz val="10"/>
        <rFont val="Arial"/>
        <family val="2"/>
      </rPr>
      <t xml:space="preserve"> t</t>
    </r>
    <r>
      <rPr>
        <vertAlign val="subscript"/>
        <sz val="10"/>
        <rFont val="Arial"/>
        <family val="2"/>
      </rPr>
      <t>wc</t>
    </r>
    <r>
      <rPr>
        <sz val="10"/>
        <rFont val="Arial"/>
        <family val="2"/>
      </rPr>
      <t xml:space="preserve"> ( t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+ 5k ) / F</t>
    </r>
    <r>
      <rPr>
        <vertAlign val="subscript"/>
        <sz val="10"/>
        <rFont val="Arial"/>
        <family val="2"/>
      </rPr>
      <t>yst</t>
    </r>
  </si>
  <si>
    <r>
      <t>F</t>
    </r>
    <r>
      <rPr>
        <vertAlign val="subscript"/>
        <sz val="11"/>
        <color theme="1"/>
        <rFont val="宋体"/>
        <family val="2"/>
        <scheme val="minor"/>
      </rPr>
      <t>y</t>
    </r>
    <r>
      <rPr>
        <sz val="11"/>
        <color theme="1"/>
        <rFont val="宋体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</si>
  <si>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</si>
  <si>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宋体"/>
        <family val="2"/>
        <scheme val="minor"/>
      </rPr>
      <t>yst</t>
    </r>
    <r>
      <rPr>
        <sz val="11"/>
        <color theme="1"/>
        <rFont val="宋体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</si>
  <si>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宋体"/>
        <family val="2"/>
        <scheme val="minor"/>
      </rPr>
      <t>ust</t>
    </r>
    <r>
      <rPr>
        <sz val="11"/>
        <color theme="1"/>
        <rFont val="宋体"/>
        <family val="2"/>
        <scheme val="minor"/>
      </rPr>
      <t xml:space="preserve"> = </t>
    </r>
  </si>
  <si>
    <r>
      <t>P</t>
    </r>
    <r>
      <rPr>
        <vertAlign val="subscript"/>
        <sz val="10"/>
        <rFont val="Arial"/>
        <family val="2"/>
      </rPr>
      <t>bf</t>
    </r>
    <r>
      <rPr>
        <sz val="10"/>
        <rFont val="Arial"/>
        <family val="2"/>
      </rPr>
      <t xml:space="preserve"> =</t>
    </r>
  </si>
  <si>
    <t xml:space="preserve"> 5/3 P  kips</t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</si>
  <si>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K1-9)</t>
    </r>
  </si>
  <si>
    <r>
      <t>R</t>
    </r>
    <r>
      <rPr>
        <vertAlign val="subscript"/>
        <sz val="11"/>
        <color theme="0"/>
        <rFont val="宋体"/>
        <family val="2"/>
        <scheme val="minor"/>
      </rPr>
      <t>n</t>
    </r>
    <r>
      <rPr>
        <sz val="11"/>
        <color theme="0"/>
        <rFont val="宋体"/>
        <family val="2"/>
        <scheme val="minor"/>
      </rPr>
      <t xml:space="preserve"> = F</t>
    </r>
    <r>
      <rPr>
        <vertAlign val="subscript"/>
        <sz val="11"/>
        <color theme="0"/>
        <rFont val="宋体"/>
        <family val="2"/>
        <scheme val="minor"/>
      </rPr>
      <t>y</t>
    </r>
    <r>
      <rPr>
        <sz val="11"/>
        <color theme="0"/>
        <rFont val="宋体"/>
        <family val="2"/>
        <scheme val="minor"/>
      </rPr>
      <t xml:space="preserve"> A</t>
    </r>
    <r>
      <rPr>
        <vertAlign val="subscript"/>
        <sz val="11"/>
        <color theme="0"/>
        <rFont val="宋体"/>
        <family val="2"/>
        <scheme val="minor"/>
      </rPr>
      <t>g</t>
    </r>
  </si>
  <si>
    <r>
      <t>M</t>
    </r>
    <r>
      <rPr>
        <vertAlign val="subscript"/>
        <sz val="11"/>
        <color theme="0"/>
        <rFont val="宋体"/>
        <family val="2"/>
        <scheme val="minor"/>
      </rPr>
      <t>n</t>
    </r>
    <r>
      <rPr>
        <sz val="11"/>
        <color theme="0"/>
        <rFont val="宋体"/>
        <family val="2"/>
        <scheme val="minor"/>
      </rPr>
      <t xml:space="preserve"> = F</t>
    </r>
    <r>
      <rPr>
        <vertAlign val="subscript"/>
        <sz val="11"/>
        <color theme="0"/>
        <rFont val="宋体"/>
        <family val="2"/>
        <scheme val="minor"/>
      </rPr>
      <t>y</t>
    </r>
    <r>
      <rPr>
        <sz val="11"/>
        <color theme="0"/>
        <rFont val="宋体"/>
        <family val="2"/>
        <scheme val="minor"/>
      </rPr>
      <t xml:space="preserve"> Z</t>
    </r>
    <r>
      <rPr>
        <vertAlign val="subscript"/>
        <sz val="11"/>
        <color theme="0"/>
        <rFont val="宋体"/>
        <family val="2"/>
        <scheme val="minor"/>
      </rPr>
      <t>x</t>
    </r>
  </si>
  <si>
    <r>
      <t>R</t>
    </r>
    <r>
      <rPr>
        <vertAlign val="subscript"/>
        <sz val="11"/>
        <color theme="0"/>
        <rFont val="宋体"/>
        <family val="2"/>
        <scheme val="minor"/>
      </rPr>
      <t>n</t>
    </r>
    <r>
      <rPr>
        <sz val="11"/>
        <color theme="0"/>
        <rFont val="宋体"/>
        <family val="2"/>
        <scheme val="minor"/>
      </rPr>
      <t xml:space="preserve"> = 0.60 F</t>
    </r>
    <r>
      <rPr>
        <vertAlign val="subscript"/>
        <sz val="11"/>
        <color theme="0"/>
        <rFont val="宋体"/>
        <family val="2"/>
        <scheme val="minor"/>
      </rPr>
      <t>y</t>
    </r>
    <r>
      <rPr>
        <sz val="11"/>
        <color theme="0"/>
        <rFont val="宋体"/>
        <family val="2"/>
        <scheme val="minor"/>
      </rPr>
      <t xml:space="preserve"> A</t>
    </r>
    <r>
      <rPr>
        <vertAlign val="subscript"/>
        <sz val="11"/>
        <color theme="0"/>
        <rFont val="宋体"/>
        <family val="2"/>
        <scheme val="minor"/>
      </rPr>
      <t>g</t>
    </r>
  </si>
  <si>
    <t>Stiffener Design</t>
  </si>
  <si>
    <t>Web - Stiffeneners as Axially Loaded Column</t>
  </si>
  <si>
    <t>Design Load</t>
  </si>
  <si>
    <r>
      <t>95 / (F</t>
    </r>
    <r>
      <rPr>
        <vertAlign val="subscript"/>
        <sz val="11"/>
        <color theme="1"/>
        <rFont val="宋体"/>
        <family val="2"/>
        <scheme val="minor"/>
      </rPr>
      <t>yst</t>
    </r>
    <r>
      <rPr>
        <sz val="11"/>
        <color theme="1"/>
        <rFont val="宋体"/>
        <family val="2"/>
        <scheme val="minor"/>
      </rPr>
      <t>)</t>
    </r>
    <r>
      <rPr>
        <vertAlign val="superscript"/>
        <sz val="11"/>
        <color theme="1"/>
        <rFont val="宋体"/>
        <family val="2"/>
        <scheme val="minor"/>
      </rPr>
      <t>0.5</t>
    </r>
  </si>
  <si>
    <r>
      <t>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 xml:space="preserve"> =</t>
    </r>
  </si>
  <si>
    <r>
      <t>t</t>
    </r>
    <r>
      <rPr>
        <vertAlign val="subscript"/>
        <sz val="10"/>
        <rFont val="Arial"/>
        <family val="2"/>
      </rPr>
      <t>w</t>
    </r>
  </si>
  <si>
    <t>1"</t>
  </si>
  <si>
    <t>x</t>
  </si>
  <si>
    <r>
      <t xml:space="preserve"> L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= 25 t</t>
    </r>
    <r>
      <rPr>
        <vertAlign val="subscript"/>
        <sz val="10"/>
        <rFont val="Arial"/>
        <family val="2"/>
      </rPr>
      <t>w</t>
    </r>
  </si>
  <si>
    <t>y</t>
  </si>
  <si>
    <r>
      <t xml:space="preserve">           b</t>
    </r>
    <r>
      <rPr>
        <vertAlign val="subscript"/>
        <sz val="10"/>
        <rFont val="Arial"/>
        <family val="2"/>
      </rPr>
      <t>f</t>
    </r>
  </si>
  <si>
    <t>Minimum Stiffener width</t>
  </si>
  <si>
    <r>
      <t>b</t>
    </r>
    <r>
      <rPr>
        <vertAlign val="subscript"/>
        <sz val="11"/>
        <color theme="1"/>
        <rFont val="宋体"/>
        <family val="2"/>
        <scheme val="minor"/>
      </rPr>
      <t>st,min</t>
    </r>
    <r>
      <rPr>
        <sz val="11"/>
        <color theme="1"/>
        <rFont val="宋体"/>
        <family val="2"/>
        <scheme val="minor"/>
      </rPr>
      <t xml:space="preserve"> =</t>
    </r>
  </si>
  <si>
    <r>
      <t>b</t>
    </r>
    <r>
      <rPr>
        <vertAlign val="subscript"/>
        <sz val="11"/>
        <color theme="1"/>
        <rFont val="宋体"/>
        <family val="2"/>
        <scheme val="minor"/>
      </rPr>
      <t>f</t>
    </r>
    <r>
      <rPr>
        <sz val="11"/>
        <color theme="1"/>
        <rFont val="宋体"/>
        <family val="2"/>
        <scheme val="minor"/>
      </rPr>
      <t xml:space="preserve"> /3 - t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 xml:space="preserve"> /2</t>
    </r>
  </si>
  <si>
    <t>=</t>
  </si>
  <si>
    <t>Width-thickness ratio</t>
  </si>
  <si>
    <t>(bf - tw)/2 - 25.4</t>
  </si>
  <si>
    <t>(minimum)</t>
  </si>
  <si>
    <r>
      <t>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/ (95 / (F</t>
    </r>
    <r>
      <rPr>
        <vertAlign val="subscript"/>
        <sz val="11"/>
        <color theme="1"/>
        <rFont val="宋体"/>
        <family val="2"/>
        <scheme val="minor"/>
      </rPr>
      <t>yst</t>
    </r>
    <r>
      <rPr>
        <sz val="11"/>
        <color theme="1"/>
        <rFont val="宋体"/>
        <family val="2"/>
        <scheme val="minor"/>
      </rPr>
      <t>)</t>
    </r>
    <r>
      <rPr>
        <vertAlign val="superscript"/>
        <sz val="11"/>
        <color theme="1"/>
        <rFont val="宋体"/>
        <family val="2"/>
        <scheme val="minor"/>
      </rPr>
      <t>0.5</t>
    </r>
    <r>
      <rPr>
        <sz val="11"/>
        <color theme="1"/>
        <rFont val="宋体"/>
        <family val="2"/>
        <scheme val="minor"/>
      </rPr>
      <t>)</t>
    </r>
  </si>
  <si>
    <r>
      <t>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 xml:space="preserve"> / t</t>
    </r>
    <r>
      <rPr>
        <vertAlign val="subscript"/>
        <sz val="11"/>
        <color theme="1"/>
        <rFont val="宋体"/>
        <family val="2"/>
        <scheme val="minor"/>
      </rPr>
      <t>st.min</t>
    </r>
    <r>
      <rPr>
        <sz val="11"/>
        <color theme="1"/>
        <rFont val="宋体"/>
        <family val="2"/>
        <scheme val="minor"/>
      </rPr>
      <t xml:space="preserve"> =</t>
    </r>
  </si>
  <si>
    <r>
      <t>t</t>
    </r>
    <r>
      <rPr>
        <vertAlign val="subscript"/>
        <sz val="11"/>
        <color theme="1"/>
        <rFont val="宋体"/>
        <family val="2"/>
        <scheme val="minor"/>
      </rPr>
      <t>st.min</t>
    </r>
    <r>
      <rPr>
        <sz val="11"/>
        <color theme="1"/>
        <rFont val="宋体"/>
        <family val="2"/>
        <scheme val="minor"/>
      </rPr>
      <t xml:space="preserve"> =</t>
    </r>
  </si>
  <si>
    <r>
      <t>t</t>
    </r>
    <r>
      <rPr>
        <vertAlign val="subscript"/>
        <sz val="11"/>
        <color theme="1"/>
        <rFont val="宋体"/>
        <family val="2"/>
        <scheme val="minor"/>
      </rPr>
      <t xml:space="preserve">st </t>
    </r>
    <r>
      <rPr>
        <sz val="11"/>
        <color theme="1"/>
        <rFont val="宋体"/>
        <family val="2"/>
        <scheme val="minor"/>
      </rPr>
      <t>=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</si>
  <si>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Table B5.1)</t>
    </r>
  </si>
  <si>
    <t>Web Stiffener Data</t>
  </si>
  <si>
    <t>Minimun Stiffener thickness</t>
  </si>
  <si>
    <r>
      <t>in</t>
    </r>
    <r>
      <rPr>
        <vertAlign val="superscript"/>
        <sz val="11"/>
        <color theme="1"/>
        <rFont val="宋体"/>
        <family val="2"/>
        <scheme val="minor"/>
      </rPr>
      <t>2</t>
    </r>
  </si>
  <si>
    <r>
      <t>L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 xml:space="preserve"> = 25 t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 xml:space="preserve"> =</t>
    </r>
  </si>
  <si>
    <t>Effective beam web length</t>
  </si>
  <si>
    <t>Effective area</t>
  </si>
  <si>
    <r>
      <t>A</t>
    </r>
    <r>
      <rPr>
        <vertAlign val="subscript"/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 xml:space="preserve"> = (L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>*t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>)+2*(b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*t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) =</t>
    </r>
  </si>
  <si>
    <t>Moment of Inertia</t>
  </si>
  <si>
    <t>Radiu of gyration</t>
  </si>
  <si>
    <r>
      <t>r</t>
    </r>
    <r>
      <rPr>
        <vertAlign val="subscript"/>
        <sz val="11"/>
        <color theme="1"/>
        <rFont val="宋体"/>
        <family val="2"/>
        <scheme val="minor"/>
      </rPr>
      <t>x</t>
    </r>
    <r>
      <rPr>
        <sz val="11"/>
        <color theme="1"/>
        <rFont val="宋体"/>
        <family val="2"/>
        <scheme val="minor"/>
      </rPr>
      <t xml:space="preserve"> = (I</t>
    </r>
    <r>
      <rPr>
        <vertAlign val="subscript"/>
        <sz val="11"/>
        <color theme="1"/>
        <rFont val="宋体"/>
        <family val="2"/>
        <scheme val="minor"/>
      </rPr>
      <t>xx</t>
    </r>
    <r>
      <rPr>
        <sz val="11"/>
        <color theme="1"/>
        <rFont val="宋体"/>
        <family val="2"/>
        <scheme val="minor"/>
      </rPr>
      <t>/A</t>
    </r>
    <r>
      <rPr>
        <vertAlign val="subscript"/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)</t>
    </r>
    <r>
      <rPr>
        <vertAlign val="superscript"/>
        <sz val="11"/>
        <color theme="1"/>
        <rFont val="宋体"/>
        <family val="2"/>
        <scheme val="minor"/>
      </rPr>
      <t>0.5</t>
    </r>
    <r>
      <rPr>
        <sz val="11"/>
        <color theme="1"/>
        <rFont val="宋体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</si>
  <si>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宋体"/>
        <family val="2"/>
        <scheme val="minor"/>
      </rPr>
      <t>y</t>
    </r>
    <r>
      <rPr>
        <sz val="11"/>
        <color theme="1"/>
        <rFont val="宋体"/>
        <family val="2"/>
        <scheme val="minor"/>
      </rPr>
      <t xml:space="preserve"> = (I</t>
    </r>
    <r>
      <rPr>
        <vertAlign val="subscript"/>
        <sz val="11"/>
        <color theme="1"/>
        <rFont val="宋体"/>
        <family val="2"/>
        <scheme val="minor"/>
      </rPr>
      <t>yy</t>
    </r>
    <r>
      <rPr>
        <sz val="11"/>
        <color theme="1"/>
        <rFont val="宋体"/>
        <family val="2"/>
        <scheme val="minor"/>
      </rPr>
      <t>/A</t>
    </r>
    <r>
      <rPr>
        <vertAlign val="subscript"/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)</t>
    </r>
    <r>
      <rPr>
        <vertAlign val="superscript"/>
        <sz val="11"/>
        <color theme="1"/>
        <rFont val="宋体"/>
        <family val="2"/>
        <scheme val="minor"/>
      </rPr>
      <t>0.5</t>
    </r>
    <r>
      <rPr>
        <sz val="11"/>
        <color theme="1"/>
        <rFont val="宋体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</si>
  <si>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宋体"/>
        <family val="2"/>
        <scheme val="minor"/>
      </rPr>
      <t>xx</t>
    </r>
    <r>
      <rPr>
        <sz val="11"/>
        <color theme="1"/>
        <rFont val="宋体"/>
        <family val="2"/>
        <scheme val="minor"/>
      </rPr>
      <t xml:space="preserve"> = 1/12*t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>L</t>
    </r>
    <r>
      <rPr>
        <vertAlign val="subscript"/>
        <sz val="11"/>
        <color theme="1"/>
        <rFont val="宋体"/>
        <family val="2"/>
        <scheme val="minor"/>
      </rPr>
      <t>w</t>
    </r>
    <r>
      <rPr>
        <vertAlign val="superscript"/>
        <sz val="11"/>
        <color theme="1"/>
        <rFont val="宋体"/>
        <family val="2"/>
        <scheme val="minor"/>
      </rPr>
      <t xml:space="preserve">3 </t>
    </r>
    <r>
      <rPr>
        <sz val="11"/>
        <color theme="1"/>
        <rFont val="宋体"/>
        <family val="2"/>
        <scheme val="minor"/>
      </rPr>
      <t xml:space="preserve"> + 2*1/12*b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t</t>
    </r>
    <r>
      <rPr>
        <vertAlign val="subscript"/>
        <sz val="11"/>
        <color theme="1"/>
        <rFont val="宋体"/>
        <family val="2"/>
        <scheme val="minor"/>
      </rPr>
      <t>st</t>
    </r>
    <r>
      <rPr>
        <vertAlign val="superscript"/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 xml:space="preserve"> =</t>
    </r>
  </si>
  <si>
    <r>
      <t>in</t>
    </r>
    <r>
      <rPr>
        <vertAlign val="superscript"/>
        <sz val="11"/>
        <color theme="1"/>
        <rFont val="宋体"/>
        <family val="2"/>
        <scheme val="minor"/>
      </rPr>
      <t>4</t>
    </r>
  </si>
  <si>
    <r>
      <t>I</t>
    </r>
    <r>
      <rPr>
        <vertAlign val="subscript"/>
        <sz val="11"/>
        <color theme="1"/>
        <rFont val="宋体"/>
        <family val="2"/>
        <scheme val="minor"/>
      </rPr>
      <t>yy</t>
    </r>
    <r>
      <rPr>
        <sz val="11"/>
        <color theme="1"/>
        <rFont val="宋体"/>
        <family val="2"/>
        <scheme val="minor"/>
      </rPr>
      <t xml:space="preserve"> = 1/12*L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>t</t>
    </r>
    <r>
      <rPr>
        <vertAlign val="subscript"/>
        <sz val="11"/>
        <color theme="1"/>
        <rFont val="宋体"/>
        <family val="2"/>
        <scheme val="minor"/>
      </rPr>
      <t>w</t>
    </r>
    <r>
      <rPr>
        <vertAlign val="superscript"/>
        <sz val="11"/>
        <color theme="1"/>
        <rFont val="宋体"/>
        <family val="2"/>
        <scheme val="minor"/>
      </rPr>
      <t xml:space="preserve">3 </t>
    </r>
    <r>
      <rPr>
        <sz val="11"/>
        <color theme="1"/>
        <rFont val="宋体"/>
        <family val="2"/>
        <scheme val="minor"/>
      </rPr>
      <t>+2*(1/12*t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3</t>
    </r>
  </si>
  <si>
    <r>
      <t>+ 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t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*(b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>/2+t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>/2)</t>
    </r>
    <r>
      <rPr>
        <vertAlign val="superscript"/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 xml:space="preserve"> =</t>
    </r>
  </si>
  <si>
    <t xml:space="preserve">Axial Stress </t>
  </si>
  <si>
    <t>When Kl/r &lt; Cc</t>
  </si>
  <si>
    <t>Q =</t>
  </si>
  <si>
    <t xml:space="preserve">Young Modulus </t>
  </si>
  <si>
    <r>
      <t>E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 xml:space="preserve"> =</t>
    </r>
  </si>
  <si>
    <t>Kl/r =</t>
  </si>
  <si>
    <t>l =</t>
  </si>
  <si>
    <t>When Kl/r &gt; Cc</t>
  </si>
  <si>
    <t>Where,</t>
  </si>
  <si>
    <r>
      <t>F</t>
    </r>
    <r>
      <rPr>
        <vertAlign val="subscript"/>
        <sz val="10"/>
        <rFont val="Arial"/>
        <family val="2"/>
      </rPr>
      <t>a</t>
    </r>
    <r>
      <rPr>
        <sz val="11"/>
        <color theme="1"/>
        <rFont val="宋体"/>
        <family val="2"/>
        <scheme val="minor"/>
      </rPr>
      <t xml:space="preserve"> =</t>
    </r>
  </si>
  <si>
    <r>
      <t>[ 1 - (kl/r)</t>
    </r>
    <r>
      <rPr>
        <vertAlign val="superscript"/>
        <sz val="10"/>
        <rFont val="Arial"/>
        <family val="2"/>
      </rPr>
      <t>2</t>
    </r>
    <r>
      <rPr>
        <sz val="11"/>
        <color theme="1"/>
        <rFont val="宋体"/>
        <family val="2"/>
        <scheme val="minor"/>
      </rPr>
      <t xml:space="preserve"> / 2 C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2</t>
    </r>
    <r>
      <rPr>
        <sz val="11"/>
        <color theme="1"/>
        <rFont val="宋体"/>
        <family val="2"/>
        <scheme val="minor"/>
      </rPr>
      <t xml:space="preserve"> ] F</t>
    </r>
    <r>
      <rPr>
        <vertAlign val="subscript"/>
        <sz val="10"/>
        <rFont val="Arial"/>
        <family val="2"/>
      </rPr>
      <t>y</t>
    </r>
  </si>
  <si>
    <r>
      <t>5/3 + 3 (kl/r) / ( 8 C</t>
    </r>
    <r>
      <rPr>
        <vertAlign val="subscript"/>
        <sz val="10"/>
        <rFont val="Arial"/>
        <family val="2"/>
      </rPr>
      <t>c</t>
    </r>
    <r>
      <rPr>
        <sz val="11"/>
        <color theme="1"/>
        <rFont val="宋体"/>
        <family val="2"/>
        <scheme val="minor"/>
      </rPr>
      <t xml:space="preserve"> ) - (kl/r)</t>
    </r>
    <r>
      <rPr>
        <vertAlign val="superscript"/>
        <sz val="10"/>
        <rFont val="Arial"/>
        <family val="2"/>
      </rPr>
      <t>3</t>
    </r>
    <r>
      <rPr>
        <sz val="11"/>
        <color theme="1"/>
        <rFont val="宋体"/>
        <family val="2"/>
        <scheme val="minor"/>
      </rPr>
      <t xml:space="preserve"> / ( 8C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3</t>
    </r>
    <r>
      <rPr>
        <sz val="11"/>
        <color theme="1"/>
        <rFont val="宋体"/>
        <family val="2"/>
        <scheme val="minor"/>
      </rPr>
      <t>)</t>
    </r>
  </si>
  <si>
    <r>
      <t xml:space="preserve">12 </t>
    </r>
    <r>
      <rPr>
        <sz val="8"/>
        <color theme="1"/>
        <rFont val="Calibri"/>
        <family val="2"/>
      </rPr>
      <t>∏</t>
    </r>
    <r>
      <rPr>
        <vertAlign val="super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E</t>
    </r>
  </si>
  <si>
    <r>
      <t>23 (Kl/r)</t>
    </r>
    <r>
      <rPr>
        <b/>
        <vertAlign val="superscript"/>
        <sz val="11"/>
        <rFont val="宋体"/>
        <family val="2"/>
        <scheme val="minor"/>
      </rPr>
      <t>2</t>
    </r>
  </si>
  <si>
    <r>
      <t>Cc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=</t>
    </r>
  </si>
  <si>
    <t>Axial Allowable Stress</t>
  </si>
  <si>
    <r>
      <t>f</t>
    </r>
    <r>
      <rPr>
        <vertAlign val="subscript"/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 xml:space="preserve"> =</t>
    </r>
  </si>
  <si>
    <r>
      <t>P / A</t>
    </r>
    <r>
      <rPr>
        <vertAlign val="subscript"/>
        <sz val="11"/>
        <color theme="1"/>
        <rFont val="宋体"/>
        <family val="2"/>
        <scheme val="minor"/>
      </rPr>
      <t>c</t>
    </r>
  </si>
  <si>
    <r>
      <t>f</t>
    </r>
    <r>
      <rPr>
        <vertAlign val="subscript"/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 xml:space="preserve"> / F</t>
    </r>
    <r>
      <rPr>
        <vertAlign val="subscript"/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 xml:space="preserve"> =</t>
    </r>
  </si>
  <si>
    <t>Axial Stress Check</t>
  </si>
  <si>
    <r>
      <t xml:space="preserve"> (2</t>
    </r>
    <r>
      <rPr>
        <sz val="11"/>
        <color theme="1"/>
        <rFont val="Symbol"/>
        <family val="1"/>
        <charset val="2"/>
      </rPr>
      <t>p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E/Qf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0.5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</si>
  <si>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E2-1)</t>
    </r>
  </si>
  <si>
    <r>
      <t>(AISC 9</t>
    </r>
    <r>
      <rPr>
        <vertAlign val="superscript"/>
        <sz val="11"/>
        <color theme="1"/>
        <rFont val="宋体"/>
        <family val="2"/>
        <scheme val="minor"/>
      </rPr>
      <t>th</t>
    </r>
    <r>
      <rPr>
        <sz val="11"/>
        <color theme="1"/>
        <rFont val="宋体"/>
        <family val="2"/>
        <scheme val="minor"/>
      </rPr>
      <t xml:space="preserve"> Ed., E2-2)</t>
    </r>
  </si>
  <si>
    <t>Fillet Weld of Stiffener to beam flange</t>
  </si>
  <si>
    <t>Weld Size</t>
  </si>
  <si>
    <r>
      <t>t</t>
    </r>
    <r>
      <rPr>
        <vertAlign val="subscript"/>
        <sz val="11"/>
        <color theme="1"/>
        <rFont val="宋体"/>
        <family val="2"/>
        <scheme val="minor"/>
      </rPr>
      <t>w1</t>
    </r>
    <r>
      <rPr>
        <sz val="11"/>
        <color theme="1"/>
        <rFont val="宋体"/>
        <family val="2"/>
        <scheme val="minor"/>
      </rPr>
      <t xml:space="preserve"> =</t>
    </r>
  </si>
  <si>
    <r>
      <t>t</t>
    </r>
    <r>
      <rPr>
        <vertAlign val="subscript"/>
        <sz val="11"/>
        <color theme="1"/>
        <rFont val="宋体"/>
        <family val="2"/>
        <scheme val="minor"/>
      </rPr>
      <t>w2</t>
    </r>
    <r>
      <rPr>
        <sz val="11"/>
        <color theme="1"/>
        <rFont val="宋体"/>
        <family val="2"/>
        <scheme val="minor"/>
      </rPr>
      <t xml:space="preserve"> =</t>
    </r>
  </si>
  <si>
    <t>Allowable welding stress</t>
  </si>
  <si>
    <r>
      <t>A</t>
    </r>
    <r>
      <rPr>
        <vertAlign val="subscript"/>
        <sz val="11"/>
        <color theme="1"/>
        <rFont val="宋体"/>
        <family val="2"/>
        <scheme val="minor"/>
      </rPr>
      <t>w1</t>
    </r>
    <r>
      <rPr>
        <sz val="11"/>
        <color theme="1"/>
        <rFont val="宋体"/>
        <family val="2"/>
        <scheme val="minor"/>
      </rPr>
      <t xml:space="preserve"> = 2 x 4 (0.707t</t>
    </r>
    <r>
      <rPr>
        <vertAlign val="subscript"/>
        <sz val="11"/>
        <color theme="1"/>
        <rFont val="宋体"/>
        <family val="2"/>
        <scheme val="minor"/>
      </rPr>
      <t>w1</t>
    </r>
    <r>
      <rPr>
        <sz val="11"/>
        <color theme="1"/>
        <rFont val="宋体"/>
        <family val="2"/>
        <scheme val="minor"/>
      </rPr>
      <t>) x 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</si>
  <si>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宋体"/>
        <family val="2"/>
        <scheme val="minor"/>
      </rPr>
      <t>w2</t>
    </r>
    <r>
      <rPr>
        <sz val="11"/>
        <color theme="1"/>
        <rFont val="宋体"/>
        <family val="2"/>
        <scheme val="minor"/>
      </rPr>
      <t xml:space="preserve"> = 2 x 2 (0.707t</t>
    </r>
    <r>
      <rPr>
        <vertAlign val="subscript"/>
        <sz val="11"/>
        <color theme="1"/>
        <rFont val="宋体"/>
        <family val="2"/>
        <scheme val="minor"/>
      </rPr>
      <t>w2</t>
    </r>
    <r>
      <rPr>
        <sz val="11"/>
        <color theme="1"/>
        <rFont val="宋体"/>
        <family val="2"/>
        <scheme val="minor"/>
      </rPr>
      <t>) x h =</t>
    </r>
  </si>
  <si>
    <r>
      <t>f</t>
    </r>
    <r>
      <rPr>
        <vertAlign val="subscript"/>
        <sz val="11"/>
        <color theme="1"/>
        <rFont val="宋体"/>
        <family val="2"/>
        <scheme val="minor"/>
      </rPr>
      <t xml:space="preserve">w1 </t>
    </r>
    <r>
      <rPr>
        <sz val="11"/>
        <color theme="1"/>
        <rFont val="宋体"/>
        <family val="2"/>
        <scheme val="minor"/>
      </rPr>
      <t>= P / A</t>
    </r>
    <r>
      <rPr>
        <vertAlign val="subscript"/>
        <sz val="11"/>
        <color theme="1"/>
        <rFont val="宋体"/>
        <family val="2"/>
        <scheme val="minor"/>
      </rPr>
      <t xml:space="preserve">w1 </t>
    </r>
    <r>
      <rPr>
        <sz val="11"/>
        <color theme="1"/>
        <rFont val="宋体"/>
        <family val="2"/>
        <scheme val="minor"/>
      </rPr>
      <t>=</t>
    </r>
  </si>
  <si>
    <r>
      <t>f</t>
    </r>
    <r>
      <rPr>
        <vertAlign val="subscript"/>
        <sz val="11"/>
        <color theme="1"/>
        <rFont val="宋体"/>
        <family val="2"/>
        <scheme val="minor"/>
      </rPr>
      <t xml:space="preserve">w2 </t>
    </r>
    <r>
      <rPr>
        <sz val="11"/>
        <color theme="1"/>
        <rFont val="宋体"/>
        <family val="2"/>
        <scheme val="minor"/>
      </rPr>
      <t>= P / A</t>
    </r>
    <r>
      <rPr>
        <vertAlign val="subscript"/>
        <sz val="11"/>
        <color theme="1"/>
        <rFont val="宋体"/>
        <family val="2"/>
        <scheme val="minor"/>
      </rPr>
      <t>w2</t>
    </r>
    <r>
      <rPr>
        <sz val="11"/>
        <color theme="1"/>
        <rFont val="宋体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</si>
  <si>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</rPr>
      <t>exx,all</t>
    </r>
    <r>
      <rPr>
        <sz val="11"/>
        <color theme="1"/>
        <rFont val="Calibri"/>
        <family val="2"/>
      </rPr>
      <t xml:space="preserve"> = 0.3 F</t>
    </r>
    <r>
      <rPr>
        <vertAlign val="subscript"/>
        <sz val="11"/>
        <color theme="1"/>
        <rFont val="Calibri"/>
        <family val="2"/>
      </rPr>
      <t>exx</t>
    </r>
    <r>
      <rPr>
        <sz val="11"/>
        <color theme="1"/>
        <rFont val="Calibri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</si>
  <si>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</rPr>
      <t>w1</t>
    </r>
    <r>
      <rPr>
        <sz val="11"/>
        <color theme="1"/>
        <rFont val="Calibri"/>
        <family val="2"/>
      </rPr>
      <t xml:space="preserve"> / F</t>
    </r>
    <r>
      <rPr>
        <vertAlign val="subscript"/>
        <sz val="11"/>
        <color theme="1"/>
        <rFont val="Calibri"/>
        <family val="2"/>
      </rPr>
      <t>exx,all</t>
    </r>
    <r>
      <rPr>
        <sz val="11"/>
        <color theme="1"/>
        <rFont val="Calibri"/>
        <family val="2"/>
      </rPr>
      <t xml:space="preserve"> </t>
    </r>
  </si>
  <si>
    <r>
      <t>f</t>
    </r>
    <r>
      <rPr>
        <vertAlign val="subscript"/>
        <sz val="11"/>
        <color theme="1"/>
        <rFont val="Calibri"/>
        <family val="2"/>
      </rPr>
      <t>w2</t>
    </r>
    <r>
      <rPr>
        <sz val="11"/>
        <color theme="1"/>
        <rFont val="Calibri"/>
        <family val="2"/>
      </rPr>
      <t xml:space="preserve"> / F</t>
    </r>
    <r>
      <rPr>
        <vertAlign val="subscript"/>
        <sz val="11"/>
        <color theme="1"/>
        <rFont val="Calibri"/>
        <family val="2"/>
      </rPr>
      <t>exx,all</t>
    </r>
    <r>
      <rPr>
        <sz val="11"/>
        <color theme="1"/>
        <rFont val="Calibri"/>
        <family val="2"/>
      </rPr>
      <t xml:space="preserve"> </t>
    </r>
  </si>
  <si>
    <t>Welding area to flange:</t>
  </si>
  <si>
    <t>Welding Area to web:</t>
  </si>
  <si>
    <t>4.6.1</t>
  </si>
  <si>
    <t>4.6.2</t>
  </si>
  <si>
    <t>Plate</t>
  </si>
  <si>
    <t>S1</t>
  </si>
  <si>
    <t>S2</t>
  </si>
  <si>
    <t>S3</t>
  </si>
  <si>
    <r>
      <t>Web (L</t>
    </r>
    <r>
      <rPr>
        <vertAlign val="subscript"/>
        <sz val="11"/>
        <color theme="1"/>
        <rFont val="宋体"/>
        <family val="2"/>
        <scheme val="minor"/>
      </rPr>
      <t>w</t>
    </r>
    <r>
      <rPr>
        <sz val="11"/>
        <color theme="1"/>
        <rFont val="宋体"/>
        <family val="2"/>
        <scheme val="minor"/>
      </rPr>
      <t>)</t>
    </r>
  </si>
  <si>
    <t>Thickness (mm)</t>
  </si>
  <si>
    <t>Width (mm)</t>
  </si>
  <si>
    <t>Length of the stiffener:</t>
  </si>
  <si>
    <t>Young Modulus:</t>
  </si>
  <si>
    <t>Effective beam web length:</t>
  </si>
  <si>
    <r>
      <t>a</t>
    </r>
    <r>
      <rPr>
        <vertAlign val="subscript"/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</si>
  <si>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 xml:space="preserve"> =</t>
    </r>
  </si>
  <si>
    <t>y (mm)</t>
  </si>
  <si>
    <t>x (mm)</t>
  </si>
  <si>
    <r>
      <t>Area (mm</t>
    </r>
    <r>
      <rPr>
        <b/>
        <vertAlign val="superscript"/>
        <sz val="11"/>
        <color theme="1"/>
        <rFont val="宋体"/>
        <family val="2"/>
        <scheme val="minor"/>
      </rPr>
      <t>2</t>
    </r>
    <r>
      <rPr>
        <b/>
        <sz val="11"/>
        <color theme="1"/>
        <rFont val="宋体"/>
        <family val="2"/>
        <scheme val="minor"/>
      </rPr>
      <t>)</t>
    </r>
  </si>
  <si>
    <r>
      <t>Ay</t>
    </r>
    <r>
      <rPr>
        <b/>
        <vertAlign val="superscript"/>
        <sz val="11"/>
        <color theme="1"/>
        <rFont val="宋体"/>
        <family val="2"/>
        <scheme val="minor"/>
      </rPr>
      <t>2</t>
    </r>
    <r>
      <rPr>
        <b/>
        <sz val="11"/>
        <color theme="1"/>
        <rFont val="宋体"/>
        <family val="2"/>
        <scheme val="minor"/>
      </rPr>
      <t xml:space="preserve"> (mm</t>
    </r>
    <r>
      <rPr>
        <b/>
        <vertAlign val="superscript"/>
        <sz val="11"/>
        <color theme="1"/>
        <rFont val="宋体"/>
        <family val="2"/>
        <scheme val="minor"/>
      </rPr>
      <t>4</t>
    </r>
    <r>
      <rPr>
        <b/>
        <sz val="11"/>
        <color theme="1"/>
        <rFont val="宋体"/>
        <family val="2"/>
        <scheme val="minor"/>
      </rPr>
      <t>)</t>
    </r>
  </si>
  <si>
    <r>
      <t>Ax</t>
    </r>
    <r>
      <rPr>
        <b/>
        <vertAlign val="superscript"/>
        <sz val="11"/>
        <color theme="1"/>
        <rFont val="宋体"/>
        <family val="2"/>
        <scheme val="minor"/>
      </rPr>
      <t>2</t>
    </r>
    <r>
      <rPr>
        <b/>
        <sz val="11"/>
        <color theme="1"/>
        <rFont val="宋体"/>
        <family val="2"/>
        <scheme val="minor"/>
      </rPr>
      <t xml:space="preserve"> (mm</t>
    </r>
    <r>
      <rPr>
        <b/>
        <vertAlign val="superscript"/>
        <sz val="11"/>
        <color theme="1"/>
        <rFont val="宋体"/>
        <family val="2"/>
        <scheme val="minor"/>
      </rPr>
      <t>4</t>
    </r>
    <r>
      <rPr>
        <b/>
        <sz val="11"/>
        <color theme="1"/>
        <rFont val="宋体"/>
        <family val="2"/>
        <scheme val="minor"/>
      </rPr>
      <t>)</t>
    </r>
  </si>
  <si>
    <r>
      <t>I</t>
    </r>
    <r>
      <rPr>
        <b/>
        <vertAlign val="subscript"/>
        <sz val="11"/>
        <color theme="1"/>
        <rFont val="宋体"/>
        <family val="2"/>
        <scheme val="minor"/>
      </rPr>
      <t xml:space="preserve">xx </t>
    </r>
    <r>
      <rPr>
        <b/>
        <sz val="11"/>
        <color theme="1"/>
        <rFont val="宋体"/>
        <family val="2"/>
        <scheme val="minor"/>
      </rPr>
      <t>(mm</t>
    </r>
    <r>
      <rPr>
        <b/>
        <vertAlign val="superscript"/>
        <sz val="11"/>
        <color theme="1"/>
        <rFont val="宋体"/>
        <family val="2"/>
        <scheme val="minor"/>
      </rPr>
      <t>4</t>
    </r>
    <r>
      <rPr>
        <b/>
        <sz val="11"/>
        <color theme="1"/>
        <rFont val="宋体"/>
        <family val="2"/>
        <scheme val="minor"/>
      </rPr>
      <t>)</t>
    </r>
  </si>
  <si>
    <r>
      <t>I</t>
    </r>
    <r>
      <rPr>
        <b/>
        <vertAlign val="subscript"/>
        <sz val="11"/>
        <color theme="1"/>
        <rFont val="宋体"/>
        <family val="2"/>
        <scheme val="minor"/>
      </rPr>
      <t xml:space="preserve">yy </t>
    </r>
    <r>
      <rPr>
        <b/>
        <sz val="11"/>
        <color theme="1"/>
        <rFont val="宋体"/>
        <family val="2"/>
        <scheme val="minor"/>
      </rPr>
      <t>(mm</t>
    </r>
    <r>
      <rPr>
        <b/>
        <vertAlign val="superscript"/>
        <sz val="11"/>
        <color theme="1"/>
        <rFont val="宋体"/>
        <family val="2"/>
        <scheme val="minor"/>
      </rPr>
      <t>4</t>
    </r>
    <r>
      <rPr>
        <b/>
        <sz val="11"/>
        <color theme="1"/>
        <rFont val="宋体"/>
        <family val="2"/>
        <scheme val="minor"/>
      </rPr>
      <t>)</t>
    </r>
  </si>
  <si>
    <r>
      <t>A</t>
    </r>
    <r>
      <rPr>
        <vertAlign val="subscript"/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 xml:space="preserve"> = </t>
    </r>
  </si>
  <si>
    <t>Total Area =</t>
  </si>
  <si>
    <r>
      <t>I</t>
    </r>
    <r>
      <rPr>
        <vertAlign val="subscript"/>
        <sz val="11"/>
        <color theme="1"/>
        <rFont val="宋体"/>
        <family val="2"/>
        <scheme val="minor"/>
      </rPr>
      <t>yy</t>
    </r>
    <r>
      <rPr>
        <sz val="11"/>
        <color theme="1"/>
        <rFont val="宋体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</si>
  <si>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宋体"/>
        <family val="2"/>
        <scheme val="minor"/>
      </rPr>
      <t>xx</t>
    </r>
    <r>
      <rPr>
        <sz val="11"/>
        <color theme="1"/>
        <rFont val="宋体"/>
        <family val="2"/>
        <scheme val="minor"/>
      </rPr>
      <t xml:space="preserve"> = </t>
    </r>
  </si>
  <si>
    <r>
      <t>Total I</t>
    </r>
    <r>
      <rPr>
        <b/>
        <vertAlign val="subscript"/>
        <sz val="11"/>
        <rFont val="宋体"/>
        <family val="2"/>
        <scheme val="minor"/>
      </rPr>
      <t xml:space="preserve">xx </t>
    </r>
    <r>
      <rPr>
        <b/>
        <sz val="11"/>
        <rFont val="宋体"/>
        <family val="2"/>
        <scheme val="minor"/>
      </rPr>
      <t>/ I</t>
    </r>
    <r>
      <rPr>
        <b/>
        <vertAlign val="subscript"/>
        <sz val="11"/>
        <rFont val="宋体"/>
        <family val="2"/>
        <scheme val="minor"/>
      </rPr>
      <t>yy</t>
    </r>
    <r>
      <rPr>
        <b/>
        <sz val="11"/>
        <rFont val="宋体"/>
        <family val="2"/>
        <scheme val="minor"/>
      </rPr>
      <t>=</t>
    </r>
  </si>
  <si>
    <t>Welding Properties</t>
  </si>
  <si>
    <t>Project :</t>
  </si>
  <si>
    <t>FPSO Anita Garibaldi MV33</t>
  </si>
  <si>
    <t>Document Title :</t>
  </si>
  <si>
    <t>Structure :</t>
  </si>
  <si>
    <t>Document No. :</t>
  </si>
  <si>
    <t>Steel Category :</t>
  </si>
  <si>
    <t>Primary Steel</t>
  </si>
  <si>
    <t>Revision :</t>
  </si>
  <si>
    <t>Steel Type :</t>
  </si>
  <si>
    <t>Prepared By :</t>
  </si>
  <si>
    <t>Date :</t>
  </si>
  <si>
    <t>Checked By :</t>
  </si>
  <si>
    <t>Approved By :</t>
  </si>
  <si>
    <t>YW</t>
  </si>
  <si>
    <t>Code :</t>
  </si>
  <si>
    <t>AISC 9th Edition - Allowable Stress Design</t>
  </si>
  <si>
    <t>Reference :</t>
  </si>
  <si>
    <t>1. FPSO TOPSIDE STRUCTURAL DESIGN BASIS - 4006-MI20-9606-0050-001</t>
  </si>
  <si>
    <t>2. FPSO TOPSIDE STRUCTURAL DESIGN GUIDANCE -  4006-MI20-9606-0060-001</t>
  </si>
  <si>
    <t>Elastic sectional Modulus:</t>
  </si>
  <si>
    <t>at the point of load):</t>
  </si>
  <si>
    <t xml:space="preserve">Unbraced length (largest laterally unbraced length along either flange </t>
  </si>
  <si>
    <t>Bearing Length (length of bearing - not less than k for end reactions) :</t>
  </si>
  <si>
    <t>mm ( distance of force applied from the member end )</t>
  </si>
  <si>
    <t>Web Buckling &amp; Stiffener Design</t>
  </si>
  <si>
    <t>Moment of Inertia in Major Axis:</t>
  </si>
  <si>
    <t>cm4</t>
  </si>
  <si>
    <t>Moment of Inertia in Minor Axis:</t>
  </si>
  <si>
    <t>Ixx</t>
  </si>
  <si>
    <t>Iyy</t>
  </si>
  <si>
    <t>3. DESIGN OF OFFSHORE STRUCTURES SPECIFICATION - 4006-MI20-00S1-0230-001</t>
  </si>
  <si>
    <t>Fillet Radius of Beam</t>
  </si>
  <si>
    <t>Brace diameter:</t>
  </si>
  <si>
    <t>Brace thickness:</t>
  </si>
  <si>
    <t>Brace tension Capacity:</t>
  </si>
  <si>
    <t>Col. Dia.=</t>
  </si>
  <si>
    <t>Gap=</t>
  </si>
  <si>
    <t>Ellipse brace end=</t>
  </si>
  <si>
    <t>Ft</t>
  </si>
  <si>
    <t>tb</t>
  </si>
  <si>
    <t>Db</t>
  </si>
  <si>
    <t>P &lt; Ft</t>
  </si>
  <si>
    <r>
      <t>t</t>
    </r>
    <r>
      <rPr>
        <vertAlign val="subscript"/>
        <sz val="11"/>
        <color theme="1"/>
        <rFont val="宋体"/>
        <family val="2"/>
        <scheme val="minor"/>
      </rPr>
      <t>wb</t>
    </r>
    <r>
      <rPr>
        <sz val="11"/>
        <color theme="1"/>
        <rFont val="宋体"/>
        <family val="2"/>
        <scheme val="minor"/>
      </rPr>
      <t xml:space="preserve"> =</t>
    </r>
  </si>
  <si>
    <t>Full penetration weld</t>
  </si>
  <si>
    <t>Beam Stiffeners</t>
  </si>
  <si>
    <t>AP</t>
  </si>
  <si>
    <t>AP/YW</t>
  </si>
  <si>
    <t>H588300</t>
  </si>
  <si>
    <t>Member Group/End = RR3 / 1510</t>
  </si>
  <si>
    <t>SACS Output: Governing Member = 1510-3013</t>
  </si>
  <si>
    <t>RR3-1510</t>
  </si>
  <si>
    <t>Member Group/End = RR8 / 4114</t>
  </si>
  <si>
    <t>HM390300</t>
  </si>
  <si>
    <t>At Beam: HM390300</t>
  </si>
  <si>
    <t>Bracing axial load</t>
  </si>
  <si>
    <t>Bracing angle</t>
  </si>
  <si>
    <r>
      <t xml:space="preserve">q </t>
    </r>
    <r>
      <rPr>
        <sz val="11"/>
        <color theme="1"/>
        <rFont val="宋体"/>
        <family val="2"/>
        <scheme val="minor"/>
      </rPr>
      <t>=</t>
    </r>
  </si>
  <si>
    <r>
      <t>F</t>
    </r>
    <r>
      <rPr>
        <vertAlign val="subscript"/>
        <sz val="11"/>
        <color theme="1"/>
        <rFont val="宋体"/>
        <family val="2"/>
        <scheme val="minor"/>
      </rPr>
      <t>x</t>
    </r>
    <r>
      <rPr>
        <sz val="11"/>
        <color theme="1"/>
        <rFont val="宋体"/>
        <family val="2"/>
        <scheme val="minor"/>
      </rPr>
      <t xml:space="preserve"> =</t>
    </r>
  </si>
  <si>
    <t>°</t>
  </si>
  <si>
    <t>Bracing (RR1) axial load</t>
  </si>
  <si>
    <t>Bracing (RR1) angle</t>
  </si>
  <si>
    <r>
      <t>A</t>
    </r>
    <r>
      <rPr>
        <vertAlign val="subscript"/>
        <sz val="11"/>
        <color theme="1"/>
        <rFont val="宋体"/>
        <family val="2"/>
        <scheme val="minor"/>
      </rPr>
      <t>w1</t>
    </r>
    <r>
      <rPr>
        <sz val="11"/>
        <color theme="1"/>
        <rFont val="宋体"/>
        <family val="2"/>
        <scheme val="minor"/>
      </rPr>
      <t xml:space="preserve"> = 2 x 6 (0.707t</t>
    </r>
    <r>
      <rPr>
        <vertAlign val="subscript"/>
        <sz val="11"/>
        <color theme="1"/>
        <rFont val="宋体"/>
        <family val="2"/>
        <scheme val="minor"/>
      </rPr>
      <t>w1</t>
    </r>
    <r>
      <rPr>
        <sz val="11"/>
        <color theme="1"/>
        <rFont val="宋体"/>
        <family val="2"/>
        <scheme val="minor"/>
      </rPr>
      <t>) x b</t>
    </r>
    <r>
      <rPr>
        <vertAlign val="subscript"/>
        <sz val="11"/>
        <color theme="1"/>
        <rFont val="宋体"/>
        <family val="2"/>
        <scheme val="minor"/>
      </rPr>
      <t>st</t>
    </r>
    <r>
      <rPr>
        <sz val="11"/>
        <color theme="1"/>
        <rFont val="宋体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</si>
  <si>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宋体"/>
        <family val="2"/>
        <scheme val="minor"/>
      </rPr>
      <t>w2</t>
    </r>
    <r>
      <rPr>
        <sz val="11"/>
        <color theme="1"/>
        <rFont val="宋体"/>
        <family val="2"/>
        <scheme val="minor"/>
      </rPr>
      <t xml:space="preserve"> = 2 x 3 (0.707t</t>
    </r>
    <r>
      <rPr>
        <vertAlign val="subscript"/>
        <sz val="11"/>
        <color theme="1"/>
        <rFont val="宋体"/>
        <family val="2"/>
        <scheme val="minor"/>
      </rPr>
      <t>w2</t>
    </r>
    <r>
      <rPr>
        <sz val="11"/>
        <color theme="1"/>
        <rFont val="宋体"/>
        <family val="2"/>
        <scheme val="minor"/>
      </rPr>
      <t>) x h =</t>
    </r>
  </si>
  <si>
    <t>Bracing (RR2) axial load</t>
  </si>
  <si>
    <t>Bracing (RR2) angle</t>
  </si>
  <si>
    <t>Bracing (RR9) axial load</t>
  </si>
  <si>
    <r>
      <t>F</t>
    </r>
    <r>
      <rPr>
        <vertAlign val="subscript"/>
        <sz val="11"/>
        <color theme="1"/>
        <rFont val="宋体"/>
        <family val="2"/>
        <scheme val="minor"/>
      </rPr>
      <t>x_RR2</t>
    </r>
    <r>
      <rPr>
        <sz val="11"/>
        <color theme="1"/>
        <rFont val="宋体"/>
        <family val="2"/>
        <scheme val="minor"/>
      </rPr>
      <t xml:space="preserve"> =</t>
    </r>
  </si>
  <si>
    <r>
      <t>q</t>
    </r>
    <r>
      <rPr>
        <vertAlign val="subscript"/>
        <sz val="11"/>
        <color theme="1"/>
        <rFont val="宋体"/>
        <family val="2"/>
        <scheme val="minor"/>
      </rPr>
      <t>RR2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宋体"/>
        <family val="2"/>
        <scheme val="minor"/>
      </rPr>
      <t>=</t>
    </r>
  </si>
  <si>
    <t xml:space="preserve">SACS Output: Governing Member </t>
  </si>
  <si>
    <t>Bracing (RR8) axial load</t>
  </si>
  <si>
    <t>Bracing (RR8) angle</t>
  </si>
  <si>
    <r>
      <t>F</t>
    </r>
    <r>
      <rPr>
        <vertAlign val="subscript"/>
        <sz val="11"/>
        <color theme="1"/>
        <rFont val="宋体"/>
        <family val="2"/>
        <scheme val="minor"/>
      </rPr>
      <t>x_RR8</t>
    </r>
    <r>
      <rPr>
        <sz val="11"/>
        <color theme="1"/>
        <rFont val="宋体"/>
        <family val="2"/>
        <scheme val="minor"/>
      </rPr>
      <t xml:space="preserve"> =</t>
    </r>
  </si>
  <si>
    <r>
      <t>q</t>
    </r>
    <r>
      <rPr>
        <vertAlign val="subscript"/>
        <sz val="11"/>
        <color theme="1"/>
        <rFont val="宋体"/>
        <family val="2"/>
        <scheme val="minor"/>
      </rPr>
      <t>RR8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宋体"/>
        <family val="2"/>
        <scheme val="minor"/>
      </rPr>
      <t>=</t>
    </r>
  </si>
  <si>
    <t>Bracing (RR6) axial load</t>
  </si>
  <si>
    <t>Bracing (RR6) angle</t>
  </si>
  <si>
    <r>
      <t>F</t>
    </r>
    <r>
      <rPr>
        <vertAlign val="subscript"/>
        <sz val="11"/>
        <color theme="1"/>
        <rFont val="宋体"/>
        <family val="2"/>
        <scheme val="minor"/>
      </rPr>
      <t>x_RR6</t>
    </r>
    <r>
      <rPr>
        <sz val="11"/>
        <color theme="1"/>
        <rFont val="宋体"/>
        <family val="2"/>
        <scheme val="minor"/>
      </rPr>
      <t xml:space="preserve"> =</t>
    </r>
  </si>
  <si>
    <r>
      <t>q</t>
    </r>
    <r>
      <rPr>
        <vertAlign val="subscript"/>
        <sz val="11"/>
        <color theme="1"/>
        <rFont val="宋体"/>
        <family val="2"/>
        <scheme val="minor"/>
      </rPr>
      <t>RR6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宋体"/>
        <family val="2"/>
        <scheme val="minor"/>
      </rPr>
      <t>=</t>
    </r>
  </si>
  <si>
    <t>460x400</t>
  </si>
  <si>
    <t>At Beam: 460x400</t>
  </si>
  <si>
    <t>RR8-RR2-4114</t>
  </si>
  <si>
    <t>1PW_Riser Porch</t>
  </si>
  <si>
    <t>RR6-RR2-4021</t>
  </si>
  <si>
    <t>Member Group/End = RR6-RR2 / 4021</t>
  </si>
  <si>
    <t>4006-KBR20-9604-3101-001_RevB</t>
  </si>
  <si>
    <t>Bracing (RR) angle</t>
  </si>
  <si>
    <t xml:space="preserve">Fh = </t>
  </si>
  <si>
    <r>
      <t>f</t>
    </r>
    <r>
      <rPr>
        <vertAlign val="subscript"/>
        <sz val="11"/>
        <color theme="1"/>
        <rFont val="宋体"/>
        <family val="2"/>
        <scheme val="minor"/>
      </rPr>
      <t xml:space="preserve">w1 </t>
    </r>
    <r>
      <rPr>
        <sz val="11"/>
        <color theme="1"/>
        <rFont val="宋体"/>
        <family val="2"/>
        <scheme val="minor"/>
      </rPr>
      <t>= Fh / A</t>
    </r>
    <r>
      <rPr>
        <vertAlign val="subscript"/>
        <sz val="11"/>
        <color theme="1"/>
        <rFont val="宋体"/>
        <family val="2"/>
        <scheme val="minor"/>
      </rPr>
      <t xml:space="preserve">w1 </t>
    </r>
    <r>
      <rPr>
        <sz val="11"/>
        <color theme="1"/>
        <rFont val="宋体"/>
        <family val="2"/>
        <scheme val="minor"/>
      </rPr>
      <t>=</t>
    </r>
  </si>
  <si>
    <t>Weld of Stiffener to beam flange( Bevel weld)</t>
  </si>
  <si>
    <r>
      <t>Welding area to flange:(</t>
    </r>
    <r>
      <rPr>
        <i/>
        <sz val="11"/>
        <color theme="1"/>
        <rFont val="宋体"/>
        <family val="2"/>
        <scheme val="minor"/>
      </rPr>
      <t>Area of Bevel weld</t>
    </r>
    <r>
      <rPr>
        <sz val="11"/>
        <color theme="1"/>
        <rFont val="宋体"/>
        <family val="2"/>
        <scheme val="minor"/>
      </rPr>
      <t>)</t>
    </r>
  </si>
  <si>
    <t>Load taken by stiffener PL</t>
  </si>
  <si>
    <r>
      <t>Ps = P - Pa</t>
    </r>
    <r>
      <rPr>
        <vertAlign val="subscript"/>
        <sz val="11"/>
        <color theme="1"/>
        <rFont val="宋体"/>
        <family val="2"/>
        <scheme val="minor"/>
      </rPr>
      <t>min</t>
    </r>
  </si>
  <si>
    <r>
      <t>f</t>
    </r>
    <r>
      <rPr>
        <vertAlign val="subscript"/>
        <sz val="11"/>
        <color theme="1"/>
        <rFont val="宋体"/>
        <family val="2"/>
        <scheme val="minor"/>
      </rPr>
      <t xml:space="preserve">w2 </t>
    </r>
    <r>
      <rPr>
        <sz val="11"/>
        <color theme="1"/>
        <rFont val="宋体"/>
        <family val="2"/>
        <scheme val="minor"/>
      </rPr>
      <t>= Ps / A</t>
    </r>
    <r>
      <rPr>
        <vertAlign val="subscript"/>
        <sz val="11"/>
        <color theme="1"/>
        <rFont val="宋体"/>
        <family val="2"/>
        <scheme val="minor"/>
      </rPr>
      <t>w2</t>
    </r>
    <r>
      <rPr>
        <sz val="11"/>
        <color theme="1"/>
        <rFont val="宋体"/>
        <family val="2"/>
        <scheme val="minor"/>
      </rPr>
      <t xml:space="preserve"> =</t>
    </r>
  </si>
  <si>
    <t>(Inplace)</t>
  </si>
  <si>
    <t>(Lifting)</t>
  </si>
  <si>
    <t>(Maintenance)</t>
  </si>
  <si>
    <t>(Lifting)</t>
    <phoneticPr fontId="62" type="noConversion"/>
  </si>
  <si>
    <t>At Beam: HEB300</t>
    <phoneticPr fontId="62" type="noConversion"/>
  </si>
  <si>
    <t>2140-3022</t>
  </si>
  <si>
    <t>B1</t>
  </si>
  <si>
    <t>2141-3002</t>
  </si>
  <si>
    <t>2142-3019</t>
  </si>
  <si>
    <t>2143-3021</t>
  </si>
  <si>
    <t>TYP</t>
    <phoneticPr fontId="62" type="noConversion"/>
  </si>
  <si>
    <t>DATE  07-J</t>
  </si>
  <si>
    <t>un-2023</t>
  </si>
  <si>
    <t>TIME  1</t>
  </si>
  <si>
    <t>MEMBER</t>
  </si>
  <si>
    <t>FORCES AND MOMENTS</t>
  </si>
  <si>
    <t>REPORT</t>
  </si>
  <si>
    <t>********</t>
  </si>
  <si>
    <t>******** kN ******</t>
  </si>
  <si>
    <t>**********</t>
  </si>
  <si>
    <t>***********</t>
  </si>
  <si>
    <t>**** kN-m ****</t>
  </si>
  <si>
    <t>GROUP</t>
  </si>
  <si>
    <t>LOAD</t>
  </si>
  <si>
    <t>FORCE(Y)</t>
  </si>
  <si>
    <t>FORCE(Z)</t>
  </si>
  <si>
    <t>MOMENT(X)</t>
  </si>
  <si>
    <t>MOMENT(Y)</t>
  </si>
  <si>
    <t>MOMENT(Z)</t>
  </si>
  <si>
    <t>NUMBER</t>
  </si>
  <si>
    <t>END</t>
  </si>
  <si>
    <t>ID</t>
  </si>
  <si>
    <t>COND</t>
  </si>
  <si>
    <t>---------</t>
  </si>
  <si>
    <t>----</t>
  </si>
  <si>
    <t>--------</t>
  </si>
  <si>
    <t>2085-3136</t>
  </si>
  <si>
    <t>1127-2085</t>
  </si>
  <si>
    <t>B2</t>
  </si>
  <si>
    <t>Settings</t>
  </si>
  <si>
    <t>NAME</t>
  </si>
  <si>
    <t>Description</t>
  </si>
  <si>
    <t>SHEET NAME</t>
  </si>
  <si>
    <t>sheet name</t>
  </si>
  <si>
    <t>TEMPLATE</t>
    <phoneticPr fontId="62" type="noConversion"/>
  </si>
  <si>
    <t>sheet count</t>
    <phoneticPr fontId="62" type="noConversion"/>
  </si>
  <si>
    <t>Code</t>
    <phoneticPr fontId="62" type="noConversion"/>
  </si>
  <si>
    <t>DETAIL 08 &amp; 12</t>
    <phoneticPr fontId="62" type="noConversion"/>
  </si>
  <si>
    <t>Bracing (RR5) axial load</t>
    <phoneticPr fontId="62" type="noConversion"/>
  </si>
  <si>
    <r>
      <t>F</t>
    </r>
    <r>
      <rPr>
        <vertAlign val="subscript"/>
        <sz val="11"/>
        <color theme="1"/>
        <rFont val="宋体"/>
        <family val="2"/>
        <scheme val="minor"/>
      </rPr>
      <t>x_RR1</t>
    </r>
    <r>
      <rPr>
        <sz val="11"/>
        <color theme="1"/>
        <rFont val="宋体"/>
        <family val="2"/>
        <scheme val="minor"/>
      </rPr>
      <t xml:space="preserve"> =</t>
    </r>
  </si>
  <si>
    <t>L01 (NPCM)</t>
  </si>
  <si>
    <t>Bracing (RR5) angle</t>
    <phoneticPr fontId="62" type="noConversion"/>
  </si>
  <si>
    <r>
      <t>q</t>
    </r>
    <r>
      <rPr>
        <vertAlign val="subscript"/>
        <sz val="11"/>
        <color theme="1"/>
        <rFont val="宋体"/>
        <family val="2"/>
        <scheme val="minor"/>
      </rPr>
      <t>RR1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宋体"/>
        <family val="2"/>
        <scheme val="minor"/>
      </rPr>
      <t>=</t>
    </r>
  </si>
  <si>
    <t>Bracing (RR6) axial load</t>
    <phoneticPr fontId="62" type="noConversion"/>
  </si>
  <si>
    <r>
      <t>F</t>
    </r>
    <r>
      <rPr>
        <vertAlign val="subscript"/>
        <sz val="11"/>
        <color theme="1"/>
        <rFont val="宋体"/>
        <family val="2"/>
        <scheme val="minor"/>
      </rPr>
      <t>x_RR9</t>
    </r>
    <r>
      <rPr>
        <sz val="11"/>
        <color theme="1"/>
        <rFont val="宋体"/>
        <family val="2"/>
        <scheme val="minor"/>
      </rPr>
      <t xml:space="preserve"> =</t>
    </r>
  </si>
  <si>
    <t>Bracing (RR6) angle</t>
    <phoneticPr fontId="62" type="noConversion"/>
  </si>
  <si>
    <r>
      <t>q</t>
    </r>
    <r>
      <rPr>
        <vertAlign val="subscript"/>
        <sz val="11"/>
        <color theme="1"/>
        <rFont val="宋体"/>
        <family val="2"/>
        <scheme val="minor"/>
      </rPr>
      <t>RR9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宋体"/>
        <family val="2"/>
        <scheme val="minor"/>
      </rPr>
      <t>=</t>
    </r>
  </si>
  <si>
    <t>Member Group/End = B2/2085</t>
    <phoneticPr fontId="62" type="noConversion"/>
  </si>
  <si>
    <t>Full penetration weld</t>
    <phoneticPr fontId="62" type="noConversion"/>
  </si>
  <si>
    <t>Welding classification number:</t>
    <phoneticPr fontId="62" type="noConversion"/>
  </si>
  <si>
    <t>对应生成的sheet页数</t>
    <phoneticPr fontId="62" type="noConversion"/>
  </si>
  <si>
    <t>Column Name</t>
  </si>
  <si>
    <t>Row</t>
  </si>
  <si>
    <t>需要填充的单元格</t>
    <phoneticPr fontId="62" type="noConversion"/>
  </si>
  <si>
    <t>memberA</t>
    <phoneticPr fontId="62" type="noConversion"/>
  </si>
  <si>
    <t>memberB</t>
    <phoneticPr fontId="62" type="noConversion"/>
  </si>
  <si>
    <t>No/Value</t>
    <phoneticPr fontId="62" type="noConversion"/>
  </si>
  <si>
    <t>2085-3136</t>
    <phoneticPr fontId="62" type="noConversion"/>
  </si>
  <si>
    <t>1127-2085</t>
    <phoneticPr fontId="62" type="noConversion"/>
  </si>
  <si>
    <t>在sacs中查询的杆件编号</t>
    <phoneticPr fontId="62" type="noConversion"/>
  </si>
  <si>
    <t>RR5</t>
    <phoneticPr fontId="62" type="noConversion"/>
  </si>
  <si>
    <t>RR6</t>
    <phoneticPr fontId="62" type="noConversion"/>
  </si>
  <si>
    <t>FORCE(X)</t>
    <phoneticPr fontId="62" type="noConversion"/>
  </si>
  <si>
    <t>force(x)</t>
    <phoneticPr fontId="62" type="noConversion"/>
  </si>
  <si>
    <t>force(x)在数据源中所在的列</t>
    <phoneticPr fontId="62" type="noConversion"/>
  </si>
  <si>
    <t>memberARow</t>
    <phoneticPr fontId="62" type="noConversion"/>
  </si>
  <si>
    <t>memberBRow</t>
    <phoneticPr fontId="62" type="noConversion"/>
  </si>
  <si>
    <t>杆件编号在数据源中所在的行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</si>
</sst>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0\ &quot;kN&quot;"/>
    <numFmt numFmtId="179" formatCode="0.00\ &quot;MPa&quot;"/>
    <numFmt numFmtId="180" formatCode="0.00\ &quot;kN&quot;"/>
  </numFmts>
  <fonts count="70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Calibri"/>
      <family val="2"/>
    </font>
    <font>
      <b/>
      <i/>
      <u/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vertAlign val="superscript"/>
      <sz val="11"/>
      <color theme="1"/>
      <name val="宋体"/>
      <family val="2"/>
      <scheme val="minor"/>
    </font>
    <font>
      <vertAlign val="subscript"/>
      <sz val="11"/>
      <color theme="1"/>
      <name val="宋体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rgb="FF0000FF"/>
      <name val="宋体"/>
      <family val="2"/>
      <scheme val="minor"/>
    </font>
    <font>
      <vertAlign val="superscript"/>
      <sz val="11"/>
      <color theme="1"/>
      <name val="Calibri"/>
      <family val="2"/>
    </font>
    <font>
      <b/>
      <sz val="11"/>
      <color rgb="FFFF000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1"/>
      <name val="宋体"/>
      <family val="2"/>
      <scheme val="minor"/>
    </font>
    <font>
      <i/>
      <sz val="11"/>
      <color theme="1"/>
      <name val="宋体"/>
      <family val="2"/>
      <scheme val="minor"/>
    </font>
    <font>
      <u/>
      <sz val="11"/>
      <color theme="1"/>
      <name val="宋体"/>
      <family val="2"/>
      <scheme val="minor"/>
    </font>
    <font>
      <b/>
      <u/>
      <sz val="11"/>
      <color rgb="FFFF0000"/>
      <name val="宋体"/>
      <family val="2"/>
      <scheme val="minor"/>
    </font>
    <font>
      <i/>
      <u/>
      <sz val="11"/>
      <name val="宋体"/>
      <family val="2"/>
      <scheme val="minor"/>
    </font>
    <font>
      <b/>
      <u/>
      <sz val="16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Calibri"/>
      <family val="2"/>
    </font>
    <font>
      <vertAlign val="subscript"/>
      <sz val="11"/>
      <name val="宋体"/>
      <family val="2"/>
      <scheme val="minor"/>
    </font>
    <font>
      <i/>
      <sz val="11"/>
      <name val="宋体"/>
      <family val="2"/>
      <scheme val="minor"/>
    </font>
    <font>
      <b/>
      <i/>
      <u/>
      <sz val="11"/>
      <name val="宋体"/>
      <family val="2"/>
      <scheme val="minor"/>
    </font>
    <font>
      <vertAlign val="superscript"/>
      <sz val="11"/>
      <name val="宋体"/>
      <family val="2"/>
      <scheme val="minor"/>
    </font>
    <font>
      <vertAlign val="subscript"/>
      <sz val="11"/>
      <name val="Calibri"/>
      <family val="2"/>
    </font>
    <font>
      <vertAlign val="superscript"/>
      <sz val="11"/>
      <name val="Calibri"/>
      <family val="2"/>
    </font>
    <font>
      <b/>
      <sz val="11"/>
      <name val="宋体"/>
      <family val="2"/>
      <scheme val="minor"/>
    </font>
    <font>
      <sz val="11"/>
      <color rgb="FF000000"/>
      <name val="宋体"/>
      <family val="2"/>
      <scheme val="minor"/>
    </font>
    <font>
      <b/>
      <i/>
      <u/>
      <sz val="12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vertAlign val="superscript"/>
      <sz val="1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  <font>
      <sz val="11"/>
      <color rgb="FF0000FF"/>
      <name val="宋体"/>
      <family val="2"/>
      <scheme val="minor"/>
    </font>
    <font>
      <vertAlign val="superscript"/>
      <sz val="10"/>
      <name val="Arial"/>
      <family val="2"/>
    </font>
    <font>
      <i/>
      <sz val="10"/>
      <name val="Lucida Handwriting"/>
      <family val="4"/>
    </font>
    <font>
      <sz val="10"/>
      <name val="Courier New"/>
      <family val="3"/>
    </font>
    <font>
      <b/>
      <i/>
      <sz val="11"/>
      <color rgb="FF0000FF"/>
      <name val="宋体"/>
      <family val="2"/>
      <scheme val="minor"/>
    </font>
    <font>
      <vertAlign val="subscript"/>
      <sz val="11"/>
      <color theme="0"/>
      <name val="宋体"/>
      <family val="2"/>
      <scheme val="minor"/>
    </font>
    <font>
      <sz val="9"/>
      <name val="Arial"/>
      <family val="2"/>
    </font>
    <font>
      <sz val="8"/>
      <color theme="1"/>
      <name val="Calibri"/>
      <family val="2"/>
    </font>
    <font>
      <b/>
      <u/>
      <sz val="11"/>
      <color theme="1"/>
      <name val="宋体"/>
      <family val="2"/>
      <scheme val="minor"/>
    </font>
    <font>
      <sz val="11"/>
      <color theme="1"/>
      <name val="Symbol"/>
      <family val="1"/>
      <charset val="2"/>
    </font>
    <font>
      <b/>
      <vertAlign val="superscript"/>
      <sz val="11"/>
      <color theme="1"/>
      <name val="宋体"/>
      <family val="2"/>
      <scheme val="minor"/>
    </font>
    <font>
      <b/>
      <vertAlign val="subscript"/>
      <sz val="11"/>
      <color theme="1"/>
      <name val="宋体"/>
      <family val="2"/>
      <scheme val="minor"/>
    </font>
    <font>
      <b/>
      <vertAlign val="subscript"/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i/>
      <sz val="8"/>
      <color rgb="FF0000FF"/>
      <name val="Arial"/>
      <family val="2"/>
    </font>
    <font>
      <i/>
      <sz val="11"/>
      <color rgb="FF0000FF"/>
      <name val="宋体"/>
      <family val="2"/>
      <scheme val="minor"/>
    </font>
    <font>
      <i/>
      <sz val="11"/>
      <color theme="1"/>
      <name val="Calibri"/>
      <family val="2"/>
    </font>
    <font>
      <sz val="9"/>
      <name val="宋体"/>
      <family val="3"/>
      <charset val="134"/>
      <scheme val="minor"/>
    </font>
    <font>
      <u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9"/>
      <color theme="1"/>
      <name val="Menlo Regular"/>
      <family val="1"/>
    </font>
    <font>
      <b/>
      <sz val="9"/>
      <color rgb="FFFF0000"/>
      <name val="Menlo Regular"/>
      <family val="1"/>
    </font>
    <font>
      <sz val="9"/>
      <color theme="1"/>
      <name val="Menlo Regular"/>
      <family val="1"/>
    </font>
    <font>
      <sz val="9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51170384838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34" fillId="0" borderId="0"/>
  </cellStyleXfs>
  <cellXfs count="2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13" fillId="0" borderId="0" xfId="0" applyFont="1"/>
    <xf numFmtId="2" fontId="13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76" fontId="13" fillId="0" borderId="0" xfId="0" applyNumberFormat="1" applyFont="1" applyAlignment="1">
      <alignment horizontal="center"/>
    </xf>
    <xf numFmtId="0" fontId="14" fillId="0" borderId="0" xfId="0" applyFont="1"/>
    <xf numFmtId="176" fontId="0" fillId="0" borderId="0" xfId="0" applyNumberFormat="1"/>
    <xf numFmtId="0" fontId="0" fillId="2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/>
    <xf numFmtId="0" fontId="13" fillId="3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7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8" fillId="0" borderId="0" xfId="0" applyFont="1"/>
    <xf numFmtId="0" fontId="13" fillId="0" borderId="1" xfId="0" applyFont="1" applyBorder="1" applyAlignment="1">
      <alignment horizontal="center"/>
    </xf>
    <xf numFmtId="176" fontId="0" fillId="2" borderId="0" xfId="0" applyNumberFormat="1" applyFill="1"/>
    <xf numFmtId="0" fontId="30" fillId="5" borderId="5" xfId="0" applyFont="1" applyFill="1" applyBorder="1" applyAlignment="1">
      <alignment horizontal="center" wrapText="1"/>
    </xf>
    <xf numFmtId="0" fontId="30" fillId="5" borderId="8" xfId="0" applyFont="1" applyFill="1" applyBorder="1" applyAlignment="1">
      <alignment horizontal="center" wrapText="1"/>
    </xf>
    <xf numFmtId="0" fontId="30" fillId="5" borderId="9" xfId="0" applyFont="1" applyFill="1" applyBorder="1" applyAlignment="1">
      <alignment horizontal="center" wrapText="1"/>
    </xf>
    <xf numFmtId="0" fontId="31" fillId="6" borderId="8" xfId="0" applyFont="1" applyFill="1" applyBorder="1" applyAlignment="1">
      <alignment horizontal="center" wrapText="1"/>
    </xf>
    <xf numFmtId="0" fontId="31" fillId="6" borderId="9" xfId="0" applyFont="1" applyFill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0" fontId="31" fillId="0" borderId="9" xfId="0" applyFont="1" applyBorder="1" applyAlignment="1">
      <alignment horizontal="center" wrapText="1"/>
    </xf>
    <xf numFmtId="0" fontId="31" fillId="7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19" fillId="0" borderId="0" xfId="0" applyFont="1"/>
    <xf numFmtId="2" fontId="13" fillId="3" borderId="0" xfId="0" applyNumberFormat="1" applyFont="1" applyFill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77" fontId="34" fillId="0" borderId="0" xfId="0" applyNumberFormat="1" applyFont="1" applyAlignment="1">
      <alignment horizontal="right"/>
    </xf>
    <xf numFmtId="0" fontId="34" fillId="0" borderId="0" xfId="0" applyFont="1"/>
    <xf numFmtId="1" fontId="35" fillId="0" borderId="0" xfId="0" applyNumberFormat="1" applyFont="1" applyAlignment="1">
      <alignment horizontal="right"/>
    </xf>
    <xf numFmtId="0" fontId="38" fillId="0" borderId="0" xfId="0" applyFont="1"/>
    <xf numFmtId="0" fontId="0" fillId="0" borderId="0" xfId="0" applyAlignment="1">
      <alignment horizontal="left"/>
    </xf>
    <xf numFmtId="1" fontId="13" fillId="0" borderId="0" xfId="0" applyNumberFormat="1" applyFont="1" applyAlignment="1">
      <alignment horizontal="center"/>
    </xf>
    <xf numFmtId="0" fontId="34" fillId="0" borderId="0" xfId="0" applyFont="1" applyAlignment="1">
      <alignment horizontal="left" wrapText="1"/>
    </xf>
    <xf numFmtId="0" fontId="40" fillId="0" borderId="0" xfId="0" applyFont="1" applyAlignment="1">
      <alignment horizontal="left"/>
    </xf>
    <xf numFmtId="2" fontId="38" fillId="0" borderId="0" xfId="0" applyNumberFormat="1" applyFont="1"/>
    <xf numFmtId="0" fontId="34" fillId="0" borderId="0" xfId="0" applyFont="1" applyAlignment="1">
      <alignment horizontal="center"/>
    </xf>
    <xf numFmtId="2" fontId="13" fillId="0" borderId="0" xfId="0" applyNumberFormat="1" applyFont="1"/>
    <xf numFmtId="0" fontId="42" fillId="0" borderId="0" xfId="0" applyFont="1"/>
    <xf numFmtId="2" fontId="14" fillId="0" borderId="0" xfId="0" applyNumberFormat="1" applyFont="1" applyAlignment="1">
      <alignment horizontal="center"/>
    </xf>
    <xf numFmtId="0" fontId="33" fillId="0" borderId="0" xfId="0" applyFont="1"/>
    <xf numFmtId="0" fontId="0" fillId="0" borderId="0" xfId="0" applyAlignment="1">
      <alignment horizontal="right" vertical="center"/>
    </xf>
    <xf numFmtId="0" fontId="34" fillId="0" borderId="0" xfId="0" applyFont="1" applyAlignment="1">
      <alignment horizontal="right" vertical="center"/>
    </xf>
    <xf numFmtId="47" fontId="44" fillId="0" borderId="0" xfId="0" quotePrefix="1" applyNumberFormat="1" applyFont="1" applyAlignment="1">
      <alignment horizontal="right"/>
    </xf>
    <xf numFmtId="177" fontId="35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quotePrefix="1"/>
    <xf numFmtId="1" fontId="38" fillId="0" borderId="0" xfId="0" applyNumberFormat="1" applyFont="1"/>
    <xf numFmtId="0" fontId="0" fillId="0" borderId="13" xfId="0" applyBorder="1" applyAlignment="1">
      <alignment horizontal="center"/>
    </xf>
    <xf numFmtId="179" fontId="9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right"/>
    </xf>
    <xf numFmtId="177" fontId="42" fillId="0" borderId="0" xfId="0" applyNumberFormat="1" applyFont="1" applyAlignment="1">
      <alignment horizontal="center"/>
    </xf>
    <xf numFmtId="0" fontId="46" fillId="0" borderId="0" xfId="0" applyFont="1"/>
    <xf numFmtId="11" fontId="13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4" fillId="8" borderId="0" xfId="0" applyFont="1" applyFill="1"/>
    <xf numFmtId="0" fontId="5" fillId="8" borderId="0" xfId="0" applyFont="1" applyFill="1"/>
    <xf numFmtId="0" fontId="0" fillId="8" borderId="0" xfId="0" applyFill="1"/>
    <xf numFmtId="0" fontId="11" fillId="8" borderId="0" xfId="0" applyFont="1" applyFill="1"/>
    <xf numFmtId="0" fontId="19" fillId="8" borderId="0" xfId="0" applyFont="1" applyFill="1"/>
    <xf numFmtId="0" fontId="13" fillId="0" borderId="0" xfId="0" applyFont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1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1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8" borderId="0" xfId="0" applyFill="1" applyAlignment="1">
      <alignment horizontal="center"/>
    </xf>
    <xf numFmtId="0" fontId="2" fillId="8" borderId="0" xfId="0" applyFont="1" applyFill="1"/>
    <xf numFmtId="0" fontId="9" fillId="8" borderId="0" xfId="0" applyFont="1" applyFill="1" applyAlignment="1">
      <alignment horizontal="center"/>
    </xf>
    <xf numFmtId="0" fontId="44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1" fillId="0" borderId="0" xfId="0" applyFont="1"/>
    <xf numFmtId="1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0" fillId="0" borderId="0" xfId="0" applyNumberFormat="1"/>
    <xf numFmtId="0" fontId="53" fillId="0" borderId="0" xfId="1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54" fillId="0" borderId="0" xfId="1" applyFont="1" applyAlignment="1">
      <alignment horizontal="left" vertical="center"/>
    </xf>
    <xf numFmtId="0" fontId="55" fillId="0" borderId="0" xfId="0" applyFont="1"/>
    <xf numFmtId="15" fontId="54" fillId="0" borderId="0" xfId="1" applyNumberFormat="1" applyFont="1" applyAlignment="1">
      <alignment horizontal="left" vertical="center"/>
    </xf>
    <xf numFmtId="0" fontId="53" fillId="0" borderId="0" xfId="1" applyFont="1" applyAlignment="1">
      <alignment horizontal="right" vertical="center"/>
    </xf>
    <xf numFmtId="0" fontId="56" fillId="0" borderId="0" xfId="0" applyFont="1"/>
    <xf numFmtId="0" fontId="44" fillId="0" borderId="0" xfId="1" applyFont="1" applyAlignment="1">
      <alignment horizontal="left" vertical="center"/>
    </xf>
    <xf numFmtId="0" fontId="44" fillId="0" borderId="0" xfId="1" applyFont="1" applyAlignment="1">
      <alignment horizontal="right" vertical="center"/>
    </xf>
    <xf numFmtId="1" fontId="57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" fontId="58" fillId="9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left"/>
    </xf>
    <xf numFmtId="1" fontId="59" fillId="0" borderId="0" xfId="0" applyNumberFormat="1" applyFont="1" applyAlignment="1">
      <alignment horizontal="left" vertical="center"/>
    </xf>
    <xf numFmtId="1" fontId="60" fillId="0" borderId="0" xfId="0" applyNumberFormat="1" applyFont="1" applyAlignment="1">
      <alignment horizontal="center" vertical="center"/>
    </xf>
    <xf numFmtId="0" fontId="60" fillId="0" borderId="0" xfId="0" applyFont="1"/>
    <xf numFmtId="0" fontId="61" fillId="0" borderId="0" xfId="0" applyFont="1"/>
    <xf numFmtId="0" fontId="42" fillId="2" borderId="0" xfId="0" applyFont="1" applyFill="1"/>
    <xf numFmtId="0" fontId="47" fillId="0" borderId="0" xfId="0" applyFont="1"/>
    <xf numFmtId="1" fontId="57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4" fillId="0" borderId="14" xfId="0" applyFont="1" applyBorder="1" applyAlignment="1">
      <alignment horizontal="left" vertical="center"/>
    </xf>
    <xf numFmtId="0" fontId="44" fillId="0" borderId="14" xfId="1" applyFont="1" applyBorder="1" applyAlignment="1">
      <alignment horizontal="left" vertical="center"/>
    </xf>
    <xf numFmtId="0" fontId="44" fillId="0" borderId="14" xfId="1" applyFont="1" applyBorder="1" applyAlignment="1">
      <alignment horizontal="right" vertical="center"/>
    </xf>
    <xf numFmtId="0" fontId="0" fillId="0" borderId="14" xfId="0" applyBorder="1"/>
    <xf numFmtId="0" fontId="0" fillId="0" borderId="12" xfId="0" applyBorder="1"/>
    <xf numFmtId="0" fontId="51" fillId="0" borderId="15" xfId="0" applyFont="1" applyBorder="1"/>
    <xf numFmtId="0" fontId="55" fillId="0" borderId="16" xfId="0" applyFont="1" applyBorder="1"/>
    <xf numFmtId="0" fontId="53" fillId="0" borderId="15" xfId="1" applyFont="1" applyBorder="1" applyAlignment="1">
      <alignment horizontal="left" vertical="center"/>
    </xf>
    <xf numFmtId="0" fontId="4" fillId="8" borderId="15" xfId="0" applyFont="1" applyFill="1" applyBorder="1"/>
    <xf numFmtId="0" fontId="0" fillId="8" borderId="16" xfId="0" applyFill="1" applyBorder="1"/>
    <xf numFmtId="0" fontId="4" fillId="0" borderId="15" xfId="0" applyFont="1" applyBorder="1"/>
    <xf numFmtId="0" fontId="0" fillId="0" borderId="16" xfId="0" applyBorder="1"/>
    <xf numFmtId="0" fontId="60" fillId="0" borderId="16" xfId="0" applyFont="1" applyBorder="1"/>
    <xf numFmtId="0" fontId="0" fillId="0" borderId="15" xfId="0" applyBorder="1"/>
    <xf numFmtId="0" fontId="38" fillId="0" borderId="16" xfId="0" applyFont="1" applyBorder="1"/>
    <xf numFmtId="0" fontId="5" fillId="8" borderId="15" xfId="0" applyFont="1" applyFill="1" applyBorder="1"/>
    <xf numFmtId="0" fontId="0" fillId="8" borderId="15" xfId="0" applyFill="1" applyBorder="1"/>
    <xf numFmtId="0" fontId="34" fillId="0" borderId="15" xfId="0" applyFont="1" applyBorder="1"/>
    <xf numFmtId="0" fontId="13" fillId="0" borderId="16" xfId="0" applyFont="1" applyBorder="1" applyAlignment="1">
      <alignment horizontal="center" vertical="center"/>
    </xf>
    <xf numFmtId="0" fontId="19" fillId="8" borderId="15" xfId="0" applyFont="1" applyFill="1" applyBorder="1"/>
    <xf numFmtId="0" fontId="19" fillId="8" borderId="16" xfId="0" applyFont="1" applyFill="1" applyBorder="1"/>
    <xf numFmtId="0" fontId="19" fillId="0" borderId="15" xfId="0" applyFont="1" applyBorder="1"/>
    <xf numFmtId="0" fontId="19" fillId="0" borderId="16" xfId="0" applyFont="1" applyBorder="1"/>
    <xf numFmtId="0" fontId="13" fillId="0" borderId="16" xfId="0" applyFont="1" applyBorder="1"/>
    <xf numFmtId="0" fontId="5" fillId="0" borderId="15" xfId="0" applyFont="1" applyBorder="1"/>
    <xf numFmtId="0" fontId="0" fillId="0" borderId="17" xfId="0" applyBorder="1"/>
    <xf numFmtId="0" fontId="0" fillId="0" borderId="13" xfId="0" applyBorder="1"/>
    <xf numFmtId="0" fontId="2" fillId="0" borderId="13" xfId="0" applyFont="1" applyBorder="1"/>
    <xf numFmtId="177" fontId="42" fillId="0" borderId="13" xfId="0" applyNumberFormat="1" applyFont="1" applyBorder="1" applyAlignment="1">
      <alignment horizontal="center"/>
    </xf>
    <xf numFmtId="0" fontId="9" fillId="0" borderId="13" xfId="0" applyFont="1" applyBorder="1"/>
    <xf numFmtId="0" fontId="0" fillId="0" borderId="18" xfId="0" applyBorder="1"/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vertical="center" wrapText="1"/>
    </xf>
    <xf numFmtId="0" fontId="64" fillId="0" borderId="11" xfId="1" applyFont="1" applyBorder="1" applyAlignment="1">
      <alignment horizontal="left" vertical="center"/>
    </xf>
    <xf numFmtId="0" fontId="64" fillId="0" borderId="14" xfId="0" applyFont="1" applyBorder="1" applyAlignment="1">
      <alignment horizontal="left" vertical="center"/>
    </xf>
    <xf numFmtId="0" fontId="4" fillId="8" borderId="11" xfId="0" applyFont="1" applyFill="1" applyBorder="1"/>
    <xf numFmtId="0" fontId="4" fillId="8" borderId="14" xfId="0" applyFont="1" applyFill="1" applyBorder="1"/>
    <xf numFmtId="0" fontId="5" fillId="8" borderId="14" xfId="0" applyFont="1" applyFill="1" applyBorder="1"/>
    <xf numFmtId="0" fontId="0" fillId="8" borderId="14" xfId="0" applyFill="1" applyBorder="1"/>
    <xf numFmtId="0" fontId="0" fillId="8" borderId="14" xfId="0" applyFill="1" applyBorder="1" applyAlignment="1">
      <alignment horizontal="center"/>
    </xf>
    <xf numFmtId="0" fontId="0" fillId="8" borderId="12" xfId="0" applyFill="1" applyBorder="1"/>
    <xf numFmtId="0" fontId="11" fillId="0" borderId="13" xfId="0" applyFont="1" applyBorder="1"/>
    <xf numFmtId="0" fontId="5" fillId="8" borderId="11" xfId="0" applyFont="1" applyFill="1" applyBorder="1"/>
    <xf numFmtId="0" fontId="9" fillId="0" borderId="13" xfId="0" applyFont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1" fontId="13" fillId="0" borderId="13" xfId="0" applyNumberFormat="1" applyFont="1" applyBorder="1" applyAlignment="1">
      <alignment horizontal="center"/>
    </xf>
    <xf numFmtId="0" fontId="11" fillId="8" borderId="14" xfId="0" applyFont="1" applyFill="1" applyBorder="1"/>
    <xf numFmtId="0" fontId="2" fillId="8" borderId="14" xfId="0" applyFont="1" applyFill="1" applyBorder="1"/>
    <xf numFmtId="0" fontId="65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/>
    </xf>
    <xf numFmtId="21" fontId="0" fillId="0" borderId="0" xfId="0" applyNumberFormat="1"/>
    <xf numFmtId="0" fontId="68" fillId="0" borderId="19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6" fillId="10" borderId="19" xfId="0" applyFont="1" applyFill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20" xfId="0" applyFont="1" applyBorder="1" applyAlignment="1">
      <alignment horizontal="center" vertical="center"/>
    </xf>
    <xf numFmtId="0" fontId="68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78" fontId="0" fillId="0" borderId="0" xfId="0" applyNumberFormat="1" applyAlignment="1">
      <alignment horizontal="center"/>
    </xf>
    <xf numFmtId="180" fontId="0" fillId="0" borderId="0" xfId="0" applyNumberFormat="1" applyAlignment="1">
      <alignment horizontal="left"/>
    </xf>
    <xf numFmtId="0" fontId="34" fillId="0" borderId="0" xfId="0" applyFont="1" applyAlignment="1">
      <alignment vertical="center"/>
    </xf>
    <xf numFmtId="0" fontId="0" fillId="0" borderId="0" xfId="0" applyAlignment="1">
      <alignment vertical="center"/>
    </xf>
    <xf numFmtId="0" fontId="68" fillId="0" borderId="21" xfId="0" applyFont="1" applyBorder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0" fontId="69" fillId="0" borderId="21" xfId="0" applyFont="1" applyBorder="1" applyAlignment="1">
      <alignment horizontal="center" vertical="center"/>
    </xf>
    <xf numFmtId="178" fontId="0" fillId="0" borderId="0" xfId="0" applyNumberFormat="1" applyAlignment="1">
      <alignment horizontal="left"/>
    </xf>
    <xf numFmtId="0" fontId="30" fillId="5" borderId="10" xfId="0" applyFont="1" applyFill="1" applyBorder="1" applyAlignment="1">
      <alignment horizontal="center" wrapText="1"/>
    </xf>
    <xf numFmtId="0" fontId="30" fillId="5" borderId="7" xfId="0" applyFont="1" applyFill="1" applyBorder="1" applyAlignment="1">
      <alignment horizontal="center" wrapText="1"/>
    </xf>
    <xf numFmtId="0" fontId="30" fillId="5" borderId="6" xfId="0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</cellXfs>
  <cellStyles count="2">
    <cellStyle name="Normal 2" xfId="1" xr:uid="{00000000-0005-0000-0000-000000000000}"/>
    <cellStyle name="常规" xfId="0" builtinId="0"/>
  </cellStyles>
  <dxfs count="1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4.png"/><Relationship Id="rId3" Type="http://schemas.openxmlformats.org/officeDocument/2006/relationships/image" Target="../media/image7.png"/><Relationship Id="rId7" Type="http://schemas.openxmlformats.org/officeDocument/2006/relationships/image" Target="../media/image22.jpeg"/><Relationship Id="rId12" Type="http://schemas.openxmlformats.org/officeDocument/2006/relationships/image" Target="../media/image1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5" Type="http://schemas.openxmlformats.org/officeDocument/2006/relationships/image" Target="../media/image26.png"/><Relationship Id="rId10" Type="http://schemas.openxmlformats.org/officeDocument/2006/relationships/image" Target="../media/image11.png"/><Relationship Id="rId4" Type="http://schemas.openxmlformats.org/officeDocument/2006/relationships/image" Target="../media/image8.png"/><Relationship Id="rId9" Type="http://schemas.openxmlformats.org/officeDocument/2006/relationships/image" Target="../media/image24.png"/><Relationship Id="rId14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4.png"/><Relationship Id="rId3" Type="http://schemas.openxmlformats.org/officeDocument/2006/relationships/image" Target="../media/image7.png"/><Relationship Id="rId7" Type="http://schemas.openxmlformats.org/officeDocument/2006/relationships/image" Target="../media/image22.jpeg"/><Relationship Id="rId12" Type="http://schemas.openxmlformats.org/officeDocument/2006/relationships/image" Target="../media/image1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5" Type="http://schemas.openxmlformats.org/officeDocument/2006/relationships/image" Target="../media/image25.png"/><Relationship Id="rId10" Type="http://schemas.openxmlformats.org/officeDocument/2006/relationships/image" Target="../media/image11.png"/><Relationship Id="rId4" Type="http://schemas.openxmlformats.org/officeDocument/2006/relationships/image" Target="../media/image8.png"/><Relationship Id="rId9" Type="http://schemas.openxmlformats.org/officeDocument/2006/relationships/image" Target="../media/image24.png"/><Relationship Id="rId1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4.png"/><Relationship Id="rId3" Type="http://schemas.openxmlformats.org/officeDocument/2006/relationships/image" Target="../media/image7.png"/><Relationship Id="rId7" Type="http://schemas.openxmlformats.org/officeDocument/2006/relationships/image" Target="../media/image22.jpeg"/><Relationship Id="rId12" Type="http://schemas.openxmlformats.org/officeDocument/2006/relationships/image" Target="../media/image1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5" Type="http://schemas.openxmlformats.org/officeDocument/2006/relationships/image" Target="../media/image26.png"/><Relationship Id="rId10" Type="http://schemas.openxmlformats.org/officeDocument/2006/relationships/image" Target="../media/image11.png"/><Relationship Id="rId4" Type="http://schemas.openxmlformats.org/officeDocument/2006/relationships/image" Target="../media/image8.png"/><Relationship Id="rId9" Type="http://schemas.openxmlformats.org/officeDocument/2006/relationships/image" Target="../media/image24.png"/><Relationship Id="rId1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4.png"/><Relationship Id="rId3" Type="http://schemas.openxmlformats.org/officeDocument/2006/relationships/image" Target="../media/image7.png"/><Relationship Id="rId7" Type="http://schemas.openxmlformats.org/officeDocument/2006/relationships/image" Target="../media/image22.jpeg"/><Relationship Id="rId12" Type="http://schemas.openxmlformats.org/officeDocument/2006/relationships/image" Target="../media/image1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5" Type="http://schemas.openxmlformats.org/officeDocument/2006/relationships/image" Target="../media/image27.png"/><Relationship Id="rId10" Type="http://schemas.openxmlformats.org/officeDocument/2006/relationships/image" Target="../media/image11.png"/><Relationship Id="rId4" Type="http://schemas.openxmlformats.org/officeDocument/2006/relationships/image" Target="../media/image8.png"/><Relationship Id="rId9" Type="http://schemas.openxmlformats.org/officeDocument/2006/relationships/image" Target="../media/image24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327660</xdr:colOff>
      <xdr:row>2</xdr:row>
      <xdr:rowOff>7620</xdr:rowOff>
    </xdr:from>
    <xdr:to>
      <xdr:col>15</xdr:col>
      <xdr:colOff>51435</xdr:colOff>
      <xdr:row>17</xdr:row>
      <xdr:rowOff>5715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06840" y="373380"/>
          <a:ext cx="3381375" cy="274129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384810</xdr:colOff>
      <xdr:row>47</xdr:row>
      <xdr:rowOff>0</xdr:rowOff>
    </xdr:from>
    <xdr:to>
      <xdr:col>21</xdr:col>
      <xdr:colOff>480649</xdr:colOff>
      <xdr:row>60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9335" y="9363075"/>
          <a:ext cx="4363039" cy="2628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381734</xdr:colOff>
      <xdr:row>60</xdr:row>
      <xdr:rowOff>34048</xdr:rowOff>
    </xdr:from>
    <xdr:to>
      <xdr:col>21</xdr:col>
      <xdr:colOff>510292</xdr:colOff>
      <xdr:row>71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6259" y="12016498"/>
          <a:ext cx="4395758" cy="2213852"/>
        </a:xfrm>
        <a:prstGeom prst="rect">
          <a:avLst/>
        </a:prstGeom>
      </xdr:spPr>
    </xdr:pic>
    <xdr:clientData/>
  </xdr:twoCellAnchor>
  <xdr:twoCellAnchor editAs="oneCell">
    <xdr:from>
      <xdr:col>13</xdr:col>
      <xdr:colOff>387294</xdr:colOff>
      <xdr:row>72</xdr:row>
      <xdr:rowOff>30780</xdr:rowOff>
    </xdr:from>
    <xdr:to>
      <xdr:col>20</xdr:col>
      <xdr:colOff>167561</xdr:colOff>
      <xdr:row>83</xdr:row>
      <xdr:rowOff>4962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2219" y="14432580"/>
          <a:ext cx="4047467" cy="213635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87</xdr:row>
      <xdr:rowOff>105140</xdr:rowOff>
    </xdr:from>
    <xdr:to>
      <xdr:col>20</xdr:col>
      <xdr:colOff>300307</xdr:colOff>
      <xdr:row>93</xdr:row>
      <xdr:rowOff>45530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17516840"/>
          <a:ext cx="3996007" cy="114054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96</xdr:row>
      <xdr:rowOff>100858</xdr:rowOff>
    </xdr:from>
    <xdr:to>
      <xdr:col>20</xdr:col>
      <xdr:colOff>507864</xdr:colOff>
      <xdr:row>107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1185" y="19331833"/>
          <a:ext cx="4218804" cy="2223242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157</xdr:row>
      <xdr:rowOff>138374</xdr:rowOff>
    </xdr:from>
    <xdr:to>
      <xdr:col>20</xdr:col>
      <xdr:colOff>144032</xdr:colOff>
      <xdr:row>169</xdr:row>
      <xdr:rowOff>129082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7865" y="32056649"/>
          <a:ext cx="3748292" cy="2352908"/>
        </a:xfrm>
        <a:prstGeom prst="rect">
          <a:avLst/>
        </a:prstGeom>
      </xdr:spPr>
    </xdr:pic>
    <xdr:clientData/>
  </xdr:twoCellAnchor>
  <xdr:twoCellAnchor>
    <xdr:from>
      <xdr:col>1</xdr:col>
      <xdr:colOff>75726</xdr:colOff>
      <xdr:row>113</xdr:row>
      <xdr:rowOff>148689</xdr:rowOff>
    </xdr:from>
    <xdr:to>
      <xdr:col>4</xdr:col>
      <xdr:colOff>137529</xdr:colOff>
      <xdr:row>127</xdr:row>
      <xdr:rowOff>107574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pSpPr/>
      </xdr:nvGrpSpPr>
      <xdr:grpSpPr>
        <a:xfrm>
          <a:off x="447201" y="21813301"/>
          <a:ext cx="2000140" cy="2521110"/>
          <a:chOff x="407420" y="20301350"/>
          <a:chExt cx="2204368" cy="2504862"/>
        </a:xfrm>
      </xdr:grpSpPr>
      <xdr:sp macro="" textlink="">
        <xdr:nvSpPr>
          <xdr:cNvPr id="9" name="Line 37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390874" y="2057041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9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1467074" y="2058565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0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1051505" y="20596805"/>
            <a:ext cx="0" cy="188348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1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0578034"/>
            <a:ext cx="0" cy="18682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078454" y="21484814"/>
            <a:ext cx="32004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43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1459454" y="21484814"/>
            <a:ext cx="31242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44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390874" y="21118606"/>
            <a:ext cx="76200" cy="82789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Freeform 46">
            <a:extLst>
              <a:ext uri="{FF2B5EF4-FFF2-40B4-BE49-F238E27FC236}">
                <a16:creationId xmlns:a16="http://schemas.microsoft.com/office/drawing/2014/main" id="{00000000-0008-0000-0F00-000010000000}"/>
              </a:ext>
            </a:extLst>
          </xdr:cNvPr>
          <xdr:cNvSpPr>
            <a:spLocks/>
          </xdr:cNvSpPr>
        </xdr:nvSpPr>
        <xdr:spPr bwMode="auto">
          <a:xfrm>
            <a:off x="971774" y="20524694"/>
            <a:ext cx="899160" cy="133574"/>
          </a:xfrm>
          <a:custGeom>
            <a:avLst/>
            <a:gdLst>
              <a:gd name="T0" fmla="*/ 0 w 94"/>
              <a:gd name="T1" fmla="*/ 2147483647 h 12"/>
              <a:gd name="T2" fmla="*/ 2147483647 w 94"/>
              <a:gd name="T3" fmla="*/ 2147483647 h 12"/>
              <a:gd name="T4" fmla="*/ 2147483647 w 94"/>
              <a:gd name="T5" fmla="*/ 2147483647 h 12"/>
              <a:gd name="T6" fmla="*/ 2147483647 w 94"/>
              <a:gd name="T7" fmla="*/ 2147483647 h 12"/>
              <a:gd name="T8" fmla="*/ 0 60000 65536"/>
              <a:gd name="T9" fmla="*/ 0 60000 65536"/>
              <a:gd name="T10" fmla="*/ 0 60000 65536"/>
              <a:gd name="T11" fmla="*/ 0 60000 65536"/>
              <a:gd name="T12" fmla="*/ 0 w 94"/>
              <a:gd name="T13" fmla="*/ 0 h 12"/>
              <a:gd name="T14" fmla="*/ 94 w 94"/>
              <a:gd name="T15" fmla="*/ 12 h 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4" h="12">
                <a:moveTo>
                  <a:pt x="0" y="8"/>
                </a:moveTo>
                <a:cubicBezTo>
                  <a:pt x="13" y="4"/>
                  <a:pt x="27" y="0"/>
                  <a:pt x="38" y="1"/>
                </a:cubicBezTo>
                <a:cubicBezTo>
                  <a:pt x="49" y="2"/>
                  <a:pt x="55" y="12"/>
                  <a:pt x="64" y="12"/>
                </a:cubicBezTo>
                <a:cubicBezTo>
                  <a:pt x="73" y="12"/>
                  <a:pt x="83" y="6"/>
                  <a:pt x="94" y="1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" name="Freeform 47">
            <a:extLst>
              <a:ext uri="{FF2B5EF4-FFF2-40B4-BE49-F238E27FC236}">
                <a16:creationId xmlns:a16="http://schemas.microsoft.com/office/drawing/2014/main" id="{00000000-0008-0000-0F00-000011000000}"/>
              </a:ext>
            </a:extLst>
          </xdr:cNvPr>
          <xdr:cNvSpPr>
            <a:spLocks/>
          </xdr:cNvSpPr>
        </xdr:nvSpPr>
        <xdr:spPr bwMode="auto">
          <a:xfrm>
            <a:off x="979394" y="22396525"/>
            <a:ext cx="883920" cy="87854"/>
          </a:xfrm>
          <a:custGeom>
            <a:avLst/>
            <a:gdLst>
              <a:gd name="T0" fmla="*/ 0 w 92"/>
              <a:gd name="T1" fmla="*/ 2147483647 h 8"/>
              <a:gd name="T2" fmla="*/ 2147483647 w 92"/>
              <a:gd name="T3" fmla="*/ 0 h 8"/>
              <a:gd name="T4" fmla="*/ 2147483647 w 92"/>
              <a:gd name="T5" fmla="*/ 2147483647 h 8"/>
              <a:gd name="T6" fmla="*/ 2147483647 w 92"/>
              <a:gd name="T7" fmla="*/ 0 h 8"/>
              <a:gd name="T8" fmla="*/ 0 60000 65536"/>
              <a:gd name="T9" fmla="*/ 0 60000 65536"/>
              <a:gd name="T10" fmla="*/ 0 60000 65536"/>
              <a:gd name="T11" fmla="*/ 0 60000 65536"/>
              <a:gd name="T12" fmla="*/ 0 w 92"/>
              <a:gd name="T13" fmla="*/ 0 h 8"/>
              <a:gd name="T14" fmla="*/ 92 w 92"/>
              <a:gd name="T15" fmla="*/ 8 h 8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2" h="8">
                <a:moveTo>
                  <a:pt x="0" y="7"/>
                </a:moveTo>
                <a:cubicBezTo>
                  <a:pt x="14" y="3"/>
                  <a:pt x="29" y="0"/>
                  <a:pt x="41" y="0"/>
                </a:cubicBezTo>
                <a:cubicBezTo>
                  <a:pt x="53" y="0"/>
                  <a:pt x="65" y="8"/>
                  <a:pt x="73" y="8"/>
                </a:cubicBezTo>
                <a:cubicBezTo>
                  <a:pt x="81" y="8"/>
                  <a:pt x="86" y="4"/>
                  <a:pt x="9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" name="Line 48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1113023" y="20904159"/>
            <a:ext cx="274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50">
            <a:extLst>
              <a:ext uri="{FF2B5EF4-FFF2-40B4-BE49-F238E27FC236}">
                <a16:creationId xmlns:a16="http://schemas.microsoft.com/office/drawing/2014/main" id="{00000000-0008-0000-0F00-000013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3543" y="20903634"/>
            <a:ext cx="2590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51">
            <a:extLst>
              <a:ext uri="{FF2B5EF4-FFF2-40B4-BE49-F238E27FC236}">
                <a16:creationId xmlns:a16="http://schemas.microsoft.com/office/drawing/2014/main" id="{00000000-0008-0000-0F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1040354" y="22545339"/>
            <a:ext cx="0" cy="2608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52"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2507239"/>
            <a:ext cx="0" cy="2989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53"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SpPr>
            <a:spLocks noChangeShapeType="1"/>
          </xdr:cNvSpPr>
        </xdr:nvSpPr>
        <xdr:spPr bwMode="auto">
          <a:xfrm>
            <a:off x="1025114" y="22613919"/>
            <a:ext cx="777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56">
            <a:extLst>
              <a:ext uri="{FF2B5EF4-FFF2-40B4-BE49-F238E27FC236}">
                <a16:creationId xmlns:a16="http://schemas.microsoft.com/office/drawing/2014/main" id="{00000000-0008-0000-0F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1520414" y="21118606"/>
            <a:ext cx="109100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Line 57">
            <a:extLst>
              <a:ext uri="{FF2B5EF4-FFF2-40B4-BE49-F238E27FC236}">
                <a16:creationId xmlns:a16="http://schemas.microsoft.com/office/drawing/2014/main" id="{00000000-0008-0000-0F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1512794" y="21946496"/>
            <a:ext cx="109862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Line 58">
            <a:extLst>
              <a:ext uri="{FF2B5EF4-FFF2-40B4-BE49-F238E27FC236}">
                <a16:creationId xmlns:a16="http://schemas.microsoft.com/office/drawing/2014/main" id="{00000000-0008-0000-0F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2481879" y="21118606"/>
            <a:ext cx="0" cy="8278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59">
            <a:extLst>
              <a:ext uri="{FF2B5EF4-FFF2-40B4-BE49-F238E27FC236}">
                <a16:creationId xmlns:a16="http://schemas.microsoft.com/office/drawing/2014/main" id="{00000000-0008-0000-0F00-00001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78454" y="20925373"/>
            <a:ext cx="4088" cy="5670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60">
            <a:extLst>
              <a:ext uri="{FF2B5EF4-FFF2-40B4-BE49-F238E27FC236}">
                <a16:creationId xmlns:a16="http://schemas.microsoft.com/office/drawing/2014/main" id="{00000000-0008-0000-0F00-00001B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082171" y="21069435"/>
            <a:ext cx="1981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61">
            <a:extLst>
              <a:ext uri="{FF2B5EF4-FFF2-40B4-BE49-F238E27FC236}">
                <a16:creationId xmlns:a16="http://schemas.microsoft.com/office/drawing/2014/main" id="{00000000-0008-0000-0F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732023" y="21067132"/>
            <a:ext cx="2971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" name="Line 62">
            <a:extLst>
              <a:ext uri="{FF2B5EF4-FFF2-40B4-BE49-F238E27FC236}">
                <a16:creationId xmlns:a16="http://schemas.microsoft.com/office/drawing/2014/main" id="{00000000-0008-0000-0F00-00001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31555" y="20305986"/>
            <a:ext cx="3725" cy="12389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" name="Line 63">
            <a:extLst>
              <a:ext uri="{FF2B5EF4-FFF2-40B4-BE49-F238E27FC236}">
                <a16:creationId xmlns:a16="http://schemas.microsoft.com/office/drawing/2014/main" id="{00000000-0008-0000-0F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1359670" y="21511312"/>
            <a:ext cx="830007" cy="72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Rectangle 42">
            <a:extLst>
              <a:ext uri="{FF2B5EF4-FFF2-40B4-BE49-F238E27FC236}">
                <a16:creationId xmlns:a16="http://schemas.microsoft.com/office/drawing/2014/main" id="{00000000-0008-0000-0F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077929" y="21188856"/>
            <a:ext cx="315122" cy="68223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Rectangle 43">
            <a:extLst>
              <a:ext uri="{FF2B5EF4-FFF2-40B4-BE49-F238E27FC236}">
                <a16:creationId xmlns:a16="http://schemas.microsoft.com/office/drawing/2014/main" id="{00000000-0008-0000-0F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1466363" y="21188856"/>
            <a:ext cx="312420" cy="62011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" name="Rectangle 42">
            <a:extLst>
              <a:ext uri="{FF2B5EF4-FFF2-40B4-BE49-F238E27FC236}">
                <a16:creationId xmlns:a16="http://schemas.microsoft.com/office/drawing/2014/main" id="{00000000-0008-0000-0F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1071391" y="21818126"/>
            <a:ext cx="32004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" name="Rectangle 43">
            <a:extLst>
              <a:ext uri="{FF2B5EF4-FFF2-40B4-BE49-F238E27FC236}">
                <a16:creationId xmlns:a16="http://schemas.microsoft.com/office/drawing/2014/main" id="{00000000-0008-0000-0F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467259" y="21818126"/>
            <a:ext cx="31242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F00-000023000000}"/>
              </a:ext>
            </a:extLst>
          </xdr:cNvPr>
          <xdr:cNvSpPr txBox="1"/>
        </xdr:nvSpPr>
        <xdr:spPr>
          <a:xfrm>
            <a:off x="784687" y="21098900"/>
            <a:ext cx="412629" cy="2143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S3</a:t>
            </a:r>
            <a:endParaRPr lang="en-US" sz="6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F00-000024000000}"/>
              </a:ext>
            </a:extLst>
          </xdr:cNvPr>
          <xdr:cNvSpPr txBox="1"/>
        </xdr:nvSpPr>
        <xdr:spPr>
          <a:xfrm>
            <a:off x="783641" y="21723945"/>
            <a:ext cx="441676" cy="231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S1</a:t>
            </a:r>
            <a:endParaRPr lang="en-US" sz="6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F00-000025000000}"/>
              </a:ext>
            </a:extLst>
          </xdr:cNvPr>
          <xdr:cNvSpPr txBox="1"/>
        </xdr:nvSpPr>
        <xdr:spPr>
          <a:xfrm>
            <a:off x="780096" y="21411422"/>
            <a:ext cx="392817" cy="205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S2</a:t>
            </a:r>
            <a:endParaRPr lang="en-US" sz="600"/>
          </a:p>
        </xdr:txBody>
      </xdr: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F00-000026000000}"/>
              </a:ext>
            </a:extLst>
          </xdr:cNvPr>
          <xdr:cNvCxnSpPr/>
        </xdr:nvCxnSpPr>
        <xdr:spPr>
          <a:xfrm flipV="1">
            <a:off x="632533" y="21526551"/>
            <a:ext cx="27432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F00-000027000000}"/>
              </a:ext>
            </a:extLst>
          </xdr:cNvPr>
          <xdr:cNvCxnSpPr/>
        </xdr:nvCxnSpPr>
        <xdr:spPr>
          <a:xfrm flipV="1">
            <a:off x="418286" y="21225163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Line 58">
            <a:extLst>
              <a:ext uri="{FF2B5EF4-FFF2-40B4-BE49-F238E27FC236}">
                <a16:creationId xmlns:a16="http://schemas.microsoft.com/office/drawing/2014/main" id="{00000000-0008-0000-0F00-000028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78535" y="21539541"/>
            <a:ext cx="2986" cy="3185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F00-000029000000}"/>
              </a:ext>
            </a:extLst>
          </xdr:cNvPr>
          <xdr:cNvSpPr txBox="1"/>
        </xdr:nvSpPr>
        <xdr:spPr>
          <a:xfrm>
            <a:off x="628969" y="21557354"/>
            <a:ext cx="325582" cy="248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1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F00-00002A000000}"/>
              </a:ext>
            </a:extLst>
          </xdr:cNvPr>
          <xdr:cNvSpPr txBox="1"/>
        </xdr:nvSpPr>
        <xdr:spPr>
          <a:xfrm>
            <a:off x="636613" y="21253111"/>
            <a:ext cx="325582" cy="2485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2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F00-00002B000000}"/>
              </a:ext>
            </a:extLst>
          </xdr:cNvPr>
          <xdr:cNvSpPr txBox="1"/>
        </xdr:nvSpPr>
        <xdr:spPr>
          <a:xfrm>
            <a:off x="2140368" y="21378211"/>
            <a:ext cx="471420" cy="240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x</a:t>
            </a:r>
            <a:endParaRPr lang="en-US" sz="600"/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F00-00002C000000}"/>
              </a:ext>
            </a:extLst>
          </xdr:cNvPr>
          <xdr:cNvSpPr txBox="1"/>
        </xdr:nvSpPr>
        <xdr:spPr>
          <a:xfrm>
            <a:off x="1390766" y="20301350"/>
            <a:ext cx="467710" cy="226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y</a:t>
            </a:r>
            <a:endParaRPr lang="en-US" sz="600"/>
          </a:p>
        </xdr:txBody>
      </xdr:sp>
      <xdr:sp macro="" textlink="">
        <xdr:nvSpPr>
          <xdr:cNvPr id="45" name="Line 58">
            <a:extLst>
              <a:ext uri="{FF2B5EF4-FFF2-40B4-BE49-F238E27FC236}">
                <a16:creationId xmlns:a16="http://schemas.microsoft.com/office/drawing/2014/main" id="{00000000-0008-0000-0F00-00002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89046" y="21213102"/>
            <a:ext cx="2986" cy="3232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F00-00002E000000}"/>
              </a:ext>
            </a:extLst>
          </xdr:cNvPr>
          <xdr:cNvCxnSpPr/>
        </xdr:nvCxnSpPr>
        <xdr:spPr>
          <a:xfrm flipV="1">
            <a:off x="407420" y="21858356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114300</xdr:colOff>
      <xdr:row>0</xdr:row>
      <xdr:rowOff>123825</xdr:rowOff>
    </xdr:from>
    <xdr:ext cx="1123950" cy="742950"/>
    <xdr:pic>
      <xdr:nvPicPr>
        <xdr:cNvPr id="47" name="Picture 57" descr="BR_JPEG"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3825"/>
          <a:ext cx="1123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535081</xdr:colOff>
      <xdr:row>0</xdr:row>
      <xdr:rowOff>131109</xdr:rowOff>
    </xdr:from>
    <xdr:ext cx="2046194" cy="571500"/>
    <xdr:pic>
      <xdr:nvPicPr>
        <xdr:cNvPr id="48" name="Picture 60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8206" y="131109"/>
          <a:ext cx="2046194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562872</xdr:colOff>
      <xdr:row>0</xdr:row>
      <xdr:rowOff>50090</xdr:rowOff>
    </xdr:from>
    <xdr:to>
      <xdr:col>10</xdr:col>
      <xdr:colOff>28576</xdr:colOff>
      <xdr:row>4</xdr:row>
      <xdr:rowOff>52915</xdr:rowOff>
    </xdr:to>
    <xdr:pic>
      <xdr:nvPicPr>
        <xdr:cNvPr id="49" name="Picture 61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2097" y="50090"/>
          <a:ext cx="970654" cy="76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36</xdr:col>
      <xdr:colOff>0</xdr:colOff>
      <xdr:row>31</xdr:row>
      <xdr:rowOff>49539</xdr:rowOff>
    </xdr:to>
    <xdr:pic>
      <xdr:nvPicPr>
        <xdr:cNvPr id="50" name="Picture 1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325" y="1905000"/>
          <a:ext cx="5486400" cy="4316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38099</xdr:colOff>
      <xdr:row>41</xdr:row>
      <xdr:rowOff>116971</xdr:rowOff>
    </xdr:from>
    <xdr:to>
      <xdr:col>36</xdr:col>
      <xdr:colOff>54428</xdr:colOff>
      <xdr:row>61</xdr:row>
      <xdr:rowOff>165994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4" y="8222746"/>
          <a:ext cx="5502729" cy="4154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432683</xdr:colOff>
      <xdr:row>4</xdr:row>
      <xdr:rowOff>129467</xdr:rowOff>
    </xdr:from>
    <xdr:to>
      <xdr:col>21</xdr:col>
      <xdr:colOff>361950</xdr:colOff>
      <xdr:row>26</xdr:row>
      <xdr:rowOff>123825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GrpSpPr/>
      </xdr:nvGrpSpPr>
      <xdr:grpSpPr>
        <a:xfrm>
          <a:off x="10029120" y="820029"/>
          <a:ext cx="5106105" cy="4152021"/>
          <a:chOff x="9309983" y="891467"/>
          <a:chExt cx="5921525" cy="4071189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F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309983" y="891467"/>
            <a:ext cx="5921525" cy="4071189"/>
          </a:xfrm>
          <a:prstGeom prst="rect">
            <a:avLst/>
          </a:prstGeom>
        </xdr:spPr>
      </xdr:pic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F00-000036000000}"/>
              </a:ext>
            </a:extLst>
          </xdr:cNvPr>
          <xdr:cNvCxnSpPr/>
        </xdr:nvCxnSpPr>
        <xdr:spPr>
          <a:xfrm flipV="1">
            <a:off x="11357742" y="1657226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F00-000037000000}"/>
              </a:ext>
            </a:extLst>
          </xdr:cNvPr>
          <xdr:cNvCxnSpPr/>
        </xdr:nvCxnSpPr>
        <xdr:spPr>
          <a:xfrm flipV="1">
            <a:off x="11881931" y="1675581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F00-000038000000}"/>
              </a:ext>
            </a:extLst>
          </xdr:cNvPr>
          <xdr:cNvCxnSpPr/>
        </xdr:nvCxnSpPr>
        <xdr:spPr>
          <a:xfrm flipV="1">
            <a:off x="12409115" y="1681700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F00-000039000000}"/>
              </a:ext>
            </a:extLst>
          </xdr:cNvPr>
          <xdr:cNvCxnSpPr/>
        </xdr:nvCxnSpPr>
        <xdr:spPr>
          <a:xfrm flipV="1">
            <a:off x="11355668" y="1823898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00000000-0008-0000-0F00-00003A000000}"/>
              </a:ext>
            </a:extLst>
          </xdr:cNvPr>
          <xdr:cNvCxnSpPr/>
        </xdr:nvCxnSpPr>
        <xdr:spPr>
          <a:xfrm flipV="1">
            <a:off x="11891839" y="1827079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F00-00003B000000}"/>
              </a:ext>
            </a:extLst>
          </xdr:cNvPr>
          <xdr:cNvSpPr txBox="1"/>
        </xdr:nvSpPr>
        <xdr:spPr>
          <a:xfrm>
            <a:off x="11466849" y="1485901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  <a:latin typeface="+mn-lt"/>
              </a:rPr>
              <a:t>a</a:t>
            </a:r>
            <a:r>
              <a:rPr lang="en-US" sz="800" b="1">
                <a:solidFill>
                  <a:srgbClr val="FF0000"/>
                </a:solidFill>
                <a:latin typeface="+mn-lt"/>
              </a:rPr>
              <a:t>1</a:t>
            </a:r>
            <a:endParaRPr lang="en-US" sz="1200" b="1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0000000-0008-0000-0F00-00003C000000}"/>
              </a:ext>
            </a:extLst>
          </xdr:cNvPr>
          <xdr:cNvSpPr txBox="1"/>
        </xdr:nvSpPr>
        <xdr:spPr>
          <a:xfrm>
            <a:off x="11997138" y="1504257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a</a:t>
            </a:r>
            <a:r>
              <a:rPr lang="en-US" sz="800" b="1">
                <a:solidFill>
                  <a:srgbClr val="FF0000"/>
                </a:solidFill>
              </a:rPr>
              <a:t>2</a:t>
            </a:r>
            <a:endParaRPr 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F00-00003D000000}"/>
              </a:ext>
            </a:extLst>
          </xdr:cNvPr>
          <xdr:cNvCxnSpPr/>
        </xdr:nvCxnSpPr>
        <xdr:spPr>
          <a:xfrm flipV="1">
            <a:off x="11353800" y="1669785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F00-00003E000000}"/>
              </a:ext>
            </a:extLst>
          </xdr:cNvPr>
          <xdr:cNvCxnSpPr/>
        </xdr:nvCxnSpPr>
        <xdr:spPr>
          <a:xfrm flipV="1">
            <a:off x="11877989" y="1688140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F00-00003F000000}"/>
              </a:ext>
            </a:extLst>
          </xdr:cNvPr>
          <xdr:cNvCxnSpPr/>
        </xdr:nvCxnSpPr>
        <xdr:spPr>
          <a:xfrm flipV="1">
            <a:off x="12405174" y="1694259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F00-000040000000}"/>
              </a:ext>
            </a:extLst>
          </xdr:cNvPr>
          <xdr:cNvCxnSpPr/>
        </xdr:nvCxnSpPr>
        <xdr:spPr>
          <a:xfrm flipV="1">
            <a:off x="11098217" y="3017172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F00-000041000000}"/>
              </a:ext>
            </a:extLst>
          </xdr:cNvPr>
          <xdr:cNvCxnSpPr/>
        </xdr:nvCxnSpPr>
        <xdr:spPr>
          <a:xfrm flipV="1">
            <a:off x="12645336" y="3004983"/>
            <a:ext cx="0" cy="367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>
            <a:extLst>
              <a:ext uri="{FF2B5EF4-FFF2-40B4-BE49-F238E27FC236}">
                <a16:creationId xmlns:a16="http://schemas.microsoft.com/office/drawing/2014/main" id="{00000000-0008-0000-0F00-000042000000}"/>
              </a:ext>
            </a:extLst>
          </xdr:cNvPr>
          <xdr:cNvCxnSpPr/>
        </xdr:nvCxnSpPr>
        <xdr:spPr>
          <a:xfrm>
            <a:off x="11077575" y="3171824"/>
            <a:ext cx="1572080" cy="8829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F00-000043000000}"/>
              </a:ext>
            </a:extLst>
          </xdr:cNvPr>
          <xdr:cNvSpPr txBox="1"/>
        </xdr:nvSpPr>
        <xdr:spPr>
          <a:xfrm>
            <a:off x="11748766" y="3033938"/>
            <a:ext cx="370016" cy="36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F00-000044000000}"/>
              </a:ext>
            </a:extLst>
          </xdr:cNvPr>
          <xdr:cNvSpPr txBox="1"/>
        </xdr:nvSpPr>
        <xdr:spPr>
          <a:xfrm>
            <a:off x="12750179" y="2926616"/>
            <a:ext cx="574603" cy="364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75</a:t>
            </a:r>
          </a:p>
        </xdr:txBody>
      </xdr:sp>
    </xdr:grpSp>
    <xdr:clientData/>
  </xdr:twoCellAnchor>
  <xdr:twoCellAnchor editAs="oneCell">
    <xdr:from>
      <xdr:col>20</xdr:col>
      <xdr:colOff>412375</xdr:colOff>
      <xdr:row>87</xdr:row>
      <xdr:rowOff>119529</xdr:rowOff>
    </xdr:from>
    <xdr:to>
      <xdr:col>26</xdr:col>
      <xdr:colOff>460446</xdr:colOff>
      <xdr:row>95</xdr:row>
      <xdr:rowOff>74247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4500" y="17531229"/>
          <a:ext cx="3705671" cy="1545393"/>
        </a:xfrm>
        <a:prstGeom prst="rect">
          <a:avLst/>
        </a:prstGeom>
      </xdr:spPr>
    </xdr:pic>
    <xdr:clientData/>
  </xdr:twoCellAnchor>
  <xdr:oneCellAnchor>
    <xdr:from>
      <xdr:col>15</xdr:col>
      <xdr:colOff>394446</xdr:colOff>
      <xdr:row>94</xdr:row>
      <xdr:rowOff>44823</xdr:rowOff>
    </xdr:from>
    <xdr:ext cx="103094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 txBox="1"/>
      </xdr:nvSpPr>
      <xdr:spPr>
        <a:xfrm>
          <a:off x="10538571" y="18847173"/>
          <a:ext cx="1030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Pbf = 5/3 P </a:t>
          </a:r>
        </a:p>
      </xdr:txBody>
    </xdr:sp>
    <xdr:clientData/>
  </xdr:oneCellAnchor>
  <xdr:twoCellAnchor>
    <xdr:from>
      <xdr:col>16</xdr:col>
      <xdr:colOff>38100</xdr:colOff>
      <xdr:row>29</xdr:row>
      <xdr:rowOff>85725</xdr:rowOff>
    </xdr:from>
    <xdr:to>
      <xdr:col>20</xdr:col>
      <xdr:colOff>399700</xdr:colOff>
      <xdr:row>43</xdr:row>
      <xdr:rowOff>26381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F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91825" y="5657850"/>
          <a:ext cx="2800000" cy="2883881"/>
        </a:xfrm>
        <a:prstGeom prst="rect">
          <a:avLst/>
        </a:prstGeom>
      </xdr:spPr>
    </xdr:pic>
    <xdr:clientData/>
  </xdr:twoCellAnchor>
  <xdr:twoCellAnchor>
    <xdr:from>
      <xdr:col>18</xdr:col>
      <xdr:colOff>183931</xdr:colOff>
      <xdr:row>14</xdr:row>
      <xdr:rowOff>52552</xdr:rowOff>
    </xdr:from>
    <xdr:to>
      <xdr:col>18</xdr:col>
      <xdr:colOff>426983</xdr:colOff>
      <xdr:row>14</xdr:row>
      <xdr:rowOff>52552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F00-000048000000}"/>
            </a:ext>
          </a:extLst>
        </xdr:cNvPr>
        <xdr:cNvCxnSpPr/>
      </xdr:nvCxnSpPr>
      <xdr:spPr>
        <a:xfrm flipH="1">
          <a:off x="12156856" y="2719552"/>
          <a:ext cx="2430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308927</xdr:colOff>
      <xdr:row>35</xdr:row>
      <xdr:rowOff>110466</xdr:rowOff>
    </xdr:from>
    <xdr:to>
      <xdr:col>18</xdr:col>
      <xdr:colOff>485885</xdr:colOff>
      <xdr:row>36</xdr:row>
      <xdr:rowOff>23615</xdr:rowOff>
    </xdr:to>
    <xdr:sp macro="" textlink="">
      <xdr:nvSpPr>
        <xdr:cNvPr id="73" name="Arc 23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/>
      </xdr:nvSpPr>
      <xdr:spPr>
        <a:xfrm rot="11911305">
          <a:off x="12281852" y="6997041"/>
          <a:ext cx="176958" cy="103649"/>
        </a:xfrm>
        <a:custGeom>
          <a:avLst/>
          <a:gdLst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2" fmla="*/ 187439 w 374878"/>
            <a:gd name="connsiteY2" fmla="*/ 97972 h 195943"/>
            <a:gd name="connsiteX3" fmla="*/ 226528 w 374878"/>
            <a:gd name="connsiteY3" fmla="*/ 2154 h 195943"/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0" fmla="*/ 39089 w 187439"/>
            <a:gd name="connsiteY0" fmla="*/ 7563 h 103381"/>
            <a:gd name="connsiteX1" fmla="*/ 187439 w 187439"/>
            <a:gd name="connsiteY1" fmla="*/ 103381 h 103381"/>
            <a:gd name="connsiteX2" fmla="*/ 0 w 187439"/>
            <a:gd name="connsiteY2" fmla="*/ 103381 h 103381"/>
            <a:gd name="connsiteX3" fmla="*/ 39089 w 187439"/>
            <a:gd name="connsiteY3" fmla="*/ 7563 h 103381"/>
            <a:gd name="connsiteX0" fmla="*/ 61668 w 187439"/>
            <a:gd name="connsiteY0" fmla="*/ 0 h 103381"/>
            <a:gd name="connsiteX1" fmla="*/ 187439 w 187439"/>
            <a:gd name="connsiteY1" fmla="*/ 103381 h 1033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7439" h="103381" stroke="0" extrusionOk="0">
              <a:moveTo>
                <a:pt x="39089" y="7563"/>
              </a:moveTo>
              <a:cubicBezTo>
                <a:pt x="125600" y="17205"/>
                <a:pt x="187439" y="57146"/>
                <a:pt x="187439" y="103381"/>
              </a:cubicBezTo>
              <a:lnTo>
                <a:pt x="0" y="103381"/>
              </a:lnTo>
              <a:lnTo>
                <a:pt x="39089" y="7563"/>
              </a:lnTo>
              <a:close/>
            </a:path>
            <a:path w="187439" h="103381" fill="none">
              <a:moveTo>
                <a:pt x="61668" y="0"/>
              </a:moveTo>
              <a:cubicBezTo>
                <a:pt x="148179" y="9642"/>
                <a:pt x="187439" y="57146"/>
                <a:pt x="187439" y="103381"/>
              </a:cubicBezTo>
            </a:path>
          </a:pathLst>
        </a:cu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495981</xdr:colOff>
      <xdr:row>35</xdr:row>
      <xdr:rowOff>28404</xdr:rowOff>
    </xdr:from>
    <xdr:to>
      <xdr:col>18</xdr:col>
      <xdr:colOff>495981</xdr:colOff>
      <xdr:row>36</xdr:row>
      <xdr:rowOff>95250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CxnSpPr/>
      </xdr:nvCxnSpPr>
      <xdr:spPr>
        <a:xfrm>
          <a:off x="12468906" y="6914979"/>
          <a:ext cx="0" cy="2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346643</xdr:colOff>
      <xdr:row>35</xdr:row>
      <xdr:rowOff>94740</xdr:rowOff>
    </xdr:from>
    <xdr:to>
      <xdr:col>19</xdr:col>
      <xdr:colOff>14629</xdr:colOff>
      <xdr:row>35</xdr:row>
      <xdr:rowOff>94740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CxnSpPr/>
      </xdr:nvCxnSpPr>
      <xdr:spPr>
        <a:xfrm>
          <a:off x="12319568" y="6981315"/>
          <a:ext cx="2775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472849</xdr:colOff>
      <xdr:row>35</xdr:row>
      <xdr:rowOff>40821</xdr:rowOff>
    </xdr:from>
    <xdr:to>
      <xdr:col>18</xdr:col>
      <xdr:colOff>554491</xdr:colOff>
      <xdr:row>35</xdr:row>
      <xdr:rowOff>112259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CxnSpPr/>
      </xdr:nvCxnSpPr>
      <xdr:spPr>
        <a:xfrm flipH="1">
          <a:off x="12445774" y="6927396"/>
          <a:ext cx="81642" cy="71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466045</xdr:colOff>
      <xdr:row>36</xdr:row>
      <xdr:rowOff>54428</xdr:rowOff>
    </xdr:from>
    <xdr:to>
      <xdr:col>18</xdr:col>
      <xdr:colOff>547688</xdr:colOff>
      <xdr:row>36</xdr:row>
      <xdr:rowOff>112259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CxnSpPr/>
      </xdr:nvCxnSpPr>
      <xdr:spPr>
        <a:xfrm flipH="1">
          <a:off x="12438970" y="7131503"/>
          <a:ext cx="81643" cy="57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425224</xdr:colOff>
      <xdr:row>35</xdr:row>
      <xdr:rowOff>3402</xdr:rowOff>
    </xdr:from>
    <xdr:to>
      <xdr:col>19</xdr:col>
      <xdr:colOff>173492</xdr:colOff>
      <xdr:row>36</xdr:row>
      <xdr:rowOff>112259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F00-00004E000000}"/>
            </a:ext>
          </a:extLst>
        </xdr:cNvPr>
        <xdr:cNvSpPr txBox="1"/>
      </xdr:nvSpPr>
      <xdr:spPr>
        <a:xfrm>
          <a:off x="12398149" y="6889977"/>
          <a:ext cx="35786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k</a:t>
          </a:r>
        </a:p>
      </xdr:txBody>
    </xdr:sp>
    <xdr:clientData/>
  </xdr:twoCellAnchor>
  <xdr:twoCellAnchor editAs="oneCell">
    <xdr:from>
      <xdr:col>5</xdr:col>
      <xdr:colOff>295274</xdr:colOff>
      <xdr:row>114</xdr:row>
      <xdr:rowOff>71377</xdr:rowOff>
    </xdr:from>
    <xdr:to>
      <xdr:col>10</xdr:col>
      <xdr:colOff>561974</xdr:colOff>
      <xdr:row>127</xdr:row>
      <xdr:rowOff>98082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F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33724" y="23121877"/>
          <a:ext cx="4162425" cy="2512730"/>
        </a:xfrm>
        <a:prstGeom prst="rect">
          <a:avLst/>
        </a:prstGeom>
      </xdr:spPr>
    </xdr:pic>
    <xdr:clientData/>
  </xdr:twoCellAnchor>
  <xdr:twoCellAnchor>
    <xdr:from>
      <xdr:col>6</xdr:col>
      <xdr:colOff>552450</xdr:colOff>
      <xdr:row>116</xdr:row>
      <xdr:rowOff>47625</xdr:rowOff>
    </xdr:from>
    <xdr:to>
      <xdr:col>7</xdr:col>
      <xdr:colOff>57151</xdr:colOff>
      <xdr:row>118</xdr:row>
      <xdr:rowOff>28576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CxnSpPr/>
      </xdr:nvCxnSpPr>
      <xdr:spPr>
        <a:xfrm flipH="1" flipV="1">
          <a:off x="4238625" y="23479125"/>
          <a:ext cx="304801" cy="371476"/>
        </a:xfrm>
        <a:prstGeom prst="straightConnector1">
          <a:avLst/>
        </a:prstGeom>
        <a:ln w="19050">
          <a:solidFill>
            <a:srgbClr val="0000FF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771525</xdr:colOff>
      <xdr:row>119</xdr:row>
      <xdr:rowOff>19050</xdr:rowOff>
    </xdr:from>
    <xdr:ext cx="47577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F00-000051000000}"/>
            </a:ext>
          </a:extLst>
        </xdr:cNvPr>
        <xdr:cNvSpPr txBox="1"/>
      </xdr:nvSpPr>
      <xdr:spPr>
        <a:xfrm>
          <a:off x="4457700" y="24031575"/>
          <a:ext cx="4757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R291</a:t>
          </a:r>
        </a:p>
      </xdr:txBody>
    </xdr:sp>
    <xdr:clientData/>
  </xdr:oneCellAnchor>
  <xdr:twoCellAnchor>
    <xdr:from>
      <xdr:col>6</xdr:col>
      <xdr:colOff>542925</xdr:colOff>
      <xdr:row>123</xdr:row>
      <xdr:rowOff>123825</xdr:rowOff>
    </xdr:from>
    <xdr:to>
      <xdr:col>7</xdr:col>
      <xdr:colOff>57150</xdr:colOff>
      <xdr:row>125</xdr:row>
      <xdr:rowOff>161925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F00-000052000000}"/>
            </a:ext>
          </a:extLst>
        </xdr:cNvPr>
        <xdr:cNvCxnSpPr/>
      </xdr:nvCxnSpPr>
      <xdr:spPr>
        <a:xfrm flipV="1">
          <a:off x="4229100" y="24898350"/>
          <a:ext cx="314325" cy="419100"/>
        </a:xfrm>
        <a:prstGeom prst="straightConnector1">
          <a:avLst/>
        </a:prstGeom>
        <a:ln w="19050">
          <a:solidFill>
            <a:srgbClr val="0000FF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91</xdr:row>
      <xdr:rowOff>121920</xdr:rowOff>
    </xdr:from>
    <xdr:to>
      <xdr:col>2</xdr:col>
      <xdr:colOff>449580</xdr:colOff>
      <xdr:row>101</xdr:row>
      <xdr:rowOff>121920</xdr:rowOff>
    </xdr:to>
    <xdr:sp macro="" textlink="">
      <xdr:nvSpPr>
        <xdr:cNvPr id="2" name="Line 3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ShapeType="1"/>
        </xdr:cNvSpPr>
      </xdr:nvSpPr>
      <xdr:spPr bwMode="auto">
        <a:xfrm>
          <a:off x="1394460" y="17846040"/>
          <a:ext cx="0" cy="1844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525780</xdr:colOff>
      <xdr:row>91</xdr:row>
      <xdr:rowOff>137160</xdr:rowOff>
    </xdr:from>
    <xdr:to>
      <xdr:col>2</xdr:col>
      <xdr:colOff>525780</xdr:colOff>
      <xdr:row>101</xdr:row>
      <xdr:rowOff>137160</xdr:rowOff>
    </xdr:to>
    <xdr:sp macro="" textlink="">
      <xdr:nvSpPr>
        <xdr:cNvPr id="3" name="Line 39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ShapeType="1"/>
        </xdr:cNvSpPr>
      </xdr:nvSpPr>
      <xdr:spPr bwMode="auto">
        <a:xfrm>
          <a:off x="1470660" y="17861280"/>
          <a:ext cx="0" cy="1844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110211</xdr:colOff>
      <xdr:row>91</xdr:row>
      <xdr:rowOff>148311</xdr:rowOff>
    </xdr:from>
    <xdr:to>
      <xdr:col>2</xdr:col>
      <xdr:colOff>110211</xdr:colOff>
      <xdr:row>102</xdr:row>
      <xdr:rowOff>41631</xdr:rowOff>
    </xdr:to>
    <xdr:sp macro="" textlink="">
      <xdr:nvSpPr>
        <xdr:cNvPr id="4" name="Line 4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1055091" y="17872431"/>
          <a:ext cx="0" cy="1920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91</xdr:row>
      <xdr:rowOff>129540</xdr:rowOff>
    </xdr:from>
    <xdr:to>
      <xdr:col>3</xdr:col>
      <xdr:colOff>266700</xdr:colOff>
      <xdr:row>102</xdr:row>
      <xdr:rowOff>7620</xdr:rowOff>
    </xdr:to>
    <xdr:sp macro="" textlink="">
      <xdr:nvSpPr>
        <xdr:cNvPr id="5" name="Line 4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821180" y="17853660"/>
          <a:ext cx="0" cy="1905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137160</xdr:colOff>
      <xdr:row>96</xdr:row>
      <xdr:rowOff>121920</xdr:rowOff>
    </xdr:from>
    <xdr:to>
      <xdr:col>2</xdr:col>
      <xdr:colOff>457200</xdr:colOff>
      <xdr:row>97</xdr:row>
      <xdr:rowOff>0</xdr:rowOff>
    </xdr:to>
    <xdr:sp macro="" textlink="">
      <xdr:nvSpPr>
        <xdr:cNvPr id="6" name="Rectangle 42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1082040" y="18775680"/>
          <a:ext cx="320040" cy="6096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518160</xdr:colOff>
      <xdr:row>96</xdr:row>
      <xdr:rowOff>121920</xdr:rowOff>
    </xdr:from>
    <xdr:to>
      <xdr:col>3</xdr:col>
      <xdr:colOff>220980</xdr:colOff>
      <xdr:row>97</xdr:row>
      <xdr:rowOff>0</xdr:rowOff>
    </xdr:to>
    <xdr:sp macro="" textlink="">
      <xdr:nvSpPr>
        <xdr:cNvPr id="7" name="Rectangle 43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1463040" y="18775680"/>
          <a:ext cx="312420" cy="6096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449580</xdr:colOff>
      <xdr:row>94</xdr:row>
      <xdr:rowOff>114300</xdr:rowOff>
    </xdr:from>
    <xdr:to>
      <xdr:col>2</xdr:col>
      <xdr:colOff>525780</xdr:colOff>
      <xdr:row>99</xdr:row>
      <xdr:rowOff>45720</xdr:rowOff>
    </xdr:to>
    <xdr:sp macro="" textlink="">
      <xdr:nvSpPr>
        <xdr:cNvPr id="8" name="Rectangle 44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>
          <a:spLocks noChangeArrowheads="1"/>
        </xdr:cNvSpPr>
      </xdr:nvSpPr>
      <xdr:spPr bwMode="auto">
        <a:xfrm>
          <a:off x="1394460" y="18402300"/>
          <a:ext cx="76200" cy="84582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30480</xdr:colOff>
      <xdr:row>91</xdr:row>
      <xdr:rowOff>76200</xdr:rowOff>
    </xdr:from>
    <xdr:to>
      <xdr:col>3</xdr:col>
      <xdr:colOff>320040</xdr:colOff>
      <xdr:row>92</xdr:row>
      <xdr:rowOff>30480</xdr:rowOff>
    </xdr:to>
    <xdr:sp macro="" textlink="">
      <xdr:nvSpPr>
        <xdr:cNvPr id="9" name="Freeform 46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/>
        </xdr:cNvSpPr>
      </xdr:nvSpPr>
      <xdr:spPr bwMode="auto">
        <a:xfrm>
          <a:off x="975360" y="17800320"/>
          <a:ext cx="899160" cy="137160"/>
        </a:xfrm>
        <a:custGeom>
          <a:avLst/>
          <a:gdLst>
            <a:gd name="T0" fmla="*/ 0 w 94"/>
            <a:gd name="T1" fmla="*/ 2147483647 h 12"/>
            <a:gd name="T2" fmla="*/ 2147483647 w 94"/>
            <a:gd name="T3" fmla="*/ 2147483647 h 12"/>
            <a:gd name="T4" fmla="*/ 2147483647 w 94"/>
            <a:gd name="T5" fmla="*/ 2147483647 h 12"/>
            <a:gd name="T6" fmla="*/ 2147483647 w 94"/>
            <a:gd name="T7" fmla="*/ 2147483647 h 12"/>
            <a:gd name="T8" fmla="*/ 0 60000 65536"/>
            <a:gd name="T9" fmla="*/ 0 60000 65536"/>
            <a:gd name="T10" fmla="*/ 0 60000 65536"/>
            <a:gd name="T11" fmla="*/ 0 60000 65536"/>
            <a:gd name="T12" fmla="*/ 0 w 94"/>
            <a:gd name="T13" fmla="*/ 0 h 12"/>
            <a:gd name="T14" fmla="*/ 94 w 94"/>
            <a:gd name="T15" fmla="*/ 12 h 1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94" h="12">
              <a:moveTo>
                <a:pt x="0" y="8"/>
              </a:moveTo>
              <a:cubicBezTo>
                <a:pt x="13" y="4"/>
                <a:pt x="27" y="0"/>
                <a:pt x="38" y="1"/>
              </a:cubicBezTo>
              <a:cubicBezTo>
                <a:pt x="49" y="2"/>
                <a:pt x="55" y="12"/>
                <a:pt x="64" y="12"/>
              </a:cubicBezTo>
              <a:cubicBezTo>
                <a:pt x="73" y="12"/>
                <a:pt x="83" y="6"/>
                <a:pt x="94" y="1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101</xdr:row>
      <xdr:rowOff>137160</xdr:rowOff>
    </xdr:from>
    <xdr:to>
      <xdr:col>3</xdr:col>
      <xdr:colOff>312420</xdr:colOff>
      <xdr:row>102</xdr:row>
      <xdr:rowOff>45720</xdr:rowOff>
    </xdr:to>
    <xdr:sp macro="" textlink="">
      <xdr:nvSpPr>
        <xdr:cNvPr id="10" name="Freeform 47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/>
        </xdr:cNvSpPr>
      </xdr:nvSpPr>
      <xdr:spPr bwMode="auto">
        <a:xfrm>
          <a:off x="982980" y="19705320"/>
          <a:ext cx="883920" cy="91440"/>
        </a:xfrm>
        <a:custGeom>
          <a:avLst/>
          <a:gdLst>
            <a:gd name="T0" fmla="*/ 0 w 92"/>
            <a:gd name="T1" fmla="*/ 2147483647 h 8"/>
            <a:gd name="T2" fmla="*/ 2147483647 w 92"/>
            <a:gd name="T3" fmla="*/ 0 h 8"/>
            <a:gd name="T4" fmla="*/ 2147483647 w 92"/>
            <a:gd name="T5" fmla="*/ 2147483647 h 8"/>
            <a:gd name="T6" fmla="*/ 2147483647 w 92"/>
            <a:gd name="T7" fmla="*/ 0 h 8"/>
            <a:gd name="T8" fmla="*/ 0 60000 65536"/>
            <a:gd name="T9" fmla="*/ 0 60000 65536"/>
            <a:gd name="T10" fmla="*/ 0 60000 65536"/>
            <a:gd name="T11" fmla="*/ 0 60000 65536"/>
            <a:gd name="T12" fmla="*/ 0 w 92"/>
            <a:gd name="T13" fmla="*/ 0 h 8"/>
            <a:gd name="T14" fmla="*/ 92 w 92"/>
            <a:gd name="T15" fmla="*/ 8 h 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92" h="8">
              <a:moveTo>
                <a:pt x="0" y="7"/>
              </a:moveTo>
              <a:cubicBezTo>
                <a:pt x="14" y="3"/>
                <a:pt x="29" y="0"/>
                <a:pt x="41" y="0"/>
              </a:cubicBezTo>
              <a:cubicBezTo>
                <a:pt x="53" y="0"/>
                <a:pt x="65" y="8"/>
                <a:pt x="73" y="8"/>
              </a:cubicBezTo>
              <a:cubicBezTo>
                <a:pt x="81" y="8"/>
                <a:pt x="86" y="4"/>
                <a:pt x="92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171729</xdr:colOff>
      <xdr:row>93</xdr:row>
      <xdr:rowOff>38100</xdr:rowOff>
    </xdr:from>
    <xdr:to>
      <xdr:col>2</xdr:col>
      <xdr:colOff>446049</xdr:colOff>
      <xdr:row>93</xdr:row>
      <xdr:rowOff>38100</xdr:rowOff>
    </xdr:to>
    <xdr:sp macro="" textlink="">
      <xdr:nvSpPr>
        <xdr:cNvPr id="11" name="Line 4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>
          <a:spLocks noChangeShapeType="1"/>
        </xdr:cNvSpPr>
      </xdr:nvSpPr>
      <xdr:spPr bwMode="auto">
        <a:xfrm>
          <a:off x="1116609" y="18143220"/>
          <a:ext cx="2743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522249</xdr:colOff>
      <xdr:row>93</xdr:row>
      <xdr:rowOff>52967</xdr:rowOff>
    </xdr:from>
    <xdr:to>
      <xdr:col>3</xdr:col>
      <xdr:colOff>171729</xdr:colOff>
      <xdr:row>93</xdr:row>
      <xdr:rowOff>52967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ShapeType="1"/>
        </xdr:cNvSpPr>
      </xdr:nvSpPr>
      <xdr:spPr bwMode="auto">
        <a:xfrm flipH="1">
          <a:off x="1467129" y="18158087"/>
          <a:ext cx="259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99060</xdr:colOff>
      <xdr:row>102</xdr:row>
      <xdr:rowOff>106680</xdr:rowOff>
    </xdr:from>
    <xdr:to>
      <xdr:col>2</xdr:col>
      <xdr:colOff>99060</xdr:colOff>
      <xdr:row>104</xdr:row>
      <xdr:rowOff>99060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ShapeType="1"/>
        </xdr:cNvSpPr>
      </xdr:nvSpPr>
      <xdr:spPr bwMode="auto">
        <a:xfrm>
          <a:off x="1043940" y="19857720"/>
          <a:ext cx="0" cy="3733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102</xdr:row>
      <xdr:rowOff>68580</xdr:rowOff>
    </xdr:from>
    <xdr:to>
      <xdr:col>3</xdr:col>
      <xdr:colOff>266700</xdr:colOff>
      <xdr:row>104</xdr:row>
      <xdr:rowOff>91440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ShapeType="1"/>
        </xdr:cNvSpPr>
      </xdr:nvSpPr>
      <xdr:spPr bwMode="auto">
        <a:xfrm>
          <a:off x="1821180" y="19819620"/>
          <a:ext cx="0" cy="4038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99060</xdr:colOff>
      <xdr:row>104</xdr:row>
      <xdr:rowOff>53340</xdr:rowOff>
    </xdr:from>
    <xdr:to>
      <xdr:col>3</xdr:col>
      <xdr:colOff>266700</xdr:colOff>
      <xdr:row>104</xdr:row>
      <xdr:rowOff>53340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>
          <a:spLocks noChangeShapeType="1"/>
        </xdr:cNvSpPr>
      </xdr:nvSpPr>
      <xdr:spPr bwMode="auto">
        <a:xfrm>
          <a:off x="1043940" y="20185380"/>
          <a:ext cx="77724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sm" len="lg"/>
          <a:tailEnd type="stealth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579120</xdr:colOff>
      <xdr:row>94</xdr:row>
      <xdr:rowOff>114300</xdr:rowOff>
    </xdr:from>
    <xdr:to>
      <xdr:col>4</xdr:col>
      <xdr:colOff>137160</xdr:colOff>
      <xdr:row>94</xdr:row>
      <xdr:rowOff>114300</xdr:rowOff>
    </xdr:to>
    <xdr:sp macro="" textlink="">
      <xdr:nvSpPr>
        <xdr:cNvPr id="16" name="Line 56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>
          <a:spLocks noChangeShapeType="1"/>
        </xdr:cNvSpPr>
      </xdr:nvSpPr>
      <xdr:spPr bwMode="auto">
        <a:xfrm>
          <a:off x="1524000" y="18402300"/>
          <a:ext cx="10896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571500</xdr:colOff>
      <xdr:row>99</xdr:row>
      <xdr:rowOff>45720</xdr:rowOff>
    </xdr:from>
    <xdr:to>
      <xdr:col>4</xdr:col>
      <xdr:colOff>137160</xdr:colOff>
      <xdr:row>99</xdr:row>
      <xdr:rowOff>45720</xdr:rowOff>
    </xdr:to>
    <xdr:sp macro="" textlink="">
      <xdr:nvSpPr>
        <xdr:cNvPr id="17" name="Line 57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ShapeType="1"/>
        </xdr:cNvSpPr>
      </xdr:nvSpPr>
      <xdr:spPr bwMode="auto">
        <a:xfrm>
          <a:off x="1516380" y="1924812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94</xdr:row>
      <xdr:rowOff>114300</xdr:rowOff>
    </xdr:from>
    <xdr:to>
      <xdr:col>4</xdr:col>
      <xdr:colOff>7620</xdr:colOff>
      <xdr:row>99</xdr:row>
      <xdr:rowOff>45720</xdr:rowOff>
    </xdr:to>
    <xdr:sp macro="" textlink="">
      <xdr:nvSpPr>
        <xdr:cNvPr id="18" name="Line 58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ShapeType="1"/>
        </xdr:cNvSpPr>
      </xdr:nvSpPr>
      <xdr:spPr bwMode="auto">
        <a:xfrm>
          <a:off x="2484120" y="18402300"/>
          <a:ext cx="0" cy="84582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sm" len="lg"/>
          <a:tailEnd type="stealth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137160</xdr:colOff>
      <xdr:row>93</xdr:row>
      <xdr:rowOff>100361</xdr:rowOff>
    </xdr:from>
    <xdr:to>
      <xdr:col>2</xdr:col>
      <xdr:colOff>141248</xdr:colOff>
      <xdr:row>96</xdr:row>
      <xdr:rowOff>129540</xdr:rowOff>
    </xdr:to>
    <xdr:sp macro="" textlink="">
      <xdr:nvSpPr>
        <xdr:cNvPr id="19" name="Line 59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>
          <a:spLocks noChangeShapeType="1"/>
        </xdr:cNvSpPr>
      </xdr:nvSpPr>
      <xdr:spPr bwMode="auto">
        <a:xfrm flipV="1">
          <a:off x="1082040" y="18205481"/>
          <a:ext cx="4088" cy="5778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140877</xdr:colOff>
      <xdr:row>94</xdr:row>
      <xdr:rowOff>44606</xdr:rowOff>
    </xdr:from>
    <xdr:to>
      <xdr:col>2</xdr:col>
      <xdr:colOff>338997</xdr:colOff>
      <xdr:row>94</xdr:row>
      <xdr:rowOff>44606</xdr:rowOff>
    </xdr:to>
    <xdr:sp macro="" textlink="">
      <xdr:nvSpPr>
        <xdr:cNvPr id="20" name="Line 60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>
          <a:spLocks noChangeShapeType="1"/>
        </xdr:cNvSpPr>
      </xdr:nvSpPr>
      <xdr:spPr bwMode="auto">
        <a:xfrm flipH="1">
          <a:off x="1085757" y="18332606"/>
          <a:ext cx="1981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400329</xdr:colOff>
      <xdr:row>94</xdr:row>
      <xdr:rowOff>37171</xdr:rowOff>
    </xdr:from>
    <xdr:to>
      <xdr:col>2</xdr:col>
      <xdr:colOff>87909</xdr:colOff>
      <xdr:row>94</xdr:row>
      <xdr:rowOff>37171</xdr:rowOff>
    </xdr:to>
    <xdr:sp macro="" textlink="">
      <xdr:nvSpPr>
        <xdr:cNvPr id="21" name="Line 6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ShapeType="1"/>
        </xdr:cNvSpPr>
      </xdr:nvSpPr>
      <xdr:spPr bwMode="auto">
        <a:xfrm>
          <a:off x="735609" y="18325171"/>
          <a:ext cx="2971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137160</xdr:colOff>
      <xdr:row>97</xdr:row>
      <xdr:rowOff>7620</xdr:rowOff>
    </xdr:from>
    <xdr:to>
      <xdr:col>1</xdr:col>
      <xdr:colOff>137160</xdr:colOff>
      <xdr:row>99</xdr:row>
      <xdr:rowOff>121920</xdr:rowOff>
    </xdr:to>
    <xdr:sp macro="" textlink="">
      <xdr:nvSpPr>
        <xdr:cNvPr id="22" name="Line 6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>
          <a:spLocks noChangeShapeType="1"/>
        </xdr:cNvSpPr>
      </xdr:nvSpPr>
      <xdr:spPr bwMode="auto">
        <a:xfrm>
          <a:off x="472440" y="18844260"/>
          <a:ext cx="0" cy="48006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sm" len="lg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99</xdr:row>
      <xdr:rowOff>0</xdr:rowOff>
    </xdr:from>
    <xdr:to>
      <xdr:col>1</xdr:col>
      <xdr:colOff>434340</xdr:colOff>
      <xdr:row>99</xdr:row>
      <xdr:rowOff>0</xdr:rowOff>
    </xdr:to>
    <xdr:sp macro="" textlink="">
      <xdr:nvSpPr>
        <xdr:cNvPr id="23" name="Line 63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>
          <a:spLocks noChangeShapeType="1"/>
        </xdr:cNvSpPr>
      </xdr:nvSpPr>
      <xdr:spPr bwMode="auto">
        <a:xfrm>
          <a:off x="365760" y="19202400"/>
          <a:ext cx="4038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stealth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14</xdr:col>
      <xdr:colOff>441960</xdr:colOff>
      <xdr:row>23</xdr:row>
      <xdr:rowOff>114301</xdr:rowOff>
    </xdr:from>
    <xdr:to>
      <xdr:col>19</xdr:col>
      <xdr:colOff>574655</xdr:colOff>
      <xdr:row>33</xdr:row>
      <xdr:rowOff>1969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0" y="4678681"/>
          <a:ext cx="3180695" cy="1804322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419101</xdr:colOff>
      <xdr:row>34</xdr:row>
      <xdr:rowOff>102188</xdr:rowOff>
    </xdr:from>
    <xdr:to>
      <xdr:col>19</xdr:col>
      <xdr:colOff>601981</xdr:colOff>
      <xdr:row>42</xdr:row>
      <xdr:rowOff>74221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2661" y="6769688"/>
          <a:ext cx="3230880" cy="1541753"/>
        </a:xfrm>
        <a:prstGeom prst="rect">
          <a:avLst/>
        </a:prstGeom>
      </xdr:spPr>
    </xdr:pic>
    <xdr:clientData/>
  </xdr:twoCellAnchor>
  <xdr:twoCellAnchor editAs="oneCell">
    <xdr:from>
      <xdr:col>14</xdr:col>
      <xdr:colOff>403860</xdr:colOff>
      <xdr:row>45</xdr:row>
      <xdr:rowOff>138454</xdr:rowOff>
    </xdr:from>
    <xdr:to>
      <xdr:col>21</xdr:col>
      <xdr:colOff>184127</xdr:colOff>
      <xdr:row>56</xdr:row>
      <xdr:rowOff>129201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37420" y="8939554"/>
          <a:ext cx="4047467" cy="2078627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65</xdr:row>
      <xdr:rowOff>105140</xdr:rowOff>
    </xdr:from>
    <xdr:to>
      <xdr:col>21</xdr:col>
      <xdr:colOff>300307</xdr:colOff>
      <xdr:row>71</xdr:row>
      <xdr:rowOff>45530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05060" y="12754340"/>
          <a:ext cx="3996007" cy="1113870"/>
        </a:xfrm>
        <a:prstGeom prst="rect">
          <a:avLst/>
        </a:prstGeom>
      </xdr:spPr>
    </xdr:pic>
    <xdr:clientData/>
  </xdr:twoCellAnchor>
  <xdr:twoCellAnchor editAs="oneCell">
    <xdr:from>
      <xdr:col>14</xdr:col>
      <xdr:colOff>556260</xdr:colOff>
      <xdr:row>75</xdr:row>
      <xdr:rowOff>100858</xdr:rowOff>
    </xdr:from>
    <xdr:to>
      <xdr:col>20</xdr:col>
      <xdr:colOff>228600</xdr:colOff>
      <xdr:row>84</xdr:row>
      <xdr:rowOff>45933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9820" y="14685538"/>
          <a:ext cx="3329940" cy="1682435"/>
        </a:xfrm>
        <a:prstGeom prst="rect">
          <a:avLst/>
        </a:prstGeom>
      </xdr:spPr>
    </xdr:pic>
    <xdr:clientData/>
  </xdr:twoCellAnchor>
  <xdr:twoCellAnchor>
    <xdr:from>
      <xdr:col>2</xdr:col>
      <xdr:colOff>136635</xdr:colOff>
      <xdr:row>95</xdr:row>
      <xdr:rowOff>5256</xdr:rowOff>
    </xdr:from>
    <xdr:to>
      <xdr:col>2</xdr:col>
      <xdr:colOff>456675</xdr:colOff>
      <xdr:row>95</xdr:row>
      <xdr:rowOff>67267</xdr:rowOff>
    </xdr:to>
    <xdr:sp macro="" textlink="">
      <xdr:nvSpPr>
        <xdr:cNvPr id="33" name="Rectangle 42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SpPr>
          <a:spLocks noChangeArrowheads="1"/>
        </xdr:cNvSpPr>
      </xdr:nvSpPr>
      <xdr:spPr bwMode="auto">
        <a:xfrm>
          <a:off x="1081515" y="18476136"/>
          <a:ext cx="320040" cy="62011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525069</xdr:colOff>
      <xdr:row>95</xdr:row>
      <xdr:rowOff>5256</xdr:rowOff>
    </xdr:from>
    <xdr:to>
      <xdr:col>3</xdr:col>
      <xdr:colOff>227889</xdr:colOff>
      <xdr:row>95</xdr:row>
      <xdr:rowOff>67267</xdr:rowOff>
    </xdr:to>
    <xdr:sp macro="" textlink="">
      <xdr:nvSpPr>
        <xdr:cNvPr id="34" name="Rectangle 43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>
          <a:spLocks noChangeArrowheads="1"/>
        </xdr:cNvSpPr>
      </xdr:nvSpPr>
      <xdr:spPr bwMode="auto">
        <a:xfrm>
          <a:off x="1469949" y="18476136"/>
          <a:ext cx="312420" cy="62011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130097</xdr:colOff>
      <xdr:row>98</xdr:row>
      <xdr:rowOff>96644</xdr:rowOff>
    </xdr:from>
    <xdr:to>
      <xdr:col>2</xdr:col>
      <xdr:colOff>450137</xdr:colOff>
      <xdr:row>98</xdr:row>
      <xdr:rowOff>156860</xdr:rowOff>
    </xdr:to>
    <xdr:sp macro="" textlink="">
      <xdr:nvSpPr>
        <xdr:cNvPr id="35" name="Rectangle 42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SpPr>
          <a:spLocks noChangeArrowheads="1"/>
        </xdr:cNvSpPr>
      </xdr:nvSpPr>
      <xdr:spPr bwMode="auto">
        <a:xfrm>
          <a:off x="1074977" y="19116164"/>
          <a:ext cx="320040" cy="60216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525965</xdr:colOff>
      <xdr:row>98</xdr:row>
      <xdr:rowOff>96644</xdr:rowOff>
    </xdr:from>
    <xdr:to>
      <xdr:col>3</xdr:col>
      <xdr:colOff>228785</xdr:colOff>
      <xdr:row>98</xdr:row>
      <xdr:rowOff>156860</xdr:rowOff>
    </xdr:to>
    <xdr:sp macro="" textlink="">
      <xdr:nvSpPr>
        <xdr:cNvPr id="36" name="Rectangle 43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>
          <a:spLocks noChangeArrowheads="1"/>
        </xdr:cNvSpPr>
      </xdr:nvSpPr>
      <xdr:spPr bwMode="auto">
        <a:xfrm>
          <a:off x="1470845" y="19116164"/>
          <a:ext cx="312420" cy="60216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294358</xdr:colOff>
      <xdr:row>95</xdr:row>
      <xdr:rowOff>12747</xdr:rowOff>
    </xdr:from>
    <xdr:to>
      <xdr:col>3</xdr:col>
      <xdr:colOff>554181</xdr:colOff>
      <xdr:row>95</xdr:row>
      <xdr:rowOff>13855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CxnSpPr/>
      </xdr:nvCxnSpPr>
      <xdr:spPr>
        <a:xfrm>
          <a:off x="1848838" y="18483627"/>
          <a:ext cx="259823" cy="1108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294356</xdr:colOff>
      <xdr:row>95</xdr:row>
      <xdr:rowOff>71629</xdr:rowOff>
    </xdr:from>
    <xdr:to>
      <xdr:col>3</xdr:col>
      <xdr:colOff>554179</xdr:colOff>
      <xdr:row>95</xdr:row>
      <xdr:rowOff>72737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CxnSpPr/>
      </xdr:nvCxnSpPr>
      <xdr:spPr>
        <a:xfrm>
          <a:off x="1848836" y="18542509"/>
          <a:ext cx="259823" cy="1108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425976</xdr:colOff>
      <xdr:row>94</xdr:row>
      <xdr:rowOff>158219</xdr:rowOff>
    </xdr:from>
    <xdr:to>
      <xdr:col>3</xdr:col>
      <xdr:colOff>426027</xdr:colOff>
      <xdr:row>95</xdr:row>
      <xdr:rowOff>117764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CxnSpPr/>
      </xdr:nvCxnSpPr>
      <xdr:spPr>
        <a:xfrm>
          <a:off x="1980456" y="18446219"/>
          <a:ext cx="51" cy="142425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529934</xdr:colOff>
      <xdr:row>94</xdr:row>
      <xdr:rowOff>86591</xdr:rowOff>
    </xdr:from>
    <xdr:to>
      <xdr:col>4</xdr:col>
      <xdr:colOff>51955</xdr:colOff>
      <xdr:row>95</xdr:row>
      <xdr:rowOff>142010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SpPr txBox="1"/>
      </xdr:nvSpPr>
      <xdr:spPr>
        <a:xfrm>
          <a:off x="2084414" y="18374591"/>
          <a:ext cx="444041" cy="238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t</a:t>
          </a:r>
          <a:r>
            <a:rPr lang="en-US" sz="600"/>
            <a:t>st,1</a:t>
          </a:r>
        </a:p>
      </xdr:txBody>
    </xdr:sp>
    <xdr:clientData/>
  </xdr:twoCellAnchor>
  <xdr:twoCellAnchor>
    <xdr:from>
      <xdr:col>3</xdr:col>
      <xdr:colOff>297822</xdr:colOff>
      <xdr:row>96</xdr:row>
      <xdr:rowOff>123583</xdr:rowOff>
    </xdr:from>
    <xdr:to>
      <xdr:col>3</xdr:col>
      <xdr:colOff>557645</xdr:colOff>
      <xdr:row>96</xdr:row>
      <xdr:rowOff>124691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CxnSpPr/>
      </xdr:nvCxnSpPr>
      <xdr:spPr>
        <a:xfrm>
          <a:off x="1852302" y="18777343"/>
          <a:ext cx="259823" cy="1108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297820</xdr:colOff>
      <xdr:row>96</xdr:row>
      <xdr:rowOff>182465</xdr:rowOff>
    </xdr:from>
    <xdr:to>
      <xdr:col>3</xdr:col>
      <xdr:colOff>557643</xdr:colOff>
      <xdr:row>97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CxnSpPr/>
      </xdr:nvCxnSpPr>
      <xdr:spPr>
        <a:xfrm>
          <a:off x="1852300" y="18836225"/>
          <a:ext cx="259823" cy="415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429440</xdr:colOff>
      <xdr:row>96</xdr:row>
      <xdr:rowOff>85483</xdr:rowOff>
    </xdr:from>
    <xdr:to>
      <xdr:col>3</xdr:col>
      <xdr:colOff>429491</xdr:colOff>
      <xdr:row>97</xdr:row>
      <xdr:rowOff>45027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1000-00002C000000}"/>
            </a:ext>
          </a:extLst>
        </xdr:cNvPr>
        <xdr:cNvCxnSpPr/>
      </xdr:nvCxnSpPr>
      <xdr:spPr>
        <a:xfrm>
          <a:off x="1983920" y="18739243"/>
          <a:ext cx="51" cy="142424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533398</xdr:colOff>
      <xdr:row>96</xdr:row>
      <xdr:rowOff>13855</xdr:rowOff>
    </xdr:from>
    <xdr:to>
      <xdr:col>4</xdr:col>
      <xdr:colOff>55419</xdr:colOff>
      <xdr:row>97</xdr:row>
      <xdr:rowOff>69273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1000-00002D000000}"/>
            </a:ext>
          </a:extLst>
        </xdr:cNvPr>
        <xdr:cNvSpPr txBox="1"/>
      </xdr:nvSpPr>
      <xdr:spPr>
        <a:xfrm>
          <a:off x="2087878" y="18667615"/>
          <a:ext cx="444041" cy="2382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t</a:t>
          </a:r>
          <a:r>
            <a:rPr lang="en-US" sz="600"/>
            <a:t>st,2</a:t>
          </a:r>
        </a:p>
      </xdr:txBody>
    </xdr:sp>
    <xdr:clientData/>
  </xdr:twoCellAnchor>
  <xdr:twoCellAnchor>
    <xdr:from>
      <xdr:col>3</xdr:col>
      <xdr:colOff>304749</xdr:colOff>
      <xdr:row>98</xdr:row>
      <xdr:rowOff>102801</xdr:rowOff>
    </xdr:from>
    <xdr:to>
      <xdr:col>3</xdr:col>
      <xdr:colOff>564572</xdr:colOff>
      <xdr:row>98</xdr:row>
      <xdr:rowOff>103909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1000-00002E000000}"/>
            </a:ext>
          </a:extLst>
        </xdr:cNvPr>
        <xdr:cNvCxnSpPr/>
      </xdr:nvCxnSpPr>
      <xdr:spPr>
        <a:xfrm>
          <a:off x="1859229" y="19122321"/>
          <a:ext cx="259823" cy="1108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304747</xdr:colOff>
      <xdr:row>98</xdr:row>
      <xdr:rowOff>161683</xdr:rowOff>
    </xdr:from>
    <xdr:to>
      <xdr:col>3</xdr:col>
      <xdr:colOff>564570</xdr:colOff>
      <xdr:row>98</xdr:row>
      <xdr:rowOff>162791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CxnSpPr/>
      </xdr:nvCxnSpPr>
      <xdr:spPr>
        <a:xfrm>
          <a:off x="1859227" y="19181203"/>
          <a:ext cx="259823" cy="1108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436367</xdr:colOff>
      <xdr:row>98</xdr:row>
      <xdr:rowOff>64701</xdr:rowOff>
    </xdr:from>
    <xdr:to>
      <xdr:col>3</xdr:col>
      <xdr:colOff>436418</xdr:colOff>
      <xdr:row>99</xdr:row>
      <xdr:rowOff>24245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CxnSpPr/>
      </xdr:nvCxnSpPr>
      <xdr:spPr>
        <a:xfrm>
          <a:off x="1990847" y="19084221"/>
          <a:ext cx="51" cy="142424"/>
        </a:xfrm>
        <a:prstGeom prst="line">
          <a:avLst/>
        </a:prstGeom>
        <a:ln>
          <a:solidFill>
            <a:schemeClr val="tx1"/>
          </a:solidFill>
        </a:ln>
        <a:scene3d>
          <a:camera prst="orthographicFront">
            <a:rot lat="0" lon="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540325</xdr:colOff>
      <xdr:row>97</xdr:row>
      <xdr:rowOff>176645</xdr:rowOff>
    </xdr:from>
    <xdr:to>
      <xdr:col>4</xdr:col>
      <xdr:colOff>62346</xdr:colOff>
      <xdr:row>99</xdr:row>
      <xdr:rowOff>48491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SpPr txBox="1"/>
      </xdr:nvSpPr>
      <xdr:spPr>
        <a:xfrm>
          <a:off x="2094805" y="19013285"/>
          <a:ext cx="444041" cy="237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t</a:t>
          </a:r>
          <a:r>
            <a:rPr lang="en-US" sz="600"/>
            <a:t>st,3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17</xdr:col>
      <xdr:colOff>523875</xdr:colOff>
      <xdr:row>13</xdr:row>
      <xdr:rowOff>152400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12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81850" y="190500"/>
          <a:ext cx="3571875" cy="252412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83820</xdr:rowOff>
    </xdr:from>
    <xdr:to>
      <xdr:col>6</xdr:col>
      <xdr:colOff>470103</xdr:colOff>
      <xdr:row>9</xdr:row>
      <xdr:rowOff>18199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49580"/>
          <a:ext cx="3457143" cy="1214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0</xdr:row>
      <xdr:rowOff>0</xdr:rowOff>
    </xdr:from>
    <xdr:to>
      <xdr:col>20</xdr:col>
      <xdr:colOff>57150</xdr:colOff>
      <xdr:row>27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8075" y="0"/>
          <a:ext cx="8305800" cy="5181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537680</xdr:colOff>
      <xdr:row>18</xdr:row>
      <xdr:rowOff>42792</xdr:rowOff>
    </xdr:from>
    <xdr:to>
      <xdr:col>20</xdr:col>
      <xdr:colOff>31256</xdr:colOff>
      <xdr:row>42</xdr:row>
      <xdr:rowOff>195694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13492" y="3413521"/>
          <a:ext cx="5589576" cy="4706972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16</xdr:col>
      <xdr:colOff>333375</xdr:colOff>
      <xdr:row>66</xdr:row>
      <xdr:rowOff>70281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82025" y="10039350"/>
          <a:ext cx="3381375" cy="28479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365760</xdr:colOff>
      <xdr:row>0</xdr:row>
      <xdr:rowOff>0</xdr:rowOff>
    </xdr:from>
    <xdr:to>
      <xdr:col>17</xdr:col>
      <xdr:colOff>394335</xdr:colOff>
      <xdr:row>24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82840" y="0"/>
          <a:ext cx="5514975" cy="442150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0</xdr:row>
      <xdr:rowOff>0</xdr:rowOff>
    </xdr:from>
    <xdr:to>
      <xdr:col>23</xdr:col>
      <xdr:colOff>114300</xdr:colOff>
      <xdr:row>27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3350" y="0"/>
          <a:ext cx="8305800" cy="51816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384810</xdr:colOff>
      <xdr:row>34</xdr:row>
      <xdr:rowOff>0</xdr:rowOff>
    </xdr:from>
    <xdr:to>
      <xdr:col>21</xdr:col>
      <xdr:colOff>485411</xdr:colOff>
      <xdr:row>47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9335" y="8858250"/>
          <a:ext cx="4363039" cy="2628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381734</xdr:colOff>
      <xdr:row>47</xdr:row>
      <xdr:rowOff>34048</xdr:rowOff>
    </xdr:from>
    <xdr:to>
      <xdr:col>21</xdr:col>
      <xdr:colOff>515054</xdr:colOff>
      <xdr:row>58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6259" y="11511673"/>
          <a:ext cx="4395758" cy="2213852"/>
        </a:xfrm>
        <a:prstGeom prst="rect">
          <a:avLst/>
        </a:prstGeom>
      </xdr:spPr>
    </xdr:pic>
    <xdr:clientData/>
  </xdr:twoCellAnchor>
  <xdr:twoCellAnchor editAs="oneCell">
    <xdr:from>
      <xdr:col>13</xdr:col>
      <xdr:colOff>387294</xdr:colOff>
      <xdr:row>59</xdr:row>
      <xdr:rowOff>30780</xdr:rowOff>
    </xdr:from>
    <xdr:to>
      <xdr:col>20</xdr:col>
      <xdr:colOff>172320</xdr:colOff>
      <xdr:row>70</xdr:row>
      <xdr:rowOff>9724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2219" y="13927755"/>
          <a:ext cx="4047467" cy="213635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74</xdr:row>
      <xdr:rowOff>105140</xdr:rowOff>
    </xdr:from>
    <xdr:to>
      <xdr:col>20</xdr:col>
      <xdr:colOff>305066</xdr:colOff>
      <xdr:row>80</xdr:row>
      <xdr:rowOff>45530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17012015"/>
          <a:ext cx="3996007" cy="114054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83</xdr:row>
      <xdr:rowOff>100858</xdr:rowOff>
    </xdr:from>
    <xdr:to>
      <xdr:col>20</xdr:col>
      <xdr:colOff>512623</xdr:colOff>
      <xdr:row>94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1185" y="18827008"/>
          <a:ext cx="4218804" cy="2223242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144</xdr:row>
      <xdr:rowOff>138374</xdr:rowOff>
    </xdr:from>
    <xdr:to>
      <xdr:col>20</xdr:col>
      <xdr:colOff>144030</xdr:colOff>
      <xdr:row>156</xdr:row>
      <xdr:rowOff>133844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7865" y="31551824"/>
          <a:ext cx="3748292" cy="235290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36</xdr:col>
      <xdr:colOff>0</xdr:colOff>
      <xdr:row>21</xdr:row>
      <xdr:rowOff>59064</xdr:rowOff>
    </xdr:to>
    <xdr:pic>
      <xdr:nvPicPr>
        <xdr:cNvPr id="50" name="Picture 1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325" y="1905000"/>
          <a:ext cx="5486400" cy="4316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38100</xdr:colOff>
      <xdr:row>0</xdr:row>
      <xdr:rowOff>0</xdr:rowOff>
    </xdr:from>
    <xdr:to>
      <xdr:col>45</xdr:col>
      <xdr:colOff>59191</xdr:colOff>
      <xdr:row>21</xdr:row>
      <xdr:rowOff>39498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88975" y="0"/>
          <a:ext cx="6231391" cy="4035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442209</xdr:colOff>
      <xdr:row>1</xdr:row>
      <xdr:rowOff>28575</xdr:rowOff>
    </xdr:from>
    <xdr:to>
      <xdr:col>21</xdr:col>
      <xdr:colOff>647701</xdr:colOff>
      <xdr:row>14</xdr:row>
      <xdr:rowOff>38100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pSpPr/>
      </xdr:nvGrpSpPr>
      <xdr:grpSpPr>
        <a:xfrm>
          <a:off x="10778795" y="196663"/>
          <a:ext cx="4750318" cy="2586878"/>
          <a:chOff x="9309983" y="891467"/>
          <a:chExt cx="5921525" cy="4071189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309983" y="891467"/>
            <a:ext cx="5921525" cy="4071189"/>
          </a:xfrm>
          <a:prstGeom prst="rect">
            <a:avLst/>
          </a:prstGeom>
        </xdr:spPr>
      </xdr:pic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500-000036000000}"/>
              </a:ext>
            </a:extLst>
          </xdr:cNvPr>
          <xdr:cNvCxnSpPr/>
        </xdr:nvCxnSpPr>
        <xdr:spPr>
          <a:xfrm flipV="1">
            <a:off x="11357742" y="1657226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500-000037000000}"/>
              </a:ext>
            </a:extLst>
          </xdr:cNvPr>
          <xdr:cNvCxnSpPr/>
        </xdr:nvCxnSpPr>
        <xdr:spPr>
          <a:xfrm flipV="1">
            <a:off x="11881931" y="1675581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500-000038000000}"/>
              </a:ext>
            </a:extLst>
          </xdr:cNvPr>
          <xdr:cNvCxnSpPr/>
        </xdr:nvCxnSpPr>
        <xdr:spPr>
          <a:xfrm flipV="1">
            <a:off x="12409115" y="1681700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CxnSpPr/>
        </xdr:nvCxnSpPr>
        <xdr:spPr>
          <a:xfrm flipV="1">
            <a:off x="11355668" y="1823898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00000000-0008-0000-0500-00003A000000}"/>
              </a:ext>
            </a:extLst>
          </xdr:cNvPr>
          <xdr:cNvCxnSpPr/>
        </xdr:nvCxnSpPr>
        <xdr:spPr>
          <a:xfrm flipV="1">
            <a:off x="11891839" y="1827079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 txBox="1"/>
        </xdr:nvSpPr>
        <xdr:spPr>
          <a:xfrm>
            <a:off x="11466849" y="1485901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  <a:latin typeface="+mn-lt"/>
              </a:rPr>
              <a:t>a</a:t>
            </a:r>
            <a:r>
              <a:rPr lang="en-US" sz="800" b="1">
                <a:solidFill>
                  <a:srgbClr val="FF0000"/>
                </a:solidFill>
                <a:latin typeface="+mn-lt"/>
              </a:rPr>
              <a:t>1</a:t>
            </a:r>
            <a:endParaRPr lang="en-US" sz="1200" b="1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 txBox="1"/>
        </xdr:nvSpPr>
        <xdr:spPr>
          <a:xfrm>
            <a:off x="11997138" y="1504257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a</a:t>
            </a:r>
            <a:r>
              <a:rPr lang="en-US" sz="800" b="1">
                <a:solidFill>
                  <a:srgbClr val="FF0000"/>
                </a:solidFill>
              </a:rPr>
              <a:t>2</a:t>
            </a:r>
            <a:endParaRPr 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CxnSpPr/>
        </xdr:nvCxnSpPr>
        <xdr:spPr>
          <a:xfrm flipV="1">
            <a:off x="11353800" y="1669785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 flipV="1">
            <a:off x="11877989" y="1688140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CxnSpPr/>
        </xdr:nvCxnSpPr>
        <xdr:spPr>
          <a:xfrm flipV="1">
            <a:off x="12405174" y="1694259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CxnSpPr/>
        </xdr:nvCxnSpPr>
        <xdr:spPr>
          <a:xfrm flipV="1">
            <a:off x="11098217" y="3017172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CxnSpPr/>
        </xdr:nvCxnSpPr>
        <xdr:spPr>
          <a:xfrm flipV="1">
            <a:off x="12645336" y="3004983"/>
            <a:ext cx="0" cy="367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CxnSpPr/>
        </xdr:nvCxnSpPr>
        <xdr:spPr>
          <a:xfrm>
            <a:off x="11077575" y="3171824"/>
            <a:ext cx="1572080" cy="8829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 txBox="1"/>
        </xdr:nvSpPr>
        <xdr:spPr>
          <a:xfrm>
            <a:off x="11748766" y="3033938"/>
            <a:ext cx="370016" cy="36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 txBox="1"/>
        </xdr:nvSpPr>
        <xdr:spPr>
          <a:xfrm>
            <a:off x="12750179" y="2926616"/>
            <a:ext cx="574603" cy="364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75</a:t>
            </a:r>
          </a:p>
        </xdr:txBody>
      </xdr:sp>
    </xdr:grpSp>
    <xdr:clientData/>
  </xdr:twoCellAnchor>
  <xdr:twoCellAnchor editAs="oneCell">
    <xdr:from>
      <xdr:col>20</xdr:col>
      <xdr:colOff>412375</xdr:colOff>
      <xdr:row>74</xdr:row>
      <xdr:rowOff>119529</xdr:rowOff>
    </xdr:from>
    <xdr:to>
      <xdr:col>26</xdr:col>
      <xdr:colOff>465208</xdr:colOff>
      <xdr:row>82</xdr:row>
      <xdr:rowOff>74247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04500" y="17026404"/>
          <a:ext cx="3705671" cy="1545393"/>
        </a:xfrm>
        <a:prstGeom prst="rect">
          <a:avLst/>
        </a:prstGeom>
      </xdr:spPr>
    </xdr:pic>
    <xdr:clientData/>
  </xdr:twoCellAnchor>
  <xdr:oneCellAnchor>
    <xdr:from>
      <xdr:col>15</xdr:col>
      <xdr:colOff>394446</xdr:colOff>
      <xdr:row>81</xdr:row>
      <xdr:rowOff>44823</xdr:rowOff>
    </xdr:from>
    <xdr:ext cx="103094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10538571" y="18342348"/>
          <a:ext cx="1030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Pbf = 5/3 P </a:t>
          </a:r>
        </a:p>
      </xdr:txBody>
    </xdr:sp>
    <xdr:clientData/>
  </xdr:oneCellAnchor>
  <xdr:twoCellAnchor>
    <xdr:from>
      <xdr:col>16</xdr:col>
      <xdr:colOff>38100</xdr:colOff>
      <xdr:row>16</xdr:row>
      <xdr:rowOff>85725</xdr:rowOff>
    </xdr:from>
    <xdr:to>
      <xdr:col>20</xdr:col>
      <xdr:colOff>399700</xdr:colOff>
      <xdr:row>30</xdr:row>
      <xdr:rowOff>26381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277725" y="3086100"/>
          <a:ext cx="3104800" cy="2807681"/>
        </a:xfrm>
        <a:prstGeom prst="rect">
          <a:avLst/>
        </a:prstGeom>
      </xdr:spPr>
    </xdr:pic>
    <xdr:clientData/>
  </xdr:twoCellAnchor>
  <xdr:twoCellAnchor>
    <xdr:from>
      <xdr:col>19</xdr:col>
      <xdr:colOff>22006</xdr:colOff>
      <xdr:row>6</xdr:row>
      <xdr:rowOff>4927</xdr:rowOff>
    </xdr:from>
    <xdr:to>
      <xdr:col>19</xdr:col>
      <xdr:colOff>265058</xdr:colOff>
      <xdr:row>6</xdr:row>
      <xdr:rowOff>4927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CxnSpPr/>
      </xdr:nvCxnSpPr>
      <xdr:spPr>
        <a:xfrm flipH="1">
          <a:off x="14319031" y="1386052"/>
          <a:ext cx="2430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308927</xdr:colOff>
      <xdr:row>22</xdr:row>
      <xdr:rowOff>110466</xdr:rowOff>
    </xdr:from>
    <xdr:to>
      <xdr:col>18</xdr:col>
      <xdr:colOff>485885</xdr:colOff>
      <xdr:row>23</xdr:row>
      <xdr:rowOff>23615</xdr:rowOff>
    </xdr:to>
    <xdr:sp macro="" textlink="">
      <xdr:nvSpPr>
        <xdr:cNvPr id="73" name="Arc 23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 rot="11911305">
          <a:off x="12281852" y="6492216"/>
          <a:ext cx="176958" cy="103649"/>
        </a:xfrm>
        <a:custGeom>
          <a:avLst/>
          <a:gdLst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2" fmla="*/ 187439 w 374878"/>
            <a:gd name="connsiteY2" fmla="*/ 97972 h 195943"/>
            <a:gd name="connsiteX3" fmla="*/ 226528 w 374878"/>
            <a:gd name="connsiteY3" fmla="*/ 2154 h 195943"/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0" fmla="*/ 39089 w 187439"/>
            <a:gd name="connsiteY0" fmla="*/ 7563 h 103381"/>
            <a:gd name="connsiteX1" fmla="*/ 187439 w 187439"/>
            <a:gd name="connsiteY1" fmla="*/ 103381 h 103381"/>
            <a:gd name="connsiteX2" fmla="*/ 0 w 187439"/>
            <a:gd name="connsiteY2" fmla="*/ 103381 h 103381"/>
            <a:gd name="connsiteX3" fmla="*/ 39089 w 187439"/>
            <a:gd name="connsiteY3" fmla="*/ 7563 h 103381"/>
            <a:gd name="connsiteX0" fmla="*/ 61668 w 187439"/>
            <a:gd name="connsiteY0" fmla="*/ 0 h 103381"/>
            <a:gd name="connsiteX1" fmla="*/ 187439 w 187439"/>
            <a:gd name="connsiteY1" fmla="*/ 103381 h 1033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7439" h="103381" stroke="0" extrusionOk="0">
              <a:moveTo>
                <a:pt x="39089" y="7563"/>
              </a:moveTo>
              <a:cubicBezTo>
                <a:pt x="125600" y="17205"/>
                <a:pt x="187439" y="57146"/>
                <a:pt x="187439" y="103381"/>
              </a:cubicBezTo>
              <a:lnTo>
                <a:pt x="0" y="103381"/>
              </a:lnTo>
              <a:lnTo>
                <a:pt x="39089" y="7563"/>
              </a:lnTo>
              <a:close/>
            </a:path>
            <a:path w="187439" h="103381" fill="none">
              <a:moveTo>
                <a:pt x="61668" y="0"/>
              </a:moveTo>
              <a:cubicBezTo>
                <a:pt x="148179" y="9642"/>
                <a:pt x="187439" y="57146"/>
                <a:pt x="187439" y="103381"/>
              </a:cubicBezTo>
            </a:path>
          </a:pathLst>
        </a:cu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495981</xdr:colOff>
      <xdr:row>22</xdr:row>
      <xdr:rowOff>28404</xdr:rowOff>
    </xdr:from>
    <xdr:to>
      <xdr:col>18</xdr:col>
      <xdr:colOff>495981</xdr:colOff>
      <xdr:row>23</xdr:row>
      <xdr:rowOff>95250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CxnSpPr/>
      </xdr:nvCxnSpPr>
      <xdr:spPr>
        <a:xfrm>
          <a:off x="12468906" y="6410154"/>
          <a:ext cx="0" cy="2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346643</xdr:colOff>
      <xdr:row>22</xdr:row>
      <xdr:rowOff>94740</xdr:rowOff>
    </xdr:from>
    <xdr:to>
      <xdr:col>19</xdr:col>
      <xdr:colOff>14629</xdr:colOff>
      <xdr:row>22</xdr:row>
      <xdr:rowOff>94740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CxnSpPr/>
      </xdr:nvCxnSpPr>
      <xdr:spPr>
        <a:xfrm>
          <a:off x="12319568" y="6476490"/>
          <a:ext cx="2775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472849</xdr:colOff>
      <xdr:row>22</xdr:row>
      <xdr:rowOff>40821</xdr:rowOff>
    </xdr:from>
    <xdr:to>
      <xdr:col>18</xdr:col>
      <xdr:colOff>554491</xdr:colOff>
      <xdr:row>22</xdr:row>
      <xdr:rowOff>112259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>
        <a:xfrm flipH="1">
          <a:off x="12445774" y="6422571"/>
          <a:ext cx="81642" cy="71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466045</xdr:colOff>
      <xdr:row>23</xdr:row>
      <xdr:rowOff>54428</xdr:rowOff>
    </xdr:from>
    <xdr:to>
      <xdr:col>18</xdr:col>
      <xdr:colOff>547688</xdr:colOff>
      <xdr:row>23</xdr:row>
      <xdr:rowOff>112259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>
        <a:xfrm flipH="1">
          <a:off x="12438970" y="6626678"/>
          <a:ext cx="81643" cy="57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425224</xdr:colOff>
      <xdr:row>22</xdr:row>
      <xdr:rowOff>3402</xdr:rowOff>
    </xdr:from>
    <xdr:to>
      <xdr:col>19</xdr:col>
      <xdr:colOff>173492</xdr:colOff>
      <xdr:row>23</xdr:row>
      <xdr:rowOff>112259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/>
      </xdr:nvSpPr>
      <xdr:spPr>
        <a:xfrm>
          <a:off x="12398149" y="6385152"/>
          <a:ext cx="35786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k</a:t>
          </a:r>
        </a:p>
      </xdr:txBody>
    </xdr:sp>
    <xdr:clientData/>
  </xdr:twoCellAnchor>
  <xdr:twoCellAnchor editAs="oneCell">
    <xdr:from>
      <xdr:col>4</xdr:col>
      <xdr:colOff>98325</xdr:colOff>
      <xdr:row>102</xdr:row>
      <xdr:rowOff>38099</xdr:rowOff>
    </xdr:from>
    <xdr:to>
      <xdr:col>8</xdr:col>
      <xdr:colOff>535302</xdr:colOff>
      <xdr:row>114</xdr:row>
      <xdr:rowOff>26399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315DAC31-6723-0393-07FA-16D6157E3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36725" y="20173949"/>
          <a:ext cx="3956466" cy="21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97</xdr:row>
      <xdr:rowOff>163286</xdr:rowOff>
    </xdr:from>
    <xdr:to>
      <xdr:col>27</xdr:col>
      <xdr:colOff>607750</xdr:colOff>
      <xdr:row>116</xdr:row>
      <xdr:rowOff>46525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9E50E7A-CBDC-4073-A1AD-D1544D4F8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967357" y="19471822"/>
          <a:ext cx="9352381" cy="3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333376</xdr:colOff>
      <xdr:row>101</xdr:row>
      <xdr:rowOff>104775</xdr:rowOff>
    </xdr:from>
    <xdr:to>
      <xdr:col>4</xdr:col>
      <xdr:colOff>332560</xdr:colOff>
      <xdr:row>113</xdr:row>
      <xdr:rowOff>102600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B53B3B1D-9B7A-4FFA-B5A0-459C86E98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3376" y="20069175"/>
          <a:ext cx="2523711" cy="21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101</xdr:row>
      <xdr:rowOff>161925</xdr:rowOff>
    </xdr:from>
    <xdr:to>
      <xdr:col>11</xdr:col>
      <xdr:colOff>705064</xdr:colOff>
      <xdr:row>113</xdr:row>
      <xdr:rowOff>159750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ABF3457-3C33-4DBA-BA83-A926CB1DE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62700" y="20126325"/>
          <a:ext cx="2872000" cy="21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384810</xdr:colOff>
      <xdr:row>36</xdr:row>
      <xdr:rowOff>0</xdr:rowOff>
    </xdr:from>
    <xdr:to>
      <xdr:col>21</xdr:col>
      <xdr:colOff>485412</xdr:colOff>
      <xdr:row>49</xdr:row>
      <xdr:rowOff>19049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1EA1F01E-CEDB-424E-A420-241845DB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4672" y="7115175"/>
          <a:ext cx="4629739" cy="2466974"/>
        </a:xfrm>
        <a:prstGeom prst="rect">
          <a:avLst/>
        </a:prstGeom>
      </xdr:spPr>
    </xdr:pic>
    <xdr:clientData/>
  </xdr:twoCellAnchor>
  <xdr:twoCellAnchor editAs="oneCell">
    <xdr:from>
      <xdr:col>14</xdr:col>
      <xdr:colOff>381734</xdr:colOff>
      <xdr:row>49</xdr:row>
      <xdr:rowOff>34048</xdr:rowOff>
    </xdr:from>
    <xdr:to>
      <xdr:col>21</xdr:col>
      <xdr:colOff>515055</xdr:colOff>
      <xdr:row>60</xdr:row>
      <xdr:rowOff>28576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43FB9296-1382-4D81-8F45-3D511A2DF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6834" y="9611435"/>
          <a:ext cx="4667220" cy="2104316"/>
        </a:xfrm>
        <a:prstGeom prst="rect">
          <a:avLst/>
        </a:prstGeom>
      </xdr:spPr>
    </xdr:pic>
    <xdr:clientData/>
  </xdr:twoCellAnchor>
  <xdr:twoCellAnchor editAs="oneCell">
    <xdr:from>
      <xdr:col>13</xdr:col>
      <xdr:colOff>387294</xdr:colOff>
      <xdr:row>61</xdr:row>
      <xdr:rowOff>30780</xdr:rowOff>
    </xdr:from>
    <xdr:to>
      <xdr:col>20</xdr:col>
      <xdr:colOff>172320</xdr:colOff>
      <xdr:row>72</xdr:row>
      <xdr:rowOff>28773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04098DFB-395E-42F6-999B-9D7FD4727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69456" y="11917980"/>
          <a:ext cx="4314166" cy="2036343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75</xdr:row>
      <xdr:rowOff>105140</xdr:rowOff>
    </xdr:from>
    <xdr:to>
      <xdr:col>20</xdr:col>
      <xdr:colOff>305066</xdr:colOff>
      <xdr:row>81</xdr:row>
      <xdr:rowOff>64580</xdr:rowOff>
    </xdr:to>
    <xdr:pic>
      <xdr:nvPicPr>
        <xdr:cNvPr id="12" name="Picture 4">
          <a:extLst>
            <a:ext uri="{FF2B5EF4-FFF2-40B4-BE49-F238E27FC236}">
              <a16:creationId xmlns:a16="http://schemas.microsoft.com/office/drawing/2014/main" id="{997DAC7D-EEAF-434F-A216-93F72743B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8900" y="14649815"/>
          <a:ext cx="4267468" cy="108339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84</xdr:row>
      <xdr:rowOff>100858</xdr:rowOff>
    </xdr:from>
    <xdr:to>
      <xdr:col>20</xdr:col>
      <xdr:colOff>512623</xdr:colOff>
      <xdr:row>95</xdr:row>
      <xdr:rowOff>57150</xdr:rowOff>
    </xdr:to>
    <xdr:pic>
      <xdr:nvPicPr>
        <xdr:cNvPr id="13" name="Picture 5">
          <a:extLst>
            <a:ext uri="{FF2B5EF4-FFF2-40B4-BE49-F238E27FC236}">
              <a16:creationId xmlns:a16="http://schemas.microsoft.com/office/drawing/2014/main" id="{2D4DC3DB-4894-4B4E-AEAF-62BE7AF40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8422" y="16364795"/>
          <a:ext cx="4485503" cy="2085130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145</xdr:row>
      <xdr:rowOff>138374</xdr:rowOff>
    </xdr:from>
    <xdr:to>
      <xdr:col>20</xdr:col>
      <xdr:colOff>144030</xdr:colOff>
      <xdr:row>157</xdr:row>
      <xdr:rowOff>124320</xdr:rowOff>
    </xdr:to>
    <xdr:pic>
      <xdr:nvPicPr>
        <xdr:cNvPr id="14" name="Picture 15">
          <a:extLst>
            <a:ext uri="{FF2B5EF4-FFF2-40B4-BE49-F238E27FC236}">
              <a16:creationId xmlns:a16="http://schemas.microsoft.com/office/drawing/2014/main" id="{59951720-DD15-41B4-8C50-547CD3D88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83202" y="28260936"/>
          <a:ext cx="3972129" cy="217193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35</xdr:col>
      <xdr:colOff>646339</xdr:colOff>
      <xdr:row>27</xdr:row>
      <xdr:rowOff>9836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BCC884BD-3804-4776-B3A5-4B15AF80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1047750"/>
          <a:ext cx="5829300" cy="4134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61912</xdr:colOff>
      <xdr:row>6</xdr:row>
      <xdr:rowOff>0</xdr:rowOff>
    </xdr:from>
    <xdr:to>
      <xdr:col>45</xdr:col>
      <xdr:colOff>78241</xdr:colOff>
      <xdr:row>26</xdr:row>
      <xdr:rowOff>93285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64C98DCA-58AC-421B-8370-D3EA08BCB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41174" y="1047750"/>
          <a:ext cx="5840866" cy="4036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92505</xdr:colOff>
      <xdr:row>1</xdr:row>
      <xdr:rowOff>170287</xdr:rowOff>
    </xdr:from>
    <xdr:to>
      <xdr:col>22</xdr:col>
      <xdr:colOff>21772</xdr:colOff>
      <xdr:row>20</xdr:row>
      <xdr:rowOff>83003</xdr:rowOff>
    </xdr:to>
    <xdr:grpSp>
      <xdr:nvGrpSpPr>
        <xdr:cNvPr id="17" name="Group 11">
          <a:extLst>
            <a:ext uri="{FF2B5EF4-FFF2-40B4-BE49-F238E27FC236}">
              <a16:creationId xmlns:a16="http://schemas.microsoft.com/office/drawing/2014/main" id="{EAB02ECD-5922-41F0-AC7D-1E578A92ED91}"/>
            </a:ext>
          </a:extLst>
        </xdr:cNvPr>
        <xdr:cNvGrpSpPr/>
      </xdr:nvGrpSpPr>
      <xdr:grpSpPr>
        <a:xfrm>
          <a:off x="10429091" y="338375"/>
          <a:ext cx="5128796" cy="3626625"/>
          <a:chOff x="9309983" y="891467"/>
          <a:chExt cx="5921525" cy="4071189"/>
        </a:xfrm>
      </xdr:grpSpPr>
      <xdr:pic>
        <xdr:nvPicPr>
          <xdr:cNvPr id="18" name="Picture 54">
            <a:extLst>
              <a:ext uri="{FF2B5EF4-FFF2-40B4-BE49-F238E27FC236}">
                <a16:creationId xmlns:a16="http://schemas.microsoft.com/office/drawing/2014/main" id="{4510E4C3-DF33-9479-D028-A387E6B1E8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309983" y="891467"/>
            <a:ext cx="5921525" cy="4071189"/>
          </a:xfrm>
          <a:prstGeom prst="rect">
            <a:avLst/>
          </a:prstGeom>
        </xdr:spPr>
      </xdr:pic>
      <xdr:cxnSp macro="">
        <xdr:nvCxnSpPr>
          <xdr:cNvPr id="19" name="Straight Connector 7">
            <a:extLst>
              <a:ext uri="{FF2B5EF4-FFF2-40B4-BE49-F238E27FC236}">
                <a16:creationId xmlns:a16="http://schemas.microsoft.com/office/drawing/2014/main" id="{378714BF-F44E-3312-F5F9-08F509228B99}"/>
              </a:ext>
            </a:extLst>
          </xdr:cNvPr>
          <xdr:cNvCxnSpPr/>
        </xdr:nvCxnSpPr>
        <xdr:spPr>
          <a:xfrm flipV="1">
            <a:off x="11357742" y="1657226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63">
            <a:extLst>
              <a:ext uri="{FF2B5EF4-FFF2-40B4-BE49-F238E27FC236}">
                <a16:creationId xmlns:a16="http://schemas.microsoft.com/office/drawing/2014/main" id="{2AB5E779-45EB-3289-3ECA-40933D7ECE36}"/>
              </a:ext>
            </a:extLst>
          </xdr:cNvPr>
          <xdr:cNvCxnSpPr/>
        </xdr:nvCxnSpPr>
        <xdr:spPr>
          <a:xfrm flipV="1">
            <a:off x="11881931" y="1675581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64">
            <a:extLst>
              <a:ext uri="{FF2B5EF4-FFF2-40B4-BE49-F238E27FC236}">
                <a16:creationId xmlns:a16="http://schemas.microsoft.com/office/drawing/2014/main" id="{60243D73-BF4B-7FE9-8D25-D0DBE962186D}"/>
              </a:ext>
            </a:extLst>
          </xdr:cNvPr>
          <xdr:cNvCxnSpPr/>
        </xdr:nvCxnSpPr>
        <xdr:spPr>
          <a:xfrm flipV="1">
            <a:off x="12409115" y="1681700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9">
            <a:extLst>
              <a:ext uri="{FF2B5EF4-FFF2-40B4-BE49-F238E27FC236}">
                <a16:creationId xmlns:a16="http://schemas.microsoft.com/office/drawing/2014/main" id="{6C92543A-D581-BF0F-A4F3-623FD8232766}"/>
              </a:ext>
            </a:extLst>
          </xdr:cNvPr>
          <xdr:cNvCxnSpPr/>
        </xdr:nvCxnSpPr>
        <xdr:spPr>
          <a:xfrm flipV="1">
            <a:off x="11355668" y="1823898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67">
            <a:extLst>
              <a:ext uri="{FF2B5EF4-FFF2-40B4-BE49-F238E27FC236}">
                <a16:creationId xmlns:a16="http://schemas.microsoft.com/office/drawing/2014/main" id="{13740A43-3A7E-1607-FD46-CA5B88C38CDB}"/>
              </a:ext>
            </a:extLst>
          </xdr:cNvPr>
          <xdr:cNvCxnSpPr/>
        </xdr:nvCxnSpPr>
        <xdr:spPr>
          <a:xfrm flipV="1">
            <a:off x="11891839" y="1827079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TextBox 73">
            <a:extLst>
              <a:ext uri="{FF2B5EF4-FFF2-40B4-BE49-F238E27FC236}">
                <a16:creationId xmlns:a16="http://schemas.microsoft.com/office/drawing/2014/main" id="{12D73A37-1762-A9C3-7945-509FC15E8008}"/>
              </a:ext>
            </a:extLst>
          </xdr:cNvPr>
          <xdr:cNvSpPr txBox="1"/>
        </xdr:nvSpPr>
        <xdr:spPr>
          <a:xfrm>
            <a:off x="11466849" y="1485901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  <a:latin typeface="+mn-lt"/>
              </a:rPr>
              <a:t>a</a:t>
            </a:r>
            <a:r>
              <a:rPr lang="en-US" sz="800" b="1">
                <a:solidFill>
                  <a:srgbClr val="FF0000"/>
                </a:solidFill>
                <a:latin typeface="+mn-lt"/>
              </a:rPr>
              <a:t>1</a:t>
            </a:r>
            <a:endParaRPr lang="en-US" sz="1200" b="1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25" name="TextBox 74">
            <a:extLst>
              <a:ext uri="{FF2B5EF4-FFF2-40B4-BE49-F238E27FC236}">
                <a16:creationId xmlns:a16="http://schemas.microsoft.com/office/drawing/2014/main" id="{6EE67EAA-1B15-5C8A-7125-A2EF643A92E8}"/>
              </a:ext>
            </a:extLst>
          </xdr:cNvPr>
          <xdr:cNvSpPr txBox="1"/>
        </xdr:nvSpPr>
        <xdr:spPr>
          <a:xfrm>
            <a:off x="11997138" y="1504257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a</a:t>
            </a:r>
            <a:r>
              <a:rPr lang="en-US" sz="800" b="1">
                <a:solidFill>
                  <a:srgbClr val="FF0000"/>
                </a:solidFill>
              </a:rPr>
              <a:t>2</a:t>
            </a:r>
            <a:endParaRPr 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26" name="Straight Connector 75">
            <a:extLst>
              <a:ext uri="{FF2B5EF4-FFF2-40B4-BE49-F238E27FC236}">
                <a16:creationId xmlns:a16="http://schemas.microsoft.com/office/drawing/2014/main" id="{4CEF2272-8CA7-6236-9586-7D99F42E9832}"/>
              </a:ext>
            </a:extLst>
          </xdr:cNvPr>
          <xdr:cNvCxnSpPr/>
        </xdr:nvCxnSpPr>
        <xdr:spPr>
          <a:xfrm flipV="1">
            <a:off x="11353800" y="1669785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76">
            <a:extLst>
              <a:ext uri="{FF2B5EF4-FFF2-40B4-BE49-F238E27FC236}">
                <a16:creationId xmlns:a16="http://schemas.microsoft.com/office/drawing/2014/main" id="{154E73D2-1239-7347-5326-91DFCB969E79}"/>
              </a:ext>
            </a:extLst>
          </xdr:cNvPr>
          <xdr:cNvCxnSpPr/>
        </xdr:nvCxnSpPr>
        <xdr:spPr>
          <a:xfrm flipV="1">
            <a:off x="11877989" y="1688140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77">
            <a:extLst>
              <a:ext uri="{FF2B5EF4-FFF2-40B4-BE49-F238E27FC236}">
                <a16:creationId xmlns:a16="http://schemas.microsoft.com/office/drawing/2014/main" id="{2D9AF327-4E69-2775-6308-A0E668FD5C9C}"/>
              </a:ext>
            </a:extLst>
          </xdr:cNvPr>
          <xdr:cNvCxnSpPr/>
        </xdr:nvCxnSpPr>
        <xdr:spPr>
          <a:xfrm flipV="1">
            <a:off x="12405174" y="1694259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81">
            <a:extLst>
              <a:ext uri="{FF2B5EF4-FFF2-40B4-BE49-F238E27FC236}">
                <a16:creationId xmlns:a16="http://schemas.microsoft.com/office/drawing/2014/main" id="{DF887F5D-4DD6-B550-D703-C8D73A4E45F6}"/>
              </a:ext>
            </a:extLst>
          </xdr:cNvPr>
          <xdr:cNvCxnSpPr/>
        </xdr:nvCxnSpPr>
        <xdr:spPr>
          <a:xfrm flipV="1">
            <a:off x="11098217" y="3017172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82">
            <a:extLst>
              <a:ext uri="{FF2B5EF4-FFF2-40B4-BE49-F238E27FC236}">
                <a16:creationId xmlns:a16="http://schemas.microsoft.com/office/drawing/2014/main" id="{B7972D07-4A29-495A-00DA-27785A1A68FB}"/>
              </a:ext>
            </a:extLst>
          </xdr:cNvPr>
          <xdr:cNvCxnSpPr/>
        </xdr:nvCxnSpPr>
        <xdr:spPr>
          <a:xfrm flipV="1">
            <a:off x="12645336" y="3004983"/>
            <a:ext cx="0" cy="367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86">
            <a:extLst>
              <a:ext uri="{FF2B5EF4-FFF2-40B4-BE49-F238E27FC236}">
                <a16:creationId xmlns:a16="http://schemas.microsoft.com/office/drawing/2014/main" id="{906D4AE0-E969-AB60-0175-C36801B4619F}"/>
              </a:ext>
            </a:extLst>
          </xdr:cNvPr>
          <xdr:cNvCxnSpPr/>
        </xdr:nvCxnSpPr>
        <xdr:spPr>
          <a:xfrm>
            <a:off x="11077575" y="3171824"/>
            <a:ext cx="1572080" cy="8829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TextBox 14">
            <a:extLst>
              <a:ext uri="{FF2B5EF4-FFF2-40B4-BE49-F238E27FC236}">
                <a16:creationId xmlns:a16="http://schemas.microsoft.com/office/drawing/2014/main" id="{ADFB7AD6-BE52-D753-01C7-25C41A72A502}"/>
              </a:ext>
            </a:extLst>
          </xdr:cNvPr>
          <xdr:cNvSpPr txBox="1"/>
        </xdr:nvSpPr>
        <xdr:spPr>
          <a:xfrm>
            <a:off x="11748766" y="3033938"/>
            <a:ext cx="370016" cy="36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3" name="TextBox 100">
            <a:extLst>
              <a:ext uri="{FF2B5EF4-FFF2-40B4-BE49-F238E27FC236}">
                <a16:creationId xmlns:a16="http://schemas.microsoft.com/office/drawing/2014/main" id="{D69DFC5E-2C1E-F3AE-E364-DA505F98A395}"/>
              </a:ext>
            </a:extLst>
          </xdr:cNvPr>
          <xdr:cNvSpPr txBox="1"/>
        </xdr:nvSpPr>
        <xdr:spPr>
          <a:xfrm>
            <a:off x="12750179" y="2926616"/>
            <a:ext cx="574603" cy="364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75</a:t>
            </a:r>
          </a:p>
        </xdr:txBody>
      </xdr:sp>
    </xdr:grpSp>
    <xdr:clientData/>
  </xdr:twoCellAnchor>
  <xdr:twoCellAnchor editAs="oneCell">
    <xdr:from>
      <xdr:col>20</xdr:col>
      <xdr:colOff>412375</xdr:colOff>
      <xdr:row>75</xdr:row>
      <xdr:rowOff>119529</xdr:rowOff>
    </xdr:from>
    <xdr:to>
      <xdr:col>26</xdr:col>
      <xdr:colOff>465209</xdr:colOff>
      <xdr:row>83</xdr:row>
      <xdr:rowOff>45674</xdr:rowOff>
    </xdr:to>
    <xdr:pic>
      <xdr:nvPicPr>
        <xdr:cNvPr id="34" name="Picture 18">
          <a:extLst>
            <a:ext uri="{FF2B5EF4-FFF2-40B4-BE49-F238E27FC236}">
              <a16:creationId xmlns:a16="http://schemas.microsoft.com/office/drawing/2014/main" id="{099DBF6E-3B93-4E58-B9F8-E70AB58A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28437" y="14668966"/>
          <a:ext cx="3934272" cy="1454907"/>
        </a:xfrm>
        <a:prstGeom prst="rect">
          <a:avLst/>
        </a:prstGeom>
      </xdr:spPr>
    </xdr:pic>
    <xdr:clientData/>
  </xdr:twoCellAnchor>
  <xdr:oneCellAnchor>
    <xdr:from>
      <xdr:col>15</xdr:col>
      <xdr:colOff>394446</xdr:colOff>
      <xdr:row>82</xdr:row>
      <xdr:rowOff>44823</xdr:rowOff>
    </xdr:from>
    <xdr:ext cx="1030941" cy="264560"/>
    <xdr:sp macro="" textlink="">
      <xdr:nvSpPr>
        <xdr:cNvPr id="35" name="TextBox 19">
          <a:extLst>
            <a:ext uri="{FF2B5EF4-FFF2-40B4-BE49-F238E27FC236}">
              <a16:creationId xmlns:a16="http://schemas.microsoft.com/office/drawing/2014/main" id="{6DBCB154-8FB4-496A-93D3-A22214C10554}"/>
            </a:ext>
          </a:extLst>
        </xdr:cNvPr>
        <xdr:cNvSpPr txBox="1"/>
      </xdr:nvSpPr>
      <xdr:spPr>
        <a:xfrm>
          <a:off x="11372008" y="15908710"/>
          <a:ext cx="1030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Pbf = 5/3 P </a:t>
          </a:r>
        </a:p>
      </xdr:txBody>
    </xdr:sp>
    <xdr:clientData/>
  </xdr:oneCellAnchor>
  <xdr:twoCellAnchor>
    <xdr:from>
      <xdr:col>16</xdr:col>
      <xdr:colOff>51707</xdr:colOff>
      <xdr:row>21</xdr:row>
      <xdr:rowOff>140154</xdr:rowOff>
    </xdr:from>
    <xdr:to>
      <xdr:col>20</xdr:col>
      <xdr:colOff>413307</xdr:colOff>
      <xdr:row>35</xdr:row>
      <xdr:rowOff>67203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1536DEAC-9E71-42D8-A135-7E3EFDD73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76969" y="4269241"/>
          <a:ext cx="2952400" cy="2684537"/>
        </a:xfrm>
        <a:prstGeom prst="rect">
          <a:avLst/>
        </a:prstGeom>
      </xdr:spPr>
    </xdr:pic>
    <xdr:clientData/>
  </xdr:twoCellAnchor>
  <xdr:twoCellAnchor>
    <xdr:from>
      <xdr:col>18</xdr:col>
      <xdr:colOff>524110</xdr:colOff>
      <xdr:row>7</xdr:row>
      <xdr:rowOff>202230</xdr:rowOff>
    </xdr:from>
    <xdr:to>
      <xdr:col>19</xdr:col>
      <xdr:colOff>86805</xdr:colOff>
      <xdr:row>7</xdr:row>
      <xdr:rowOff>202230</xdr:rowOff>
    </xdr:to>
    <xdr:cxnSp macro="">
      <xdr:nvCxnSpPr>
        <xdr:cNvPr id="37" name="Straight Arrow Connector 22">
          <a:extLst>
            <a:ext uri="{FF2B5EF4-FFF2-40B4-BE49-F238E27FC236}">
              <a16:creationId xmlns:a16="http://schemas.microsoft.com/office/drawing/2014/main" id="{6B942690-33D1-4F21-A650-98A6D373DE9A}"/>
            </a:ext>
          </a:extLst>
        </xdr:cNvPr>
        <xdr:cNvCxnSpPr/>
      </xdr:nvCxnSpPr>
      <xdr:spPr>
        <a:xfrm flipH="1">
          <a:off x="13440010" y="1478580"/>
          <a:ext cx="2103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322534</xdr:colOff>
      <xdr:row>27</xdr:row>
      <xdr:rowOff>110466</xdr:rowOff>
    </xdr:from>
    <xdr:to>
      <xdr:col>18</xdr:col>
      <xdr:colOff>499492</xdr:colOff>
      <xdr:row>28</xdr:row>
      <xdr:rowOff>23615</xdr:rowOff>
    </xdr:to>
    <xdr:sp macro="" textlink="">
      <xdr:nvSpPr>
        <xdr:cNvPr id="38" name="Arc 23">
          <a:extLst>
            <a:ext uri="{FF2B5EF4-FFF2-40B4-BE49-F238E27FC236}">
              <a16:creationId xmlns:a16="http://schemas.microsoft.com/office/drawing/2014/main" id="{4345E3A1-472C-4593-8932-9483F2DFCB97}"/>
            </a:ext>
          </a:extLst>
        </xdr:cNvPr>
        <xdr:cNvSpPr/>
      </xdr:nvSpPr>
      <xdr:spPr>
        <a:xfrm rot="11911305">
          <a:off x="13238434" y="5449228"/>
          <a:ext cx="181720" cy="103649"/>
        </a:xfrm>
        <a:custGeom>
          <a:avLst/>
          <a:gdLst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2" fmla="*/ 187439 w 374878"/>
            <a:gd name="connsiteY2" fmla="*/ 97972 h 195943"/>
            <a:gd name="connsiteX3" fmla="*/ 226528 w 374878"/>
            <a:gd name="connsiteY3" fmla="*/ 2154 h 195943"/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0" fmla="*/ 39089 w 187439"/>
            <a:gd name="connsiteY0" fmla="*/ 7563 h 103381"/>
            <a:gd name="connsiteX1" fmla="*/ 187439 w 187439"/>
            <a:gd name="connsiteY1" fmla="*/ 103381 h 103381"/>
            <a:gd name="connsiteX2" fmla="*/ 0 w 187439"/>
            <a:gd name="connsiteY2" fmla="*/ 103381 h 103381"/>
            <a:gd name="connsiteX3" fmla="*/ 39089 w 187439"/>
            <a:gd name="connsiteY3" fmla="*/ 7563 h 103381"/>
            <a:gd name="connsiteX0" fmla="*/ 61668 w 187439"/>
            <a:gd name="connsiteY0" fmla="*/ 0 h 103381"/>
            <a:gd name="connsiteX1" fmla="*/ 187439 w 187439"/>
            <a:gd name="connsiteY1" fmla="*/ 103381 h 1033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7439" h="103381" stroke="0" extrusionOk="0">
              <a:moveTo>
                <a:pt x="39089" y="7563"/>
              </a:moveTo>
              <a:cubicBezTo>
                <a:pt x="125600" y="17205"/>
                <a:pt x="187439" y="57146"/>
                <a:pt x="187439" y="103381"/>
              </a:cubicBezTo>
              <a:lnTo>
                <a:pt x="0" y="103381"/>
              </a:lnTo>
              <a:lnTo>
                <a:pt x="39089" y="7563"/>
              </a:lnTo>
              <a:close/>
            </a:path>
            <a:path w="187439" h="103381" fill="none">
              <a:moveTo>
                <a:pt x="61668" y="0"/>
              </a:moveTo>
              <a:cubicBezTo>
                <a:pt x="148179" y="9642"/>
                <a:pt x="187439" y="57146"/>
                <a:pt x="187439" y="103381"/>
              </a:cubicBezTo>
            </a:path>
          </a:pathLst>
        </a:cu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509588</xdr:colOff>
      <xdr:row>27</xdr:row>
      <xdr:rowOff>28404</xdr:rowOff>
    </xdr:from>
    <xdr:to>
      <xdr:col>18</xdr:col>
      <xdr:colOff>509588</xdr:colOff>
      <xdr:row>28</xdr:row>
      <xdr:rowOff>95250</xdr:rowOff>
    </xdr:to>
    <xdr:cxnSp macro="">
      <xdr:nvCxnSpPr>
        <xdr:cNvPr id="40" name="Straight Connector 25">
          <a:extLst>
            <a:ext uri="{FF2B5EF4-FFF2-40B4-BE49-F238E27FC236}">
              <a16:creationId xmlns:a16="http://schemas.microsoft.com/office/drawing/2014/main" id="{F6D8853E-8C37-4852-90F2-F2C2A0D9EFE9}"/>
            </a:ext>
          </a:extLst>
        </xdr:cNvPr>
        <xdr:cNvCxnSpPr/>
      </xdr:nvCxnSpPr>
      <xdr:spPr>
        <a:xfrm>
          <a:off x="13430250" y="5362404"/>
          <a:ext cx="0" cy="2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360250</xdr:colOff>
      <xdr:row>27</xdr:row>
      <xdr:rowOff>94740</xdr:rowOff>
    </xdr:from>
    <xdr:to>
      <xdr:col>19</xdr:col>
      <xdr:colOff>28236</xdr:colOff>
      <xdr:row>27</xdr:row>
      <xdr:rowOff>94740</xdr:rowOff>
    </xdr:to>
    <xdr:cxnSp macro="">
      <xdr:nvCxnSpPr>
        <xdr:cNvPr id="41" name="Straight Connector 59">
          <a:extLst>
            <a:ext uri="{FF2B5EF4-FFF2-40B4-BE49-F238E27FC236}">
              <a16:creationId xmlns:a16="http://schemas.microsoft.com/office/drawing/2014/main" id="{05B0C3E2-25F8-4479-9678-43EBC1657FD6}"/>
            </a:ext>
          </a:extLst>
        </xdr:cNvPr>
        <xdr:cNvCxnSpPr/>
      </xdr:nvCxnSpPr>
      <xdr:spPr>
        <a:xfrm>
          <a:off x="13276150" y="5428740"/>
          <a:ext cx="3156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486456</xdr:colOff>
      <xdr:row>27</xdr:row>
      <xdr:rowOff>40821</xdr:rowOff>
    </xdr:from>
    <xdr:to>
      <xdr:col>18</xdr:col>
      <xdr:colOff>568098</xdr:colOff>
      <xdr:row>27</xdr:row>
      <xdr:rowOff>112259</xdr:rowOff>
    </xdr:to>
    <xdr:cxnSp macro="">
      <xdr:nvCxnSpPr>
        <xdr:cNvPr id="42" name="Straight Connector 96">
          <a:extLst>
            <a:ext uri="{FF2B5EF4-FFF2-40B4-BE49-F238E27FC236}">
              <a16:creationId xmlns:a16="http://schemas.microsoft.com/office/drawing/2014/main" id="{C950B19C-74B7-4AB5-9261-953F52C31C47}"/>
            </a:ext>
          </a:extLst>
        </xdr:cNvPr>
        <xdr:cNvCxnSpPr/>
      </xdr:nvCxnSpPr>
      <xdr:spPr>
        <a:xfrm flipH="1">
          <a:off x="13402356" y="5379583"/>
          <a:ext cx="86404" cy="66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479652</xdr:colOff>
      <xdr:row>28</xdr:row>
      <xdr:rowOff>54428</xdr:rowOff>
    </xdr:from>
    <xdr:to>
      <xdr:col>18</xdr:col>
      <xdr:colOff>561295</xdr:colOff>
      <xdr:row>28</xdr:row>
      <xdr:rowOff>112259</xdr:rowOff>
    </xdr:to>
    <xdr:cxnSp macro="">
      <xdr:nvCxnSpPr>
        <xdr:cNvPr id="43" name="Straight Connector 98">
          <a:extLst>
            <a:ext uri="{FF2B5EF4-FFF2-40B4-BE49-F238E27FC236}">
              <a16:creationId xmlns:a16="http://schemas.microsoft.com/office/drawing/2014/main" id="{4DB99C73-DAAD-4F9F-80B2-BBB28678594B}"/>
            </a:ext>
          </a:extLst>
        </xdr:cNvPr>
        <xdr:cNvCxnSpPr/>
      </xdr:nvCxnSpPr>
      <xdr:spPr>
        <a:xfrm flipH="1">
          <a:off x="13400314" y="5583690"/>
          <a:ext cx="76881" cy="530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438831</xdr:colOff>
      <xdr:row>27</xdr:row>
      <xdr:rowOff>3402</xdr:rowOff>
    </xdr:from>
    <xdr:to>
      <xdr:col>19</xdr:col>
      <xdr:colOff>187099</xdr:colOff>
      <xdr:row>28</xdr:row>
      <xdr:rowOff>112259</xdr:rowOff>
    </xdr:to>
    <xdr:sp macro="" textlink="">
      <xdr:nvSpPr>
        <xdr:cNvPr id="44" name="TextBox 99">
          <a:extLst>
            <a:ext uri="{FF2B5EF4-FFF2-40B4-BE49-F238E27FC236}">
              <a16:creationId xmlns:a16="http://schemas.microsoft.com/office/drawing/2014/main" id="{C303B286-6328-4E2E-BBC6-C6567277FB43}"/>
            </a:ext>
          </a:extLst>
        </xdr:cNvPr>
        <xdr:cNvSpPr txBox="1"/>
      </xdr:nvSpPr>
      <xdr:spPr>
        <a:xfrm>
          <a:off x="13354731" y="5342164"/>
          <a:ext cx="400730" cy="294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k</a:t>
          </a:r>
        </a:p>
      </xdr:txBody>
    </xdr:sp>
    <xdr:clientData/>
  </xdr:twoCellAnchor>
  <xdr:twoCellAnchor editAs="oneCell">
    <xdr:from>
      <xdr:col>0</xdr:col>
      <xdr:colOff>257736</xdr:colOff>
      <xdr:row>102</xdr:row>
      <xdr:rowOff>44825</xdr:rowOff>
    </xdr:from>
    <xdr:to>
      <xdr:col>4</xdr:col>
      <xdr:colOff>267287</xdr:colOff>
      <xdr:row>114</xdr:row>
      <xdr:rowOff>112125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8C436545-EDFC-46B2-B023-7529FE475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7736" y="19880637"/>
          <a:ext cx="2381957" cy="2177088"/>
        </a:xfrm>
        <a:prstGeom prst="rect">
          <a:avLst/>
        </a:prstGeom>
      </xdr:spPr>
    </xdr:pic>
    <xdr:clientData/>
  </xdr:twoCellAnchor>
  <xdr:twoCellAnchor editAs="oneCell">
    <xdr:from>
      <xdr:col>8</xdr:col>
      <xdr:colOff>324970</xdr:colOff>
      <xdr:row>102</xdr:row>
      <xdr:rowOff>134472</xdr:rowOff>
    </xdr:from>
    <xdr:to>
      <xdr:col>11</xdr:col>
      <xdr:colOff>627462</xdr:colOff>
      <xdr:row>115</xdr:row>
      <xdr:rowOff>11273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A54CFF31-7D25-43FC-BA98-25FFB9F9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30445" y="19965522"/>
          <a:ext cx="2712316" cy="2181851"/>
        </a:xfrm>
        <a:prstGeom prst="rect">
          <a:avLst/>
        </a:prstGeom>
      </xdr:spPr>
    </xdr:pic>
    <xdr:clientData/>
  </xdr:twoCellAnchor>
  <xdr:twoCellAnchor editAs="oneCell">
    <xdr:from>
      <xdr:col>4</xdr:col>
      <xdr:colOff>739589</xdr:colOff>
      <xdr:row>103</xdr:row>
      <xdr:rowOff>0</xdr:rowOff>
    </xdr:from>
    <xdr:to>
      <xdr:col>7</xdr:col>
      <xdr:colOff>750796</xdr:colOff>
      <xdr:row>115</xdr:row>
      <xdr:rowOff>56094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3814729-CB35-453A-99F1-E551BEB64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135126" y="20002500"/>
          <a:ext cx="2521043" cy="2180170"/>
        </a:xfrm>
        <a:prstGeom prst="rect">
          <a:avLst/>
        </a:prstGeom>
      </xdr:spPr>
    </xdr:pic>
    <xdr:clientData/>
  </xdr:twoCellAnchor>
  <xdr:twoCellAnchor editAs="oneCell">
    <xdr:from>
      <xdr:col>14</xdr:col>
      <xdr:colOff>268941</xdr:colOff>
      <xdr:row>97</xdr:row>
      <xdr:rowOff>12278</xdr:rowOff>
    </xdr:from>
    <xdr:to>
      <xdr:col>26</xdr:col>
      <xdr:colOff>542022</xdr:colOff>
      <xdr:row>122</xdr:row>
      <xdr:rowOff>125686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ED95774B-A32C-46A8-B00B-DF2D2DA9B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594041" y="18800340"/>
          <a:ext cx="8045482" cy="47568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384810</xdr:colOff>
      <xdr:row>45</xdr:row>
      <xdr:rowOff>0</xdr:rowOff>
    </xdr:from>
    <xdr:to>
      <xdr:col>21</xdr:col>
      <xdr:colOff>480649</xdr:colOff>
      <xdr:row>58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9335" y="8372475"/>
          <a:ext cx="4363039" cy="2628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381734</xdr:colOff>
      <xdr:row>58</xdr:row>
      <xdr:rowOff>34048</xdr:rowOff>
    </xdr:from>
    <xdr:to>
      <xdr:col>21</xdr:col>
      <xdr:colOff>510292</xdr:colOff>
      <xdr:row>69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6259" y="11025898"/>
          <a:ext cx="4395758" cy="2213852"/>
        </a:xfrm>
        <a:prstGeom prst="rect">
          <a:avLst/>
        </a:prstGeom>
      </xdr:spPr>
    </xdr:pic>
    <xdr:clientData/>
  </xdr:twoCellAnchor>
  <xdr:twoCellAnchor editAs="oneCell">
    <xdr:from>
      <xdr:col>13</xdr:col>
      <xdr:colOff>387294</xdr:colOff>
      <xdr:row>70</xdr:row>
      <xdr:rowOff>30780</xdr:rowOff>
    </xdr:from>
    <xdr:to>
      <xdr:col>20</xdr:col>
      <xdr:colOff>167561</xdr:colOff>
      <xdr:row>81</xdr:row>
      <xdr:rowOff>4962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2219" y="13441980"/>
          <a:ext cx="4047467" cy="213635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85</xdr:row>
      <xdr:rowOff>105140</xdr:rowOff>
    </xdr:from>
    <xdr:to>
      <xdr:col>20</xdr:col>
      <xdr:colOff>300307</xdr:colOff>
      <xdr:row>91</xdr:row>
      <xdr:rowOff>45530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16526240"/>
          <a:ext cx="3996007" cy="114054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94</xdr:row>
      <xdr:rowOff>100858</xdr:rowOff>
    </xdr:from>
    <xdr:to>
      <xdr:col>20</xdr:col>
      <xdr:colOff>507864</xdr:colOff>
      <xdr:row>105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1185" y="18341233"/>
          <a:ext cx="4218804" cy="2223242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155</xdr:row>
      <xdr:rowOff>138374</xdr:rowOff>
    </xdr:from>
    <xdr:to>
      <xdr:col>20</xdr:col>
      <xdr:colOff>144032</xdr:colOff>
      <xdr:row>167</xdr:row>
      <xdr:rowOff>129082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7865" y="31066049"/>
          <a:ext cx="3748292" cy="2352908"/>
        </a:xfrm>
        <a:prstGeom prst="rect">
          <a:avLst/>
        </a:prstGeom>
      </xdr:spPr>
    </xdr:pic>
    <xdr:clientData/>
  </xdr:twoCellAnchor>
  <xdr:twoCellAnchor>
    <xdr:from>
      <xdr:col>1</xdr:col>
      <xdr:colOff>75726</xdr:colOff>
      <xdr:row>111</xdr:row>
      <xdr:rowOff>148689</xdr:rowOff>
    </xdr:from>
    <xdr:to>
      <xdr:col>4</xdr:col>
      <xdr:colOff>137529</xdr:colOff>
      <xdr:row>125</xdr:row>
      <xdr:rowOff>107574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pSpPr/>
      </xdr:nvGrpSpPr>
      <xdr:grpSpPr>
        <a:xfrm>
          <a:off x="447201" y="21327526"/>
          <a:ext cx="2000140" cy="2521110"/>
          <a:chOff x="407420" y="20301350"/>
          <a:chExt cx="2204368" cy="2504862"/>
        </a:xfrm>
      </xdr:grpSpPr>
      <xdr:sp macro="" textlink="">
        <xdr:nvSpPr>
          <xdr:cNvPr id="9" name="Line 37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390874" y="2057041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9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1467074" y="2058565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0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1051505" y="20596805"/>
            <a:ext cx="0" cy="188348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1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0578034"/>
            <a:ext cx="0" cy="18682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078454" y="21484814"/>
            <a:ext cx="32004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43"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1459454" y="21484814"/>
            <a:ext cx="31242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44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390874" y="21118606"/>
            <a:ext cx="76200" cy="82789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Freeform 46">
            <a:extLst>
              <a:ext uri="{FF2B5EF4-FFF2-40B4-BE49-F238E27FC236}">
                <a16:creationId xmlns:a16="http://schemas.microsoft.com/office/drawing/2014/main" id="{00000000-0008-0000-0C00-000010000000}"/>
              </a:ext>
            </a:extLst>
          </xdr:cNvPr>
          <xdr:cNvSpPr>
            <a:spLocks/>
          </xdr:cNvSpPr>
        </xdr:nvSpPr>
        <xdr:spPr bwMode="auto">
          <a:xfrm>
            <a:off x="971774" y="20524694"/>
            <a:ext cx="899160" cy="133574"/>
          </a:xfrm>
          <a:custGeom>
            <a:avLst/>
            <a:gdLst>
              <a:gd name="T0" fmla="*/ 0 w 94"/>
              <a:gd name="T1" fmla="*/ 2147483647 h 12"/>
              <a:gd name="T2" fmla="*/ 2147483647 w 94"/>
              <a:gd name="T3" fmla="*/ 2147483647 h 12"/>
              <a:gd name="T4" fmla="*/ 2147483647 w 94"/>
              <a:gd name="T5" fmla="*/ 2147483647 h 12"/>
              <a:gd name="T6" fmla="*/ 2147483647 w 94"/>
              <a:gd name="T7" fmla="*/ 2147483647 h 12"/>
              <a:gd name="T8" fmla="*/ 0 60000 65536"/>
              <a:gd name="T9" fmla="*/ 0 60000 65536"/>
              <a:gd name="T10" fmla="*/ 0 60000 65536"/>
              <a:gd name="T11" fmla="*/ 0 60000 65536"/>
              <a:gd name="T12" fmla="*/ 0 w 94"/>
              <a:gd name="T13" fmla="*/ 0 h 12"/>
              <a:gd name="T14" fmla="*/ 94 w 94"/>
              <a:gd name="T15" fmla="*/ 12 h 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4" h="12">
                <a:moveTo>
                  <a:pt x="0" y="8"/>
                </a:moveTo>
                <a:cubicBezTo>
                  <a:pt x="13" y="4"/>
                  <a:pt x="27" y="0"/>
                  <a:pt x="38" y="1"/>
                </a:cubicBezTo>
                <a:cubicBezTo>
                  <a:pt x="49" y="2"/>
                  <a:pt x="55" y="12"/>
                  <a:pt x="64" y="12"/>
                </a:cubicBezTo>
                <a:cubicBezTo>
                  <a:pt x="73" y="12"/>
                  <a:pt x="83" y="6"/>
                  <a:pt x="94" y="1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" name="Freeform 47">
            <a:extLst>
              <a:ext uri="{FF2B5EF4-FFF2-40B4-BE49-F238E27FC236}">
                <a16:creationId xmlns:a16="http://schemas.microsoft.com/office/drawing/2014/main" id="{00000000-0008-0000-0C00-000011000000}"/>
              </a:ext>
            </a:extLst>
          </xdr:cNvPr>
          <xdr:cNvSpPr>
            <a:spLocks/>
          </xdr:cNvSpPr>
        </xdr:nvSpPr>
        <xdr:spPr bwMode="auto">
          <a:xfrm>
            <a:off x="979394" y="22396525"/>
            <a:ext cx="883920" cy="87854"/>
          </a:xfrm>
          <a:custGeom>
            <a:avLst/>
            <a:gdLst>
              <a:gd name="T0" fmla="*/ 0 w 92"/>
              <a:gd name="T1" fmla="*/ 2147483647 h 8"/>
              <a:gd name="T2" fmla="*/ 2147483647 w 92"/>
              <a:gd name="T3" fmla="*/ 0 h 8"/>
              <a:gd name="T4" fmla="*/ 2147483647 w 92"/>
              <a:gd name="T5" fmla="*/ 2147483647 h 8"/>
              <a:gd name="T6" fmla="*/ 2147483647 w 92"/>
              <a:gd name="T7" fmla="*/ 0 h 8"/>
              <a:gd name="T8" fmla="*/ 0 60000 65536"/>
              <a:gd name="T9" fmla="*/ 0 60000 65536"/>
              <a:gd name="T10" fmla="*/ 0 60000 65536"/>
              <a:gd name="T11" fmla="*/ 0 60000 65536"/>
              <a:gd name="T12" fmla="*/ 0 w 92"/>
              <a:gd name="T13" fmla="*/ 0 h 8"/>
              <a:gd name="T14" fmla="*/ 92 w 92"/>
              <a:gd name="T15" fmla="*/ 8 h 8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2" h="8">
                <a:moveTo>
                  <a:pt x="0" y="7"/>
                </a:moveTo>
                <a:cubicBezTo>
                  <a:pt x="14" y="3"/>
                  <a:pt x="29" y="0"/>
                  <a:pt x="41" y="0"/>
                </a:cubicBezTo>
                <a:cubicBezTo>
                  <a:pt x="53" y="0"/>
                  <a:pt x="65" y="8"/>
                  <a:pt x="73" y="8"/>
                </a:cubicBezTo>
                <a:cubicBezTo>
                  <a:pt x="81" y="8"/>
                  <a:pt x="86" y="4"/>
                  <a:pt x="9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" name="Line 48">
            <a:extLst>
              <a:ext uri="{FF2B5EF4-FFF2-40B4-BE49-F238E27FC236}">
                <a16:creationId xmlns:a16="http://schemas.microsoft.com/office/drawing/2014/main" id="{00000000-0008-0000-0C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1113023" y="20904159"/>
            <a:ext cx="274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50">
            <a:extLst>
              <a:ext uri="{FF2B5EF4-FFF2-40B4-BE49-F238E27FC236}">
                <a16:creationId xmlns:a16="http://schemas.microsoft.com/office/drawing/2014/main" id="{00000000-0008-0000-0C00-000013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3543" y="20903634"/>
            <a:ext cx="2590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51">
            <a:extLst>
              <a:ext uri="{FF2B5EF4-FFF2-40B4-BE49-F238E27FC236}">
                <a16:creationId xmlns:a16="http://schemas.microsoft.com/office/drawing/2014/main" id="{00000000-0008-0000-0C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1040354" y="22545339"/>
            <a:ext cx="0" cy="2608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52">
            <a:extLst>
              <a:ext uri="{FF2B5EF4-FFF2-40B4-BE49-F238E27FC236}">
                <a16:creationId xmlns:a16="http://schemas.microsoft.com/office/drawing/2014/main" id="{00000000-0008-0000-0C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2507239"/>
            <a:ext cx="0" cy="2989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53">
            <a:extLst>
              <a:ext uri="{FF2B5EF4-FFF2-40B4-BE49-F238E27FC236}">
                <a16:creationId xmlns:a16="http://schemas.microsoft.com/office/drawing/2014/main" id="{00000000-0008-0000-0C00-000016000000}"/>
              </a:ext>
            </a:extLst>
          </xdr:cNvPr>
          <xdr:cNvSpPr>
            <a:spLocks noChangeShapeType="1"/>
          </xdr:cNvSpPr>
        </xdr:nvSpPr>
        <xdr:spPr bwMode="auto">
          <a:xfrm>
            <a:off x="1025114" y="22613919"/>
            <a:ext cx="777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56">
            <a:extLst>
              <a:ext uri="{FF2B5EF4-FFF2-40B4-BE49-F238E27FC236}">
                <a16:creationId xmlns:a16="http://schemas.microsoft.com/office/drawing/2014/main" id="{00000000-0008-0000-0C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1520414" y="21118606"/>
            <a:ext cx="109100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Line 57">
            <a:extLst>
              <a:ext uri="{FF2B5EF4-FFF2-40B4-BE49-F238E27FC236}">
                <a16:creationId xmlns:a16="http://schemas.microsoft.com/office/drawing/2014/main" id="{00000000-0008-0000-0C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1512794" y="21946496"/>
            <a:ext cx="109862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Line 58">
            <a:extLst>
              <a:ext uri="{FF2B5EF4-FFF2-40B4-BE49-F238E27FC236}">
                <a16:creationId xmlns:a16="http://schemas.microsoft.com/office/drawing/2014/main" id="{00000000-0008-0000-0C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2481879" y="21118606"/>
            <a:ext cx="0" cy="8278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59">
            <a:extLst>
              <a:ext uri="{FF2B5EF4-FFF2-40B4-BE49-F238E27FC236}">
                <a16:creationId xmlns:a16="http://schemas.microsoft.com/office/drawing/2014/main" id="{00000000-0008-0000-0C00-00001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78454" y="20925373"/>
            <a:ext cx="4088" cy="5670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60">
            <a:extLst>
              <a:ext uri="{FF2B5EF4-FFF2-40B4-BE49-F238E27FC236}">
                <a16:creationId xmlns:a16="http://schemas.microsoft.com/office/drawing/2014/main" id="{00000000-0008-0000-0C00-00001B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082171" y="21069435"/>
            <a:ext cx="1981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61">
            <a:extLst>
              <a:ext uri="{FF2B5EF4-FFF2-40B4-BE49-F238E27FC236}">
                <a16:creationId xmlns:a16="http://schemas.microsoft.com/office/drawing/2014/main" id="{00000000-0008-0000-0C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732023" y="21067132"/>
            <a:ext cx="2971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" name="Line 62">
            <a:extLst>
              <a:ext uri="{FF2B5EF4-FFF2-40B4-BE49-F238E27FC236}">
                <a16:creationId xmlns:a16="http://schemas.microsoft.com/office/drawing/2014/main" id="{00000000-0008-0000-0C00-00001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31555" y="20305986"/>
            <a:ext cx="3725" cy="12389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" name="Line 63">
            <a:extLst>
              <a:ext uri="{FF2B5EF4-FFF2-40B4-BE49-F238E27FC236}">
                <a16:creationId xmlns:a16="http://schemas.microsoft.com/office/drawing/2014/main" id="{00000000-0008-0000-0C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1359670" y="21511312"/>
            <a:ext cx="830007" cy="72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Rectangle 42">
            <a:extLst>
              <a:ext uri="{FF2B5EF4-FFF2-40B4-BE49-F238E27FC236}">
                <a16:creationId xmlns:a16="http://schemas.microsoft.com/office/drawing/2014/main" id="{00000000-0008-0000-0C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077929" y="21188856"/>
            <a:ext cx="315122" cy="68223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Rectangle 43">
            <a:extLst>
              <a:ext uri="{FF2B5EF4-FFF2-40B4-BE49-F238E27FC236}">
                <a16:creationId xmlns:a16="http://schemas.microsoft.com/office/drawing/2014/main" id="{00000000-0008-0000-0C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1466363" y="21188856"/>
            <a:ext cx="312420" cy="62011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" name="Rectangle 42">
            <a:extLst>
              <a:ext uri="{FF2B5EF4-FFF2-40B4-BE49-F238E27FC236}">
                <a16:creationId xmlns:a16="http://schemas.microsoft.com/office/drawing/2014/main" id="{00000000-0008-0000-0C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1071391" y="21818126"/>
            <a:ext cx="32004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" name="Rectangle 43">
            <a:extLst>
              <a:ext uri="{FF2B5EF4-FFF2-40B4-BE49-F238E27FC236}">
                <a16:creationId xmlns:a16="http://schemas.microsoft.com/office/drawing/2014/main" id="{00000000-0008-0000-0C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467259" y="21818126"/>
            <a:ext cx="31242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C00-000023000000}"/>
              </a:ext>
            </a:extLst>
          </xdr:cNvPr>
          <xdr:cNvSpPr txBox="1"/>
        </xdr:nvSpPr>
        <xdr:spPr>
          <a:xfrm>
            <a:off x="784687" y="21098900"/>
            <a:ext cx="412629" cy="2143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S3</a:t>
            </a:r>
            <a:endParaRPr lang="en-US" sz="6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C00-000024000000}"/>
              </a:ext>
            </a:extLst>
          </xdr:cNvPr>
          <xdr:cNvSpPr txBox="1"/>
        </xdr:nvSpPr>
        <xdr:spPr>
          <a:xfrm>
            <a:off x="783641" y="21723945"/>
            <a:ext cx="441676" cy="231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S1</a:t>
            </a:r>
            <a:endParaRPr lang="en-US" sz="6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C00-000025000000}"/>
              </a:ext>
            </a:extLst>
          </xdr:cNvPr>
          <xdr:cNvSpPr txBox="1"/>
        </xdr:nvSpPr>
        <xdr:spPr>
          <a:xfrm>
            <a:off x="780096" y="21411422"/>
            <a:ext cx="392817" cy="205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S2</a:t>
            </a:r>
            <a:endParaRPr lang="en-US" sz="600"/>
          </a:p>
        </xdr:txBody>
      </xdr: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C00-000026000000}"/>
              </a:ext>
            </a:extLst>
          </xdr:cNvPr>
          <xdr:cNvCxnSpPr/>
        </xdr:nvCxnSpPr>
        <xdr:spPr>
          <a:xfrm flipV="1">
            <a:off x="632533" y="21526551"/>
            <a:ext cx="27432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C00-000027000000}"/>
              </a:ext>
            </a:extLst>
          </xdr:cNvPr>
          <xdr:cNvCxnSpPr/>
        </xdr:nvCxnSpPr>
        <xdr:spPr>
          <a:xfrm flipV="1">
            <a:off x="418286" y="21225163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Line 58">
            <a:extLst>
              <a:ext uri="{FF2B5EF4-FFF2-40B4-BE49-F238E27FC236}">
                <a16:creationId xmlns:a16="http://schemas.microsoft.com/office/drawing/2014/main" id="{00000000-0008-0000-0C00-000028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78535" y="21539541"/>
            <a:ext cx="2986" cy="3185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C00-000029000000}"/>
              </a:ext>
            </a:extLst>
          </xdr:cNvPr>
          <xdr:cNvSpPr txBox="1"/>
        </xdr:nvSpPr>
        <xdr:spPr>
          <a:xfrm>
            <a:off x="628969" y="21557354"/>
            <a:ext cx="325582" cy="248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1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C00-00002A000000}"/>
              </a:ext>
            </a:extLst>
          </xdr:cNvPr>
          <xdr:cNvSpPr txBox="1"/>
        </xdr:nvSpPr>
        <xdr:spPr>
          <a:xfrm>
            <a:off x="636613" y="21253111"/>
            <a:ext cx="325582" cy="2485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2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C00-00002B000000}"/>
              </a:ext>
            </a:extLst>
          </xdr:cNvPr>
          <xdr:cNvSpPr txBox="1"/>
        </xdr:nvSpPr>
        <xdr:spPr>
          <a:xfrm>
            <a:off x="2140368" y="21378211"/>
            <a:ext cx="471420" cy="240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x</a:t>
            </a:r>
            <a:endParaRPr lang="en-US" sz="600"/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C00-00002C000000}"/>
              </a:ext>
            </a:extLst>
          </xdr:cNvPr>
          <xdr:cNvSpPr txBox="1"/>
        </xdr:nvSpPr>
        <xdr:spPr>
          <a:xfrm>
            <a:off x="1390766" y="20301350"/>
            <a:ext cx="467710" cy="226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y</a:t>
            </a:r>
            <a:endParaRPr lang="en-US" sz="600"/>
          </a:p>
        </xdr:txBody>
      </xdr:sp>
      <xdr:sp macro="" textlink="">
        <xdr:nvSpPr>
          <xdr:cNvPr id="45" name="Line 58">
            <a:extLst>
              <a:ext uri="{FF2B5EF4-FFF2-40B4-BE49-F238E27FC236}">
                <a16:creationId xmlns:a16="http://schemas.microsoft.com/office/drawing/2014/main" id="{00000000-0008-0000-0C00-00002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89046" y="21213102"/>
            <a:ext cx="2986" cy="3232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C00-00002E000000}"/>
              </a:ext>
            </a:extLst>
          </xdr:cNvPr>
          <xdr:cNvCxnSpPr/>
        </xdr:nvCxnSpPr>
        <xdr:spPr>
          <a:xfrm flipV="1">
            <a:off x="407420" y="21858356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114300</xdr:colOff>
      <xdr:row>0</xdr:row>
      <xdr:rowOff>123825</xdr:rowOff>
    </xdr:from>
    <xdr:ext cx="1123950" cy="742950"/>
    <xdr:pic>
      <xdr:nvPicPr>
        <xdr:cNvPr id="47" name="Picture 57" descr="BR_JPEG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3825"/>
          <a:ext cx="1123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535081</xdr:colOff>
      <xdr:row>0</xdr:row>
      <xdr:rowOff>131109</xdr:rowOff>
    </xdr:from>
    <xdr:ext cx="2046194" cy="571500"/>
    <xdr:pic>
      <xdr:nvPicPr>
        <xdr:cNvPr id="48" name="Picture 60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8206" y="131109"/>
          <a:ext cx="2046194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562872</xdr:colOff>
      <xdr:row>0</xdr:row>
      <xdr:rowOff>50090</xdr:rowOff>
    </xdr:from>
    <xdr:to>
      <xdr:col>10</xdr:col>
      <xdr:colOff>28576</xdr:colOff>
      <xdr:row>4</xdr:row>
      <xdr:rowOff>52915</xdr:rowOff>
    </xdr:to>
    <xdr:pic>
      <xdr:nvPicPr>
        <xdr:cNvPr id="49" name="Picture 61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2097" y="50090"/>
          <a:ext cx="970654" cy="76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36</xdr:col>
      <xdr:colOff>0</xdr:colOff>
      <xdr:row>31</xdr:row>
      <xdr:rowOff>125739</xdr:rowOff>
    </xdr:to>
    <xdr:pic>
      <xdr:nvPicPr>
        <xdr:cNvPr id="50" name="Picture 1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325" y="1905000"/>
          <a:ext cx="5486400" cy="4316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38099</xdr:colOff>
      <xdr:row>39</xdr:row>
      <xdr:rowOff>116971</xdr:rowOff>
    </xdr:from>
    <xdr:to>
      <xdr:col>36</xdr:col>
      <xdr:colOff>54428</xdr:colOff>
      <xdr:row>59</xdr:row>
      <xdr:rowOff>165994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4" y="7232146"/>
          <a:ext cx="5502729" cy="4154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432683</xdr:colOff>
      <xdr:row>4</xdr:row>
      <xdr:rowOff>129467</xdr:rowOff>
    </xdr:from>
    <xdr:to>
      <xdr:col>21</xdr:col>
      <xdr:colOff>361950</xdr:colOff>
      <xdr:row>24</xdr:row>
      <xdr:rowOff>123825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GrpSpPr/>
      </xdr:nvGrpSpPr>
      <xdr:grpSpPr>
        <a:xfrm>
          <a:off x="10029120" y="820029"/>
          <a:ext cx="5106105" cy="3666246"/>
          <a:chOff x="9309983" y="891467"/>
          <a:chExt cx="5921525" cy="4071189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C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309983" y="891467"/>
            <a:ext cx="5921525" cy="4071189"/>
          </a:xfrm>
          <a:prstGeom prst="rect">
            <a:avLst/>
          </a:prstGeom>
        </xdr:spPr>
      </xdr:pic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C00-000036000000}"/>
              </a:ext>
            </a:extLst>
          </xdr:cNvPr>
          <xdr:cNvCxnSpPr/>
        </xdr:nvCxnSpPr>
        <xdr:spPr>
          <a:xfrm flipV="1">
            <a:off x="11357742" y="1657226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C00-000037000000}"/>
              </a:ext>
            </a:extLst>
          </xdr:cNvPr>
          <xdr:cNvCxnSpPr/>
        </xdr:nvCxnSpPr>
        <xdr:spPr>
          <a:xfrm flipV="1">
            <a:off x="11881931" y="1675581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C00-000038000000}"/>
              </a:ext>
            </a:extLst>
          </xdr:cNvPr>
          <xdr:cNvCxnSpPr/>
        </xdr:nvCxnSpPr>
        <xdr:spPr>
          <a:xfrm flipV="1">
            <a:off x="12409115" y="1681700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C00-000039000000}"/>
              </a:ext>
            </a:extLst>
          </xdr:cNvPr>
          <xdr:cNvCxnSpPr/>
        </xdr:nvCxnSpPr>
        <xdr:spPr>
          <a:xfrm flipV="1">
            <a:off x="11355668" y="1823898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00000000-0008-0000-0C00-00003A000000}"/>
              </a:ext>
            </a:extLst>
          </xdr:cNvPr>
          <xdr:cNvCxnSpPr/>
        </xdr:nvCxnSpPr>
        <xdr:spPr>
          <a:xfrm flipV="1">
            <a:off x="11891839" y="1827079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C00-00003B000000}"/>
              </a:ext>
            </a:extLst>
          </xdr:cNvPr>
          <xdr:cNvSpPr txBox="1"/>
        </xdr:nvSpPr>
        <xdr:spPr>
          <a:xfrm>
            <a:off x="11466849" y="1485901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  <a:latin typeface="+mn-lt"/>
              </a:rPr>
              <a:t>a</a:t>
            </a:r>
            <a:r>
              <a:rPr lang="en-US" sz="800" b="1">
                <a:solidFill>
                  <a:srgbClr val="FF0000"/>
                </a:solidFill>
                <a:latin typeface="+mn-lt"/>
              </a:rPr>
              <a:t>1</a:t>
            </a:r>
            <a:endParaRPr lang="en-US" sz="1200" b="1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0000000-0008-0000-0C00-00003C000000}"/>
              </a:ext>
            </a:extLst>
          </xdr:cNvPr>
          <xdr:cNvSpPr txBox="1"/>
        </xdr:nvSpPr>
        <xdr:spPr>
          <a:xfrm>
            <a:off x="11997138" y="1504257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a</a:t>
            </a:r>
            <a:r>
              <a:rPr lang="en-US" sz="800" b="1">
                <a:solidFill>
                  <a:srgbClr val="FF0000"/>
                </a:solidFill>
              </a:rPr>
              <a:t>2</a:t>
            </a:r>
            <a:endParaRPr 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C00-00003D000000}"/>
              </a:ext>
            </a:extLst>
          </xdr:cNvPr>
          <xdr:cNvCxnSpPr/>
        </xdr:nvCxnSpPr>
        <xdr:spPr>
          <a:xfrm flipV="1">
            <a:off x="11353800" y="1669785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C00-00003E000000}"/>
              </a:ext>
            </a:extLst>
          </xdr:cNvPr>
          <xdr:cNvCxnSpPr/>
        </xdr:nvCxnSpPr>
        <xdr:spPr>
          <a:xfrm flipV="1">
            <a:off x="11877989" y="1688140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C00-00003F000000}"/>
              </a:ext>
            </a:extLst>
          </xdr:cNvPr>
          <xdr:cNvCxnSpPr/>
        </xdr:nvCxnSpPr>
        <xdr:spPr>
          <a:xfrm flipV="1">
            <a:off x="12405174" y="1694259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C00-000040000000}"/>
              </a:ext>
            </a:extLst>
          </xdr:cNvPr>
          <xdr:cNvCxnSpPr/>
        </xdr:nvCxnSpPr>
        <xdr:spPr>
          <a:xfrm flipV="1">
            <a:off x="11098217" y="3017172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C00-000041000000}"/>
              </a:ext>
            </a:extLst>
          </xdr:cNvPr>
          <xdr:cNvCxnSpPr/>
        </xdr:nvCxnSpPr>
        <xdr:spPr>
          <a:xfrm flipV="1">
            <a:off x="12645336" y="3004983"/>
            <a:ext cx="0" cy="367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>
            <a:extLst>
              <a:ext uri="{FF2B5EF4-FFF2-40B4-BE49-F238E27FC236}">
                <a16:creationId xmlns:a16="http://schemas.microsoft.com/office/drawing/2014/main" id="{00000000-0008-0000-0C00-000042000000}"/>
              </a:ext>
            </a:extLst>
          </xdr:cNvPr>
          <xdr:cNvCxnSpPr/>
        </xdr:nvCxnSpPr>
        <xdr:spPr>
          <a:xfrm>
            <a:off x="11077575" y="3171824"/>
            <a:ext cx="1572080" cy="8829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C00-000043000000}"/>
              </a:ext>
            </a:extLst>
          </xdr:cNvPr>
          <xdr:cNvSpPr txBox="1"/>
        </xdr:nvSpPr>
        <xdr:spPr>
          <a:xfrm>
            <a:off x="11748766" y="3033938"/>
            <a:ext cx="370016" cy="36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C00-000044000000}"/>
              </a:ext>
            </a:extLst>
          </xdr:cNvPr>
          <xdr:cNvSpPr txBox="1"/>
        </xdr:nvSpPr>
        <xdr:spPr>
          <a:xfrm>
            <a:off x="12750179" y="2926616"/>
            <a:ext cx="574603" cy="364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75</a:t>
            </a:r>
          </a:p>
        </xdr:txBody>
      </xdr:sp>
    </xdr:grpSp>
    <xdr:clientData/>
  </xdr:twoCellAnchor>
  <xdr:twoCellAnchor editAs="oneCell">
    <xdr:from>
      <xdr:col>20</xdr:col>
      <xdr:colOff>412375</xdr:colOff>
      <xdr:row>85</xdr:row>
      <xdr:rowOff>119529</xdr:rowOff>
    </xdr:from>
    <xdr:to>
      <xdr:col>26</xdr:col>
      <xdr:colOff>460446</xdr:colOff>
      <xdr:row>93</xdr:row>
      <xdr:rowOff>74247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4500" y="16540629"/>
          <a:ext cx="3705671" cy="1545393"/>
        </a:xfrm>
        <a:prstGeom prst="rect">
          <a:avLst/>
        </a:prstGeom>
      </xdr:spPr>
    </xdr:pic>
    <xdr:clientData/>
  </xdr:twoCellAnchor>
  <xdr:oneCellAnchor>
    <xdr:from>
      <xdr:col>15</xdr:col>
      <xdr:colOff>394446</xdr:colOff>
      <xdr:row>92</xdr:row>
      <xdr:rowOff>44823</xdr:rowOff>
    </xdr:from>
    <xdr:ext cx="103094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SpPr txBox="1"/>
      </xdr:nvSpPr>
      <xdr:spPr>
        <a:xfrm>
          <a:off x="10538571" y="17856573"/>
          <a:ext cx="1030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Pbf = 5/3 P </a:t>
          </a:r>
        </a:p>
      </xdr:txBody>
    </xdr:sp>
    <xdr:clientData/>
  </xdr:oneCellAnchor>
  <xdr:twoCellAnchor>
    <xdr:from>
      <xdr:col>16</xdr:col>
      <xdr:colOff>38100</xdr:colOff>
      <xdr:row>27</xdr:row>
      <xdr:rowOff>85725</xdr:rowOff>
    </xdr:from>
    <xdr:to>
      <xdr:col>20</xdr:col>
      <xdr:colOff>399700</xdr:colOff>
      <xdr:row>41</xdr:row>
      <xdr:rowOff>26381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91825" y="4667250"/>
          <a:ext cx="2800000" cy="2883881"/>
        </a:xfrm>
        <a:prstGeom prst="rect">
          <a:avLst/>
        </a:prstGeom>
      </xdr:spPr>
    </xdr:pic>
    <xdr:clientData/>
  </xdr:twoCellAnchor>
  <xdr:twoCellAnchor>
    <xdr:from>
      <xdr:col>18</xdr:col>
      <xdr:colOff>183931</xdr:colOff>
      <xdr:row>14</xdr:row>
      <xdr:rowOff>52552</xdr:rowOff>
    </xdr:from>
    <xdr:to>
      <xdr:col>18</xdr:col>
      <xdr:colOff>426983</xdr:colOff>
      <xdr:row>14</xdr:row>
      <xdr:rowOff>52552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CxnSpPr/>
      </xdr:nvCxnSpPr>
      <xdr:spPr>
        <a:xfrm flipH="1">
          <a:off x="12156856" y="2719552"/>
          <a:ext cx="2430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308927</xdr:colOff>
      <xdr:row>33</xdr:row>
      <xdr:rowOff>110466</xdr:rowOff>
    </xdr:from>
    <xdr:to>
      <xdr:col>18</xdr:col>
      <xdr:colOff>485885</xdr:colOff>
      <xdr:row>34</xdr:row>
      <xdr:rowOff>23615</xdr:rowOff>
    </xdr:to>
    <xdr:sp macro="" textlink="">
      <xdr:nvSpPr>
        <xdr:cNvPr id="73" name="Arc 23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SpPr/>
      </xdr:nvSpPr>
      <xdr:spPr>
        <a:xfrm rot="11911305">
          <a:off x="12281852" y="6006441"/>
          <a:ext cx="176958" cy="103649"/>
        </a:xfrm>
        <a:custGeom>
          <a:avLst/>
          <a:gdLst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2" fmla="*/ 187439 w 374878"/>
            <a:gd name="connsiteY2" fmla="*/ 97972 h 195943"/>
            <a:gd name="connsiteX3" fmla="*/ 226528 w 374878"/>
            <a:gd name="connsiteY3" fmla="*/ 2154 h 195943"/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0" fmla="*/ 39089 w 187439"/>
            <a:gd name="connsiteY0" fmla="*/ 7563 h 103381"/>
            <a:gd name="connsiteX1" fmla="*/ 187439 w 187439"/>
            <a:gd name="connsiteY1" fmla="*/ 103381 h 103381"/>
            <a:gd name="connsiteX2" fmla="*/ 0 w 187439"/>
            <a:gd name="connsiteY2" fmla="*/ 103381 h 103381"/>
            <a:gd name="connsiteX3" fmla="*/ 39089 w 187439"/>
            <a:gd name="connsiteY3" fmla="*/ 7563 h 103381"/>
            <a:gd name="connsiteX0" fmla="*/ 61668 w 187439"/>
            <a:gd name="connsiteY0" fmla="*/ 0 h 103381"/>
            <a:gd name="connsiteX1" fmla="*/ 187439 w 187439"/>
            <a:gd name="connsiteY1" fmla="*/ 103381 h 1033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7439" h="103381" stroke="0" extrusionOk="0">
              <a:moveTo>
                <a:pt x="39089" y="7563"/>
              </a:moveTo>
              <a:cubicBezTo>
                <a:pt x="125600" y="17205"/>
                <a:pt x="187439" y="57146"/>
                <a:pt x="187439" y="103381"/>
              </a:cubicBezTo>
              <a:lnTo>
                <a:pt x="0" y="103381"/>
              </a:lnTo>
              <a:lnTo>
                <a:pt x="39089" y="7563"/>
              </a:lnTo>
              <a:close/>
            </a:path>
            <a:path w="187439" h="103381" fill="none">
              <a:moveTo>
                <a:pt x="61668" y="0"/>
              </a:moveTo>
              <a:cubicBezTo>
                <a:pt x="148179" y="9642"/>
                <a:pt x="187439" y="57146"/>
                <a:pt x="187439" y="103381"/>
              </a:cubicBezTo>
            </a:path>
          </a:pathLst>
        </a:cu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495981</xdr:colOff>
      <xdr:row>33</xdr:row>
      <xdr:rowOff>28404</xdr:rowOff>
    </xdr:from>
    <xdr:to>
      <xdr:col>18</xdr:col>
      <xdr:colOff>495981</xdr:colOff>
      <xdr:row>34</xdr:row>
      <xdr:rowOff>95250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CxnSpPr/>
      </xdr:nvCxnSpPr>
      <xdr:spPr>
        <a:xfrm>
          <a:off x="12468906" y="5924379"/>
          <a:ext cx="0" cy="2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346643</xdr:colOff>
      <xdr:row>33</xdr:row>
      <xdr:rowOff>94740</xdr:rowOff>
    </xdr:from>
    <xdr:to>
      <xdr:col>19</xdr:col>
      <xdr:colOff>14629</xdr:colOff>
      <xdr:row>33</xdr:row>
      <xdr:rowOff>94740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CxnSpPr/>
      </xdr:nvCxnSpPr>
      <xdr:spPr>
        <a:xfrm>
          <a:off x="12319568" y="5990715"/>
          <a:ext cx="2775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472849</xdr:colOff>
      <xdr:row>33</xdr:row>
      <xdr:rowOff>40821</xdr:rowOff>
    </xdr:from>
    <xdr:to>
      <xdr:col>18</xdr:col>
      <xdr:colOff>554491</xdr:colOff>
      <xdr:row>33</xdr:row>
      <xdr:rowOff>112259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CxnSpPr/>
      </xdr:nvCxnSpPr>
      <xdr:spPr>
        <a:xfrm flipH="1">
          <a:off x="12445774" y="5936796"/>
          <a:ext cx="81642" cy="71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466045</xdr:colOff>
      <xdr:row>34</xdr:row>
      <xdr:rowOff>54428</xdr:rowOff>
    </xdr:from>
    <xdr:to>
      <xdr:col>18</xdr:col>
      <xdr:colOff>547688</xdr:colOff>
      <xdr:row>34</xdr:row>
      <xdr:rowOff>112259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CxnSpPr/>
      </xdr:nvCxnSpPr>
      <xdr:spPr>
        <a:xfrm flipH="1">
          <a:off x="12438970" y="6140903"/>
          <a:ext cx="81643" cy="57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425224</xdr:colOff>
      <xdr:row>33</xdr:row>
      <xdr:rowOff>3402</xdr:rowOff>
    </xdr:from>
    <xdr:to>
      <xdr:col>19</xdr:col>
      <xdr:colOff>173492</xdr:colOff>
      <xdr:row>34</xdr:row>
      <xdr:rowOff>112259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SpPr txBox="1"/>
      </xdr:nvSpPr>
      <xdr:spPr>
        <a:xfrm>
          <a:off x="12398149" y="5899377"/>
          <a:ext cx="35786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k</a:t>
          </a:r>
        </a:p>
      </xdr:txBody>
    </xdr:sp>
    <xdr:clientData/>
  </xdr:twoCellAnchor>
  <xdr:twoCellAnchor editAs="oneCell">
    <xdr:from>
      <xdr:col>5</xdr:col>
      <xdr:colOff>361950</xdr:colOff>
      <xdr:row>112</xdr:row>
      <xdr:rowOff>51487</xdr:rowOff>
    </xdr:from>
    <xdr:to>
      <xdr:col>10</xdr:col>
      <xdr:colOff>0</xdr:colOff>
      <xdr:row>125</xdr:row>
      <xdr:rowOff>108347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00400" y="22111387"/>
          <a:ext cx="3533775" cy="2542885"/>
        </a:xfrm>
        <a:prstGeom prst="rect">
          <a:avLst/>
        </a:prstGeom>
      </xdr:spPr>
    </xdr:pic>
    <xdr:clientData/>
  </xdr:twoCellAnchor>
  <xdr:twoCellAnchor>
    <xdr:from>
      <xdr:col>7</xdr:col>
      <xdr:colOff>704850</xdr:colOff>
      <xdr:row>113</xdr:row>
      <xdr:rowOff>104775</xdr:rowOff>
    </xdr:from>
    <xdr:to>
      <xdr:col>8</xdr:col>
      <xdr:colOff>247650</xdr:colOff>
      <xdr:row>116</xdr:row>
      <xdr:rowOff>142875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CxnSpPr/>
      </xdr:nvCxnSpPr>
      <xdr:spPr>
        <a:xfrm flipH="1">
          <a:off x="5191125" y="22355175"/>
          <a:ext cx="285750" cy="61912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361950</xdr:colOff>
      <xdr:row>117</xdr:row>
      <xdr:rowOff>0</xdr:rowOff>
    </xdr:from>
    <xdr:ext cx="470642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SpPr txBox="1"/>
      </xdr:nvSpPr>
      <xdr:spPr>
        <a:xfrm>
          <a:off x="4848225" y="230219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1510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384810</xdr:colOff>
      <xdr:row>47</xdr:row>
      <xdr:rowOff>0</xdr:rowOff>
    </xdr:from>
    <xdr:to>
      <xdr:col>21</xdr:col>
      <xdr:colOff>480649</xdr:colOff>
      <xdr:row>60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9335" y="8372475"/>
          <a:ext cx="4363039" cy="2628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381734</xdr:colOff>
      <xdr:row>60</xdr:row>
      <xdr:rowOff>34048</xdr:rowOff>
    </xdr:from>
    <xdr:to>
      <xdr:col>21</xdr:col>
      <xdr:colOff>510292</xdr:colOff>
      <xdr:row>71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6259" y="11025898"/>
          <a:ext cx="4395758" cy="2213852"/>
        </a:xfrm>
        <a:prstGeom prst="rect">
          <a:avLst/>
        </a:prstGeom>
      </xdr:spPr>
    </xdr:pic>
    <xdr:clientData/>
  </xdr:twoCellAnchor>
  <xdr:twoCellAnchor editAs="oneCell">
    <xdr:from>
      <xdr:col>13</xdr:col>
      <xdr:colOff>387294</xdr:colOff>
      <xdr:row>72</xdr:row>
      <xdr:rowOff>30780</xdr:rowOff>
    </xdr:from>
    <xdr:to>
      <xdr:col>20</xdr:col>
      <xdr:colOff>167561</xdr:colOff>
      <xdr:row>83</xdr:row>
      <xdr:rowOff>4962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2219" y="13441980"/>
          <a:ext cx="4047467" cy="213635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87</xdr:row>
      <xdr:rowOff>105140</xdr:rowOff>
    </xdr:from>
    <xdr:to>
      <xdr:col>20</xdr:col>
      <xdr:colOff>300307</xdr:colOff>
      <xdr:row>93</xdr:row>
      <xdr:rowOff>45530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16526240"/>
          <a:ext cx="3996007" cy="114054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96</xdr:row>
      <xdr:rowOff>100858</xdr:rowOff>
    </xdr:from>
    <xdr:to>
      <xdr:col>20</xdr:col>
      <xdr:colOff>507864</xdr:colOff>
      <xdr:row>107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1185" y="18341233"/>
          <a:ext cx="4218804" cy="2223242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157</xdr:row>
      <xdr:rowOff>138374</xdr:rowOff>
    </xdr:from>
    <xdr:to>
      <xdr:col>20</xdr:col>
      <xdr:colOff>144032</xdr:colOff>
      <xdr:row>169</xdr:row>
      <xdr:rowOff>129082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7865" y="31066049"/>
          <a:ext cx="3748292" cy="2352908"/>
        </a:xfrm>
        <a:prstGeom prst="rect">
          <a:avLst/>
        </a:prstGeom>
      </xdr:spPr>
    </xdr:pic>
    <xdr:clientData/>
  </xdr:twoCellAnchor>
  <xdr:twoCellAnchor>
    <xdr:from>
      <xdr:col>1</xdr:col>
      <xdr:colOff>75726</xdr:colOff>
      <xdr:row>113</xdr:row>
      <xdr:rowOff>148689</xdr:rowOff>
    </xdr:from>
    <xdr:to>
      <xdr:col>4</xdr:col>
      <xdr:colOff>137529</xdr:colOff>
      <xdr:row>127</xdr:row>
      <xdr:rowOff>107574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pSpPr/>
      </xdr:nvGrpSpPr>
      <xdr:grpSpPr>
        <a:xfrm>
          <a:off x="447201" y="21813301"/>
          <a:ext cx="2000140" cy="2521110"/>
          <a:chOff x="407420" y="20301350"/>
          <a:chExt cx="2204368" cy="2504862"/>
        </a:xfrm>
      </xdr:grpSpPr>
      <xdr:sp macro="" textlink="">
        <xdr:nvSpPr>
          <xdr:cNvPr id="9" name="Line 37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390874" y="2057041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9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1467074" y="2058565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0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1051505" y="20596805"/>
            <a:ext cx="0" cy="188348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1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0578034"/>
            <a:ext cx="0" cy="18682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078454" y="21484814"/>
            <a:ext cx="32004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43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1459454" y="21484814"/>
            <a:ext cx="31242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44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390874" y="21118606"/>
            <a:ext cx="76200" cy="82789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Freeform 46">
            <a:extLst>
              <a:ext uri="{FF2B5EF4-FFF2-40B4-BE49-F238E27FC236}">
                <a16:creationId xmlns:a16="http://schemas.microsoft.com/office/drawing/2014/main" id="{00000000-0008-0000-0D00-000010000000}"/>
              </a:ext>
            </a:extLst>
          </xdr:cNvPr>
          <xdr:cNvSpPr>
            <a:spLocks/>
          </xdr:cNvSpPr>
        </xdr:nvSpPr>
        <xdr:spPr bwMode="auto">
          <a:xfrm>
            <a:off x="971774" y="20524694"/>
            <a:ext cx="899160" cy="133574"/>
          </a:xfrm>
          <a:custGeom>
            <a:avLst/>
            <a:gdLst>
              <a:gd name="T0" fmla="*/ 0 w 94"/>
              <a:gd name="T1" fmla="*/ 2147483647 h 12"/>
              <a:gd name="T2" fmla="*/ 2147483647 w 94"/>
              <a:gd name="T3" fmla="*/ 2147483647 h 12"/>
              <a:gd name="T4" fmla="*/ 2147483647 w 94"/>
              <a:gd name="T5" fmla="*/ 2147483647 h 12"/>
              <a:gd name="T6" fmla="*/ 2147483647 w 94"/>
              <a:gd name="T7" fmla="*/ 2147483647 h 12"/>
              <a:gd name="T8" fmla="*/ 0 60000 65536"/>
              <a:gd name="T9" fmla="*/ 0 60000 65536"/>
              <a:gd name="T10" fmla="*/ 0 60000 65536"/>
              <a:gd name="T11" fmla="*/ 0 60000 65536"/>
              <a:gd name="T12" fmla="*/ 0 w 94"/>
              <a:gd name="T13" fmla="*/ 0 h 12"/>
              <a:gd name="T14" fmla="*/ 94 w 94"/>
              <a:gd name="T15" fmla="*/ 12 h 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4" h="12">
                <a:moveTo>
                  <a:pt x="0" y="8"/>
                </a:moveTo>
                <a:cubicBezTo>
                  <a:pt x="13" y="4"/>
                  <a:pt x="27" y="0"/>
                  <a:pt x="38" y="1"/>
                </a:cubicBezTo>
                <a:cubicBezTo>
                  <a:pt x="49" y="2"/>
                  <a:pt x="55" y="12"/>
                  <a:pt x="64" y="12"/>
                </a:cubicBezTo>
                <a:cubicBezTo>
                  <a:pt x="73" y="12"/>
                  <a:pt x="83" y="6"/>
                  <a:pt x="94" y="1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" name="Freeform 47">
            <a:extLst>
              <a:ext uri="{FF2B5EF4-FFF2-40B4-BE49-F238E27FC236}">
                <a16:creationId xmlns:a16="http://schemas.microsoft.com/office/drawing/2014/main" id="{00000000-0008-0000-0D00-000011000000}"/>
              </a:ext>
            </a:extLst>
          </xdr:cNvPr>
          <xdr:cNvSpPr>
            <a:spLocks/>
          </xdr:cNvSpPr>
        </xdr:nvSpPr>
        <xdr:spPr bwMode="auto">
          <a:xfrm>
            <a:off x="979394" y="22396525"/>
            <a:ext cx="883920" cy="87854"/>
          </a:xfrm>
          <a:custGeom>
            <a:avLst/>
            <a:gdLst>
              <a:gd name="T0" fmla="*/ 0 w 92"/>
              <a:gd name="T1" fmla="*/ 2147483647 h 8"/>
              <a:gd name="T2" fmla="*/ 2147483647 w 92"/>
              <a:gd name="T3" fmla="*/ 0 h 8"/>
              <a:gd name="T4" fmla="*/ 2147483647 w 92"/>
              <a:gd name="T5" fmla="*/ 2147483647 h 8"/>
              <a:gd name="T6" fmla="*/ 2147483647 w 92"/>
              <a:gd name="T7" fmla="*/ 0 h 8"/>
              <a:gd name="T8" fmla="*/ 0 60000 65536"/>
              <a:gd name="T9" fmla="*/ 0 60000 65536"/>
              <a:gd name="T10" fmla="*/ 0 60000 65536"/>
              <a:gd name="T11" fmla="*/ 0 60000 65536"/>
              <a:gd name="T12" fmla="*/ 0 w 92"/>
              <a:gd name="T13" fmla="*/ 0 h 8"/>
              <a:gd name="T14" fmla="*/ 92 w 92"/>
              <a:gd name="T15" fmla="*/ 8 h 8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2" h="8">
                <a:moveTo>
                  <a:pt x="0" y="7"/>
                </a:moveTo>
                <a:cubicBezTo>
                  <a:pt x="14" y="3"/>
                  <a:pt x="29" y="0"/>
                  <a:pt x="41" y="0"/>
                </a:cubicBezTo>
                <a:cubicBezTo>
                  <a:pt x="53" y="0"/>
                  <a:pt x="65" y="8"/>
                  <a:pt x="73" y="8"/>
                </a:cubicBezTo>
                <a:cubicBezTo>
                  <a:pt x="81" y="8"/>
                  <a:pt x="86" y="4"/>
                  <a:pt x="9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" name="Line 48">
            <a:extLst>
              <a:ext uri="{FF2B5EF4-FFF2-40B4-BE49-F238E27FC236}">
                <a16:creationId xmlns:a16="http://schemas.microsoft.com/office/drawing/2014/main" id="{00000000-0008-0000-0D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1113023" y="20904159"/>
            <a:ext cx="274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50"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3543" y="20903634"/>
            <a:ext cx="2590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51">
            <a:extLst>
              <a:ext uri="{FF2B5EF4-FFF2-40B4-BE49-F238E27FC236}">
                <a16:creationId xmlns:a16="http://schemas.microsoft.com/office/drawing/2014/main" id="{00000000-0008-0000-0D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1040354" y="22545339"/>
            <a:ext cx="0" cy="2608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52">
            <a:extLst>
              <a:ext uri="{FF2B5EF4-FFF2-40B4-BE49-F238E27FC236}">
                <a16:creationId xmlns:a16="http://schemas.microsoft.com/office/drawing/2014/main" id="{00000000-0008-0000-0D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2507239"/>
            <a:ext cx="0" cy="2989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53">
            <a:extLst>
              <a:ext uri="{FF2B5EF4-FFF2-40B4-BE49-F238E27FC236}">
                <a16:creationId xmlns:a16="http://schemas.microsoft.com/office/drawing/2014/main" id="{00000000-0008-0000-0D00-000016000000}"/>
              </a:ext>
            </a:extLst>
          </xdr:cNvPr>
          <xdr:cNvSpPr>
            <a:spLocks noChangeShapeType="1"/>
          </xdr:cNvSpPr>
        </xdr:nvSpPr>
        <xdr:spPr bwMode="auto">
          <a:xfrm>
            <a:off x="1025114" y="22613919"/>
            <a:ext cx="777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56">
            <a:extLst>
              <a:ext uri="{FF2B5EF4-FFF2-40B4-BE49-F238E27FC236}">
                <a16:creationId xmlns:a16="http://schemas.microsoft.com/office/drawing/2014/main" id="{00000000-0008-0000-0D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1520414" y="21118606"/>
            <a:ext cx="109100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Line 57">
            <a:extLst>
              <a:ext uri="{FF2B5EF4-FFF2-40B4-BE49-F238E27FC236}">
                <a16:creationId xmlns:a16="http://schemas.microsoft.com/office/drawing/2014/main" id="{00000000-0008-0000-0D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1512794" y="21946496"/>
            <a:ext cx="109862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Line 58">
            <a:extLst>
              <a:ext uri="{FF2B5EF4-FFF2-40B4-BE49-F238E27FC236}">
                <a16:creationId xmlns:a16="http://schemas.microsoft.com/office/drawing/2014/main" id="{00000000-0008-0000-0D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2481879" y="21118606"/>
            <a:ext cx="0" cy="8278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59">
            <a:extLst>
              <a:ext uri="{FF2B5EF4-FFF2-40B4-BE49-F238E27FC236}">
                <a16:creationId xmlns:a16="http://schemas.microsoft.com/office/drawing/2014/main" id="{00000000-0008-0000-0D00-00001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78454" y="20925373"/>
            <a:ext cx="4088" cy="5670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60">
            <a:extLst>
              <a:ext uri="{FF2B5EF4-FFF2-40B4-BE49-F238E27FC236}">
                <a16:creationId xmlns:a16="http://schemas.microsoft.com/office/drawing/2014/main" id="{00000000-0008-0000-0D00-00001B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082171" y="21069435"/>
            <a:ext cx="1981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61">
            <a:extLst>
              <a:ext uri="{FF2B5EF4-FFF2-40B4-BE49-F238E27FC236}">
                <a16:creationId xmlns:a16="http://schemas.microsoft.com/office/drawing/2014/main" id="{00000000-0008-0000-0D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732023" y="21067132"/>
            <a:ext cx="2971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" name="Line 62">
            <a:extLst>
              <a:ext uri="{FF2B5EF4-FFF2-40B4-BE49-F238E27FC236}">
                <a16:creationId xmlns:a16="http://schemas.microsoft.com/office/drawing/2014/main" id="{00000000-0008-0000-0D00-00001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31555" y="20305986"/>
            <a:ext cx="3725" cy="12389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" name="Line 63">
            <a:extLst>
              <a:ext uri="{FF2B5EF4-FFF2-40B4-BE49-F238E27FC236}">
                <a16:creationId xmlns:a16="http://schemas.microsoft.com/office/drawing/2014/main" id="{00000000-0008-0000-0D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1359670" y="21511312"/>
            <a:ext cx="830007" cy="72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Rectangle 42">
            <a:extLst>
              <a:ext uri="{FF2B5EF4-FFF2-40B4-BE49-F238E27FC236}">
                <a16:creationId xmlns:a16="http://schemas.microsoft.com/office/drawing/2014/main" id="{00000000-0008-0000-0D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077929" y="21188856"/>
            <a:ext cx="315122" cy="68223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Rectangle 43">
            <a:extLst>
              <a:ext uri="{FF2B5EF4-FFF2-40B4-BE49-F238E27FC236}">
                <a16:creationId xmlns:a16="http://schemas.microsoft.com/office/drawing/2014/main" id="{00000000-0008-0000-0D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1466363" y="21188856"/>
            <a:ext cx="312420" cy="62011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" name="Rectangle 42">
            <a:extLst>
              <a:ext uri="{FF2B5EF4-FFF2-40B4-BE49-F238E27FC236}">
                <a16:creationId xmlns:a16="http://schemas.microsoft.com/office/drawing/2014/main" id="{00000000-0008-0000-0D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1071391" y="21818126"/>
            <a:ext cx="32004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" name="Rectangle 43">
            <a:extLst>
              <a:ext uri="{FF2B5EF4-FFF2-40B4-BE49-F238E27FC236}">
                <a16:creationId xmlns:a16="http://schemas.microsoft.com/office/drawing/2014/main" id="{00000000-0008-0000-0D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467259" y="21818126"/>
            <a:ext cx="31242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D00-000023000000}"/>
              </a:ext>
            </a:extLst>
          </xdr:cNvPr>
          <xdr:cNvSpPr txBox="1"/>
        </xdr:nvSpPr>
        <xdr:spPr>
          <a:xfrm>
            <a:off x="784687" y="21098900"/>
            <a:ext cx="412629" cy="2143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S3</a:t>
            </a:r>
            <a:endParaRPr lang="en-US" sz="6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D00-000024000000}"/>
              </a:ext>
            </a:extLst>
          </xdr:cNvPr>
          <xdr:cNvSpPr txBox="1"/>
        </xdr:nvSpPr>
        <xdr:spPr>
          <a:xfrm>
            <a:off x="783641" y="21723945"/>
            <a:ext cx="441676" cy="231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S1</a:t>
            </a:r>
            <a:endParaRPr lang="en-US" sz="6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D00-000025000000}"/>
              </a:ext>
            </a:extLst>
          </xdr:cNvPr>
          <xdr:cNvSpPr txBox="1"/>
        </xdr:nvSpPr>
        <xdr:spPr>
          <a:xfrm>
            <a:off x="780096" y="21411422"/>
            <a:ext cx="392817" cy="205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S2</a:t>
            </a:r>
            <a:endParaRPr lang="en-US" sz="600"/>
          </a:p>
        </xdr:txBody>
      </xdr: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D00-000026000000}"/>
              </a:ext>
            </a:extLst>
          </xdr:cNvPr>
          <xdr:cNvCxnSpPr/>
        </xdr:nvCxnSpPr>
        <xdr:spPr>
          <a:xfrm flipV="1">
            <a:off x="632533" y="21526551"/>
            <a:ext cx="27432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D00-000027000000}"/>
              </a:ext>
            </a:extLst>
          </xdr:cNvPr>
          <xdr:cNvCxnSpPr/>
        </xdr:nvCxnSpPr>
        <xdr:spPr>
          <a:xfrm flipV="1">
            <a:off x="418286" y="21225163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Line 58">
            <a:extLst>
              <a:ext uri="{FF2B5EF4-FFF2-40B4-BE49-F238E27FC236}">
                <a16:creationId xmlns:a16="http://schemas.microsoft.com/office/drawing/2014/main" id="{00000000-0008-0000-0D00-000028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78535" y="21539541"/>
            <a:ext cx="2986" cy="3185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D00-000029000000}"/>
              </a:ext>
            </a:extLst>
          </xdr:cNvPr>
          <xdr:cNvSpPr txBox="1"/>
        </xdr:nvSpPr>
        <xdr:spPr>
          <a:xfrm>
            <a:off x="628969" y="21557354"/>
            <a:ext cx="325582" cy="248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1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D00-00002A000000}"/>
              </a:ext>
            </a:extLst>
          </xdr:cNvPr>
          <xdr:cNvSpPr txBox="1"/>
        </xdr:nvSpPr>
        <xdr:spPr>
          <a:xfrm>
            <a:off x="636613" y="21253111"/>
            <a:ext cx="325582" cy="2485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2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D00-00002B000000}"/>
              </a:ext>
            </a:extLst>
          </xdr:cNvPr>
          <xdr:cNvSpPr txBox="1"/>
        </xdr:nvSpPr>
        <xdr:spPr>
          <a:xfrm>
            <a:off x="2140368" y="21378211"/>
            <a:ext cx="471420" cy="240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x</a:t>
            </a:r>
            <a:endParaRPr lang="en-US" sz="600"/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D00-00002C000000}"/>
              </a:ext>
            </a:extLst>
          </xdr:cNvPr>
          <xdr:cNvSpPr txBox="1"/>
        </xdr:nvSpPr>
        <xdr:spPr>
          <a:xfrm>
            <a:off x="1390766" y="20301350"/>
            <a:ext cx="467710" cy="226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y</a:t>
            </a:r>
            <a:endParaRPr lang="en-US" sz="600"/>
          </a:p>
        </xdr:txBody>
      </xdr:sp>
      <xdr:sp macro="" textlink="">
        <xdr:nvSpPr>
          <xdr:cNvPr id="45" name="Line 58">
            <a:extLst>
              <a:ext uri="{FF2B5EF4-FFF2-40B4-BE49-F238E27FC236}">
                <a16:creationId xmlns:a16="http://schemas.microsoft.com/office/drawing/2014/main" id="{00000000-0008-0000-0D00-00002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89046" y="21213102"/>
            <a:ext cx="2986" cy="3232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D00-00002E000000}"/>
              </a:ext>
            </a:extLst>
          </xdr:cNvPr>
          <xdr:cNvCxnSpPr/>
        </xdr:nvCxnSpPr>
        <xdr:spPr>
          <a:xfrm flipV="1">
            <a:off x="407420" y="21858356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114300</xdr:colOff>
      <xdr:row>0</xdr:row>
      <xdr:rowOff>123825</xdr:rowOff>
    </xdr:from>
    <xdr:ext cx="1123950" cy="742950"/>
    <xdr:pic>
      <xdr:nvPicPr>
        <xdr:cNvPr id="47" name="Picture 57" descr="BR_JPEG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3825"/>
          <a:ext cx="1123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535081</xdr:colOff>
      <xdr:row>0</xdr:row>
      <xdr:rowOff>131109</xdr:rowOff>
    </xdr:from>
    <xdr:ext cx="2046194" cy="571500"/>
    <xdr:pic>
      <xdr:nvPicPr>
        <xdr:cNvPr id="48" name="Picture 60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8206" y="131109"/>
          <a:ext cx="2046194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562872</xdr:colOff>
      <xdr:row>0</xdr:row>
      <xdr:rowOff>50090</xdr:rowOff>
    </xdr:from>
    <xdr:to>
      <xdr:col>10</xdr:col>
      <xdr:colOff>28576</xdr:colOff>
      <xdr:row>4</xdr:row>
      <xdr:rowOff>52915</xdr:rowOff>
    </xdr:to>
    <xdr:pic>
      <xdr:nvPicPr>
        <xdr:cNvPr id="49" name="Picture 61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2097" y="50090"/>
          <a:ext cx="970654" cy="76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36</xdr:col>
      <xdr:colOff>0</xdr:colOff>
      <xdr:row>31</xdr:row>
      <xdr:rowOff>49539</xdr:rowOff>
    </xdr:to>
    <xdr:pic>
      <xdr:nvPicPr>
        <xdr:cNvPr id="50" name="Picture 1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325" y="1905000"/>
          <a:ext cx="5486400" cy="4316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38099</xdr:colOff>
      <xdr:row>41</xdr:row>
      <xdr:rowOff>116971</xdr:rowOff>
    </xdr:from>
    <xdr:to>
      <xdr:col>36</xdr:col>
      <xdr:colOff>54428</xdr:colOff>
      <xdr:row>61</xdr:row>
      <xdr:rowOff>165994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4" y="7232146"/>
          <a:ext cx="5502729" cy="4154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432683</xdr:colOff>
      <xdr:row>4</xdr:row>
      <xdr:rowOff>129467</xdr:rowOff>
    </xdr:from>
    <xdr:to>
      <xdr:col>21</xdr:col>
      <xdr:colOff>361950</xdr:colOff>
      <xdr:row>26</xdr:row>
      <xdr:rowOff>123825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GrpSpPr/>
      </xdr:nvGrpSpPr>
      <xdr:grpSpPr>
        <a:xfrm>
          <a:off x="10029120" y="820029"/>
          <a:ext cx="5106105" cy="4152021"/>
          <a:chOff x="9309983" y="891467"/>
          <a:chExt cx="5921525" cy="4071189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D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309983" y="891467"/>
            <a:ext cx="5921525" cy="4071189"/>
          </a:xfrm>
          <a:prstGeom prst="rect">
            <a:avLst/>
          </a:prstGeom>
        </xdr:spPr>
      </xdr:pic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D00-000036000000}"/>
              </a:ext>
            </a:extLst>
          </xdr:cNvPr>
          <xdr:cNvCxnSpPr/>
        </xdr:nvCxnSpPr>
        <xdr:spPr>
          <a:xfrm flipV="1">
            <a:off x="11357742" y="1657226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D00-000037000000}"/>
              </a:ext>
            </a:extLst>
          </xdr:cNvPr>
          <xdr:cNvCxnSpPr/>
        </xdr:nvCxnSpPr>
        <xdr:spPr>
          <a:xfrm flipV="1">
            <a:off x="11881931" y="1675581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D00-000038000000}"/>
              </a:ext>
            </a:extLst>
          </xdr:cNvPr>
          <xdr:cNvCxnSpPr/>
        </xdr:nvCxnSpPr>
        <xdr:spPr>
          <a:xfrm flipV="1">
            <a:off x="12409115" y="1681700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D00-000039000000}"/>
              </a:ext>
            </a:extLst>
          </xdr:cNvPr>
          <xdr:cNvCxnSpPr/>
        </xdr:nvCxnSpPr>
        <xdr:spPr>
          <a:xfrm flipV="1">
            <a:off x="11355668" y="1823898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00000000-0008-0000-0D00-00003A000000}"/>
              </a:ext>
            </a:extLst>
          </xdr:cNvPr>
          <xdr:cNvCxnSpPr/>
        </xdr:nvCxnSpPr>
        <xdr:spPr>
          <a:xfrm flipV="1">
            <a:off x="11891839" y="1827079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D00-00003B000000}"/>
              </a:ext>
            </a:extLst>
          </xdr:cNvPr>
          <xdr:cNvSpPr txBox="1"/>
        </xdr:nvSpPr>
        <xdr:spPr>
          <a:xfrm>
            <a:off x="11466849" y="1485901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  <a:latin typeface="+mn-lt"/>
              </a:rPr>
              <a:t>a</a:t>
            </a:r>
            <a:r>
              <a:rPr lang="en-US" sz="800" b="1">
                <a:solidFill>
                  <a:srgbClr val="FF0000"/>
                </a:solidFill>
                <a:latin typeface="+mn-lt"/>
              </a:rPr>
              <a:t>1</a:t>
            </a:r>
            <a:endParaRPr lang="en-US" sz="1200" b="1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0000000-0008-0000-0D00-00003C000000}"/>
              </a:ext>
            </a:extLst>
          </xdr:cNvPr>
          <xdr:cNvSpPr txBox="1"/>
        </xdr:nvSpPr>
        <xdr:spPr>
          <a:xfrm>
            <a:off x="11997138" y="1504257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a</a:t>
            </a:r>
            <a:r>
              <a:rPr lang="en-US" sz="800" b="1">
                <a:solidFill>
                  <a:srgbClr val="FF0000"/>
                </a:solidFill>
              </a:rPr>
              <a:t>2</a:t>
            </a:r>
            <a:endParaRPr 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D00-00003D000000}"/>
              </a:ext>
            </a:extLst>
          </xdr:cNvPr>
          <xdr:cNvCxnSpPr/>
        </xdr:nvCxnSpPr>
        <xdr:spPr>
          <a:xfrm flipV="1">
            <a:off x="11353800" y="1669785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D00-00003E000000}"/>
              </a:ext>
            </a:extLst>
          </xdr:cNvPr>
          <xdr:cNvCxnSpPr/>
        </xdr:nvCxnSpPr>
        <xdr:spPr>
          <a:xfrm flipV="1">
            <a:off x="11877989" y="1688140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D00-00003F000000}"/>
              </a:ext>
            </a:extLst>
          </xdr:cNvPr>
          <xdr:cNvCxnSpPr/>
        </xdr:nvCxnSpPr>
        <xdr:spPr>
          <a:xfrm flipV="1">
            <a:off x="12405174" y="1694259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D00-000040000000}"/>
              </a:ext>
            </a:extLst>
          </xdr:cNvPr>
          <xdr:cNvCxnSpPr/>
        </xdr:nvCxnSpPr>
        <xdr:spPr>
          <a:xfrm flipV="1">
            <a:off x="11098217" y="3017172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D00-000041000000}"/>
              </a:ext>
            </a:extLst>
          </xdr:cNvPr>
          <xdr:cNvCxnSpPr/>
        </xdr:nvCxnSpPr>
        <xdr:spPr>
          <a:xfrm flipV="1">
            <a:off x="12645336" y="3004983"/>
            <a:ext cx="0" cy="367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>
            <a:extLst>
              <a:ext uri="{FF2B5EF4-FFF2-40B4-BE49-F238E27FC236}">
                <a16:creationId xmlns:a16="http://schemas.microsoft.com/office/drawing/2014/main" id="{00000000-0008-0000-0D00-000042000000}"/>
              </a:ext>
            </a:extLst>
          </xdr:cNvPr>
          <xdr:cNvCxnSpPr/>
        </xdr:nvCxnSpPr>
        <xdr:spPr>
          <a:xfrm>
            <a:off x="11077575" y="3171824"/>
            <a:ext cx="1572080" cy="8829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D00-000043000000}"/>
              </a:ext>
            </a:extLst>
          </xdr:cNvPr>
          <xdr:cNvSpPr txBox="1"/>
        </xdr:nvSpPr>
        <xdr:spPr>
          <a:xfrm>
            <a:off x="11748766" y="3033938"/>
            <a:ext cx="370016" cy="36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D00-000044000000}"/>
              </a:ext>
            </a:extLst>
          </xdr:cNvPr>
          <xdr:cNvSpPr txBox="1"/>
        </xdr:nvSpPr>
        <xdr:spPr>
          <a:xfrm>
            <a:off x="12750179" y="2926616"/>
            <a:ext cx="574603" cy="364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75</a:t>
            </a:r>
          </a:p>
        </xdr:txBody>
      </xdr:sp>
    </xdr:grpSp>
    <xdr:clientData/>
  </xdr:twoCellAnchor>
  <xdr:twoCellAnchor editAs="oneCell">
    <xdr:from>
      <xdr:col>20</xdr:col>
      <xdr:colOff>412375</xdr:colOff>
      <xdr:row>87</xdr:row>
      <xdr:rowOff>119529</xdr:rowOff>
    </xdr:from>
    <xdr:to>
      <xdr:col>26</xdr:col>
      <xdr:colOff>460446</xdr:colOff>
      <xdr:row>95</xdr:row>
      <xdr:rowOff>74247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4500" y="16540629"/>
          <a:ext cx="3705671" cy="1545393"/>
        </a:xfrm>
        <a:prstGeom prst="rect">
          <a:avLst/>
        </a:prstGeom>
      </xdr:spPr>
    </xdr:pic>
    <xdr:clientData/>
  </xdr:twoCellAnchor>
  <xdr:oneCellAnchor>
    <xdr:from>
      <xdr:col>15</xdr:col>
      <xdr:colOff>394446</xdr:colOff>
      <xdr:row>94</xdr:row>
      <xdr:rowOff>44823</xdr:rowOff>
    </xdr:from>
    <xdr:ext cx="103094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 txBox="1"/>
      </xdr:nvSpPr>
      <xdr:spPr>
        <a:xfrm>
          <a:off x="10538571" y="17856573"/>
          <a:ext cx="1030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Pbf = 5/3 P </a:t>
          </a:r>
        </a:p>
      </xdr:txBody>
    </xdr:sp>
    <xdr:clientData/>
  </xdr:oneCellAnchor>
  <xdr:twoCellAnchor>
    <xdr:from>
      <xdr:col>16</xdr:col>
      <xdr:colOff>38100</xdr:colOff>
      <xdr:row>29</xdr:row>
      <xdr:rowOff>85725</xdr:rowOff>
    </xdr:from>
    <xdr:to>
      <xdr:col>20</xdr:col>
      <xdr:colOff>399700</xdr:colOff>
      <xdr:row>43</xdr:row>
      <xdr:rowOff>26381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91825" y="4667250"/>
          <a:ext cx="2800000" cy="2883881"/>
        </a:xfrm>
        <a:prstGeom prst="rect">
          <a:avLst/>
        </a:prstGeom>
      </xdr:spPr>
    </xdr:pic>
    <xdr:clientData/>
  </xdr:twoCellAnchor>
  <xdr:twoCellAnchor>
    <xdr:from>
      <xdr:col>18</xdr:col>
      <xdr:colOff>183931</xdr:colOff>
      <xdr:row>14</xdr:row>
      <xdr:rowOff>52552</xdr:rowOff>
    </xdr:from>
    <xdr:to>
      <xdr:col>18</xdr:col>
      <xdr:colOff>426983</xdr:colOff>
      <xdr:row>14</xdr:row>
      <xdr:rowOff>52552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CxnSpPr/>
      </xdr:nvCxnSpPr>
      <xdr:spPr>
        <a:xfrm flipH="1">
          <a:off x="12156856" y="2719552"/>
          <a:ext cx="2430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308927</xdr:colOff>
      <xdr:row>35</xdr:row>
      <xdr:rowOff>110466</xdr:rowOff>
    </xdr:from>
    <xdr:to>
      <xdr:col>18</xdr:col>
      <xdr:colOff>485885</xdr:colOff>
      <xdr:row>36</xdr:row>
      <xdr:rowOff>23615</xdr:rowOff>
    </xdr:to>
    <xdr:sp macro="" textlink="">
      <xdr:nvSpPr>
        <xdr:cNvPr id="73" name="Arc 23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SpPr/>
      </xdr:nvSpPr>
      <xdr:spPr>
        <a:xfrm rot="11911305">
          <a:off x="12281852" y="6006441"/>
          <a:ext cx="176958" cy="103649"/>
        </a:xfrm>
        <a:custGeom>
          <a:avLst/>
          <a:gdLst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2" fmla="*/ 187439 w 374878"/>
            <a:gd name="connsiteY2" fmla="*/ 97972 h 195943"/>
            <a:gd name="connsiteX3" fmla="*/ 226528 w 374878"/>
            <a:gd name="connsiteY3" fmla="*/ 2154 h 195943"/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0" fmla="*/ 39089 w 187439"/>
            <a:gd name="connsiteY0" fmla="*/ 7563 h 103381"/>
            <a:gd name="connsiteX1" fmla="*/ 187439 w 187439"/>
            <a:gd name="connsiteY1" fmla="*/ 103381 h 103381"/>
            <a:gd name="connsiteX2" fmla="*/ 0 w 187439"/>
            <a:gd name="connsiteY2" fmla="*/ 103381 h 103381"/>
            <a:gd name="connsiteX3" fmla="*/ 39089 w 187439"/>
            <a:gd name="connsiteY3" fmla="*/ 7563 h 103381"/>
            <a:gd name="connsiteX0" fmla="*/ 61668 w 187439"/>
            <a:gd name="connsiteY0" fmla="*/ 0 h 103381"/>
            <a:gd name="connsiteX1" fmla="*/ 187439 w 187439"/>
            <a:gd name="connsiteY1" fmla="*/ 103381 h 1033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7439" h="103381" stroke="0" extrusionOk="0">
              <a:moveTo>
                <a:pt x="39089" y="7563"/>
              </a:moveTo>
              <a:cubicBezTo>
                <a:pt x="125600" y="17205"/>
                <a:pt x="187439" y="57146"/>
                <a:pt x="187439" y="103381"/>
              </a:cubicBezTo>
              <a:lnTo>
                <a:pt x="0" y="103381"/>
              </a:lnTo>
              <a:lnTo>
                <a:pt x="39089" y="7563"/>
              </a:lnTo>
              <a:close/>
            </a:path>
            <a:path w="187439" h="103381" fill="none">
              <a:moveTo>
                <a:pt x="61668" y="0"/>
              </a:moveTo>
              <a:cubicBezTo>
                <a:pt x="148179" y="9642"/>
                <a:pt x="187439" y="57146"/>
                <a:pt x="187439" y="103381"/>
              </a:cubicBezTo>
            </a:path>
          </a:pathLst>
        </a:cu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495981</xdr:colOff>
      <xdr:row>35</xdr:row>
      <xdr:rowOff>28404</xdr:rowOff>
    </xdr:from>
    <xdr:to>
      <xdr:col>18</xdr:col>
      <xdr:colOff>495981</xdr:colOff>
      <xdr:row>36</xdr:row>
      <xdr:rowOff>95250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CxnSpPr/>
      </xdr:nvCxnSpPr>
      <xdr:spPr>
        <a:xfrm>
          <a:off x="12468906" y="5924379"/>
          <a:ext cx="0" cy="2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346643</xdr:colOff>
      <xdr:row>35</xdr:row>
      <xdr:rowOff>94740</xdr:rowOff>
    </xdr:from>
    <xdr:to>
      <xdr:col>19</xdr:col>
      <xdr:colOff>14629</xdr:colOff>
      <xdr:row>35</xdr:row>
      <xdr:rowOff>94740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CxnSpPr/>
      </xdr:nvCxnSpPr>
      <xdr:spPr>
        <a:xfrm>
          <a:off x="12319568" y="5990715"/>
          <a:ext cx="2775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472849</xdr:colOff>
      <xdr:row>35</xdr:row>
      <xdr:rowOff>40821</xdr:rowOff>
    </xdr:from>
    <xdr:to>
      <xdr:col>18</xdr:col>
      <xdr:colOff>554491</xdr:colOff>
      <xdr:row>35</xdr:row>
      <xdr:rowOff>112259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D00-00004C000000}"/>
            </a:ext>
          </a:extLst>
        </xdr:cNvPr>
        <xdr:cNvCxnSpPr/>
      </xdr:nvCxnSpPr>
      <xdr:spPr>
        <a:xfrm flipH="1">
          <a:off x="12445774" y="5936796"/>
          <a:ext cx="81642" cy="71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466045</xdr:colOff>
      <xdr:row>36</xdr:row>
      <xdr:rowOff>54428</xdr:rowOff>
    </xdr:from>
    <xdr:to>
      <xdr:col>18</xdr:col>
      <xdr:colOff>547688</xdr:colOff>
      <xdr:row>36</xdr:row>
      <xdr:rowOff>112259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D00-00004D000000}"/>
            </a:ext>
          </a:extLst>
        </xdr:cNvPr>
        <xdr:cNvCxnSpPr/>
      </xdr:nvCxnSpPr>
      <xdr:spPr>
        <a:xfrm flipH="1">
          <a:off x="12438970" y="6140903"/>
          <a:ext cx="81643" cy="57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425224</xdr:colOff>
      <xdr:row>35</xdr:row>
      <xdr:rowOff>3402</xdr:rowOff>
    </xdr:from>
    <xdr:to>
      <xdr:col>19</xdr:col>
      <xdr:colOff>173492</xdr:colOff>
      <xdr:row>36</xdr:row>
      <xdr:rowOff>112259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D00-00004E000000}"/>
            </a:ext>
          </a:extLst>
        </xdr:cNvPr>
        <xdr:cNvSpPr txBox="1"/>
      </xdr:nvSpPr>
      <xdr:spPr>
        <a:xfrm>
          <a:off x="12398149" y="5899377"/>
          <a:ext cx="35786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k</a:t>
          </a:r>
        </a:p>
      </xdr:txBody>
    </xdr:sp>
    <xdr:clientData/>
  </xdr:twoCellAnchor>
  <xdr:twoCellAnchor editAs="oneCell">
    <xdr:from>
      <xdr:col>5</xdr:col>
      <xdr:colOff>295274</xdr:colOff>
      <xdr:row>114</xdr:row>
      <xdr:rowOff>71377</xdr:rowOff>
    </xdr:from>
    <xdr:to>
      <xdr:col>10</xdr:col>
      <xdr:colOff>561974</xdr:colOff>
      <xdr:row>127</xdr:row>
      <xdr:rowOff>98082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33724" y="22131277"/>
          <a:ext cx="4162425" cy="2512730"/>
        </a:xfrm>
        <a:prstGeom prst="rect">
          <a:avLst/>
        </a:prstGeom>
      </xdr:spPr>
    </xdr:pic>
    <xdr:clientData/>
  </xdr:twoCellAnchor>
  <xdr:twoCellAnchor>
    <xdr:from>
      <xdr:col>6</xdr:col>
      <xdr:colOff>552450</xdr:colOff>
      <xdr:row>116</xdr:row>
      <xdr:rowOff>47625</xdr:rowOff>
    </xdr:from>
    <xdr:to>
      <xdr:col>7</xdr:col>
      <xdr:colOff>57151</xdr:colOff>
      <xdr:row>118</xdr:row>
      <xdr:rowOff>28576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D00-000050000000}"/>
            </a:ext>
          </a:extLst>
        </xdr:cNvPr>
        <xdr:cNvCxnSpPr/>
      </xdr:nvCxnSpPr>
      <xdr:spPr>
        <a:xfrm flipH="1" flipV="1">
          <a:off x="4238625" y="23479125"/>
          <a:ext cx="304801" cy="371476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771525</xdr:colOff>
      <xdr:row>119</xdr:row>
      <xdr:rowOff>19050</xdr:rowOff>
    </xdr:from>
    <xdr:ext cx="470642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D00-000051000000}"/>
            </a:ext>
          </a:extLst>
        </xdr:cNvPr>
        <xdr:cNvSpPr txBox="1"/>
      </xdr:nvSpPr>
      <xdr:spPr>
        <a:xfrm>
          <a:off x="4457700" y="230409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4114</a:t>
          </a:r>
        </a:p>
      </xdr:txBody>
    </xdr:sp>
    <xdr:clientData/>
  </xdr:oneCellAnchor>
  <xdr:twoCellAnchor>
    <xdr:from>
      <xdr:col>6</xdr:col>
      <xdr:colOff>542925</xdr:colOff>
      <xdr:row>123</xdr:row>
      <xdr:rowOff>123825</xdr:rowOff>
    </xdr:from>
    <xdr:to>
      <xdr:col>7</xdr:col>
      <xdr:colOff>57150</xdr:colOff>
      <xdr:row>125</xdr:row>
      <xdr:rowOff>161925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D00-000053000000}"/>
            </a:ext>
          </a:extLst>
        </xdr:cNvPr>
        <xdr:cNvCxnSpPr/>
      </xdr:nvCxnSpPr>
      <xdr:spPr>
        <a:xfrm flipV="1">
          <a:off x="4229100" y="24898350"/>
          <a:ext cx="314325" cy="419100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384810</xdr:colOff>
      <xdr:row>47</xdr:row>
      <xdr:rowOff>0</xdr:rowOff>
    </xdr:from>
    <xdr:to>
      <xdr:col>21</xdr:col>
      <xdr:colOff>480649</xdr:colOff>
      <xdr:row>60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9335" y="8372475"/>
          <a:ext cx="4363039" cy="2628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381734</xdr:colOff>
      <xdr:row>60</xdr:row>
      <xdr:rowOff>34048</xdr:rowOff>
    </xdr:from>
    <xdr:to>
      <xdr:col>21</xdr:col>
      <xdr:colOff>510292</xdr:colOff>
      <xdr:row>71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6259" y="11025898"/>
          <a:ext cx="4395758" cy="2213852"/>
        </a:xfrm>
        <a:prstGeom prst="rect">
          <a:avLst/>
        </a:prstGeom>
      </xdr:spPr>
    </xdr:pic>
    <xdr:clientData/>
  </xdr:twoCellAnchor>
  <xdr:twoCellAnchor editAs="oneCell">
    <xdr:from>
      <xdr:col>13</xdr:col>
      <xdr:colOff>387294</xdr:colOff>
      <xdr:row>72</xdr:row>
      <xdr:rowOff>30780</xdr:rowOff>
    </xdr:from>
    <xdr:to>
      <xdr:col>20</xdr:col>
      <xdr:colOff>167561</xdr:colOff>
      <xdr:row>83</xdr:row>
      <xdr:rowOff>4962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2219" y="13441980"/>
          <a:ext cx="4047467" cy="213635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87</xdr:row>
      <xdr:rowOff>105140</xdr:rowOff>
    </xdr:from>
    <xdr:to>
      <xdr:col>20</xdr:col>
      <xdr:colOff>300307</xdr:colOff>
      <xdr:row>93</xdr:row>
      <xdr:rowOff>45530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16526240"/>
          <a:ext cx="3996007" cy="114054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96</xdr:row>
      <xdr:rowOff>100858</xdr:rowOff>
    </xdr:from>
    <xdr:to>
      <xdr:col>20</xdr:col>
      <xdr:colOff>507864</xdr:colOff>
      <xdr:row>107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1185" y="18341233"/>
          <a:ext cx="4218804" cy="2223242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157</xdr:row>
      <xdr:rowOff>138374</xdr:rowOff>
    </xdr:from>
    <xdr:to>
      <xdr:col>20</xdr:col>
      <xdr:colOff>144032</xdr:colOff>
      <xdr:row>169</xdr:row>
      <xdr:rowOff>129082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7865" y="31066049"/>
          <a:ext cx="3748292" cy="2352908"/>
        </a:xfrm>
        <a:prstGeom prst="rect">
          <a:avLst/>
        </a:prstGeom>
      </xdr:spPr>
    </xdr:pic>
    <xdr:clientData/>
  </xdr:twoCellAnchor>
  <xdr:twoCellAnchor>
    <xdr:from>
      <xdr:col>1</xdr:col>
      <xdr:colOff>75726</xdr:colOff>
      <xdr:row>113</xdr:row>
      <xdr:rowOff>148689</xdr:rowOff>
    </xdr:from>
    <xdr:to>
      <xdr:col>4</xdr:col>
      <xdr:colOff>137529</xdr:colOff>
      <xdr:row>127</xdr:row>
      <xdr:rowOff>107574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pSpPr/>
      </xdr:nvGrpSpPr>
      <xdr:grpSpPr>
        <a:xfrm>
          <a:off x="447201" y="21813301"/>
          <a:ext cx="2000140" cy="2521110"/>
          <a:chOff x="407420" y="20301350"/>
          <a:chExt cx="2204368" cy="2504862"/>
        </a:xfrm>
      </xdr:grpSpPr>
      <xdr:sp macro="" textlink="">
        <xdr:nvSpPr>
          <xdr:cNvPr id="9" name="Line 37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390874" y="2057041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9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1467074" y="20585654"/>
            <a:ext cx="0" cy="18108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0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1051505" y="20596805"/>
            <a:ext cx="0" cy="188348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1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0578034"/>
            <a:ext cx="0" cy="18682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078454" y="21484814"/>
            <a:ext cx="32004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43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1459454" y="21484814"/>
            <a:ext cx="312420" cy="57374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44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390874" y="21118606"/>
            <a:ext cx="76200" cy="827890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Freeform 46">
            <a:extLst>
              <a:ext uri="{FF2B5EF4-FFF2-40B4-BE49-F238E27FC236}">
                <a16:creationId xmlns:a16="http://schemas.microsoft.com/office/drawing/2014/main" id="{00000000-0008-0000-0E00-000010000000}"/>
              </a:ext>
            </a:extLst>
          </xdr:cNvPr>
          <xdr:cNvSpPr>
            <a:spLocks/>
          </xdr:cNvSpPr>
        </xdr:nvSpPr>
        <xdr:spPr bwMode="auto">
          <a:xfrm>
            <a:off x="971774" y="20524694"/>
            <a:ext cx="899160" cy="133574"/>
          </a:xfrm>
          <a:custGeom>
            <a:avLst/>
            <a:gdLst>
              <a:gd name="T0" fmla="*/ 0 w 94"/>
              <a:gd name="T1" fmla="*/ 2147483647 h 12"/>
              <a:gd name="T2" fmla="*/ 2147483647 w 94"/>
              <a:gd name="T3" fmla="*/ 2147483647 h 12"/>
              <a:gd name="T4" fmla="*/ 2147483647 w 94"/>
              <a:gd name="T5" fmla="*/ 2147483647 h 12"/>
              <a:gd name="T6" fmla="*/ 2147483647 w 94"/>
              <a:gd name="T7" fmla="*/ 2147483647 h 12"/>
              <a:gd name="T8" fmla="*/ 0 60000 65536"/>
              <a:gd name="T9" fmla="*/ 0 60000 65536"/>
              <a:gd name="T10" fmla="*/ 0 60000 65536"/>
              <a:gd name="T11" fmla="*/ 0 60000 65536"/>
              <a:gd name="T12" fmla="*/ 0 w 94"/>
              <a:gd name="T13" fmla="*/ 0 h 12"/>
              <a:gd name="T14" fmla="*/ 94 w 94"/>
              <a:gd name="T15" fmla="*/ 12 h 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4" h="12">
                <a:moveTo>
                  <a:pt x="0" y="8"/>
                </a:moveTo>
                <a:cubicBezTo>
                  <a:pt x="13" y="4"/>
                  <a:pt x="27" y="0"/>
                  <a:pt x="38" y="1"/>
                </a:cubicBezTo>
                <a:cubicBezTo>
                  <a:pt x="49" y="2"/>
                  <a:pt x="55" y="12"/>
                  <a:pt x="64" y="12"/>
                </a:cubicBezTo>
                <a:cubicBezTo>
                  <a:pt x="73" y="12"/>
                  <a:pt x="83" y="6"/>
                  <a:pt x="94" y="1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" name="Freeform 47">
            <a:extLst>
              <a:ext uri="{FF2B5EF4-FFF2-40B4-BE49-F238E27FC236}">
                <a16:creationId xmlns:a16="http://schemas.microsoft.com/office/drawing/2014/main" id="{00000000-0008-0000-0E00-000011000000}"/>
              </a:ext>
            </a:extLst>
          </xdr:cNvPr>
          <xdr:cNvSpPr>
            <a:spLocks/>
          </xdr:cNvSpPr>
        </xdr:nvSpPr>
        <xdr:spPr bwMode="auto">
          <a:xfrm>
            <a:off x="979394" y="22396525"/>
            <a:ext cx="883920" cy="87854"/>
          </a:xfrm>
          <a:custGeom>
            <a:avLst/>
            <a:gdLst>
              <a:gd name="T0" fmla="*/ 0 w 92"/>
              <a:gd name="T1" fmla="*/ 2147483647 h 8"/>
              <a:gd name="T2" fmla="*/ 2147483647 w 92"/>
              <a:gd name="T3" fmla="*/ 0 h 8"/>
              <a:gd name="T4" fmla="*/ 2147483647 w 92"/>
              <a:gd name="T5" fmla="*/ 2147483647 h 8"/>
              <a:gd name="T6" fmla="*/ 2147483647 w 92"/>
              <a:gd name="T7" fmla="*/ 0 h 8"/>
              <a:gd name="T8" fmla="*/ 0 60000 65536"/>
              <a:gd name="T9" fmla="*/ 0 60000 65536"/>
              <a:gd name="T10" fmla="*/ 0 60000 65536"/>
              <a:gd name="T11" fmla="*/ 0 60000 65536"/>
              <a:gd name="T12" fmla="*/ 0 w 92"/>
              <a:gd name="T13" fmla="*/ 0 h 8"/>
              <a:gd name="T14" fmla="*/ 92 w 92"/>
              <a:gd name="T15" fmla="*/ 8 h 8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92" h="8">
                <a:moveTo>
                  <a:pt x="0" y="7"/>
                </a:moveTo>
                <a:cubicBezTo>
                  <a:pt x="14" y="3"/>
                  <a:pt x="29" y="0"/>
                  <a:pt x="41" y="0"/>
                </a:cubicBezTo>
                <a:cubicBezTo>
                  <a:pt x="53" y="0"/>
                  <a:pt x="65" y="8"/>
                  <a:pt x="73" y="8"/>
                </a:cubicBezTo>
                <a:cubicBezTo>
                  <a:pt x="81" y="8"/>
                  <a:pt x="86" y="4"/>
                  <a:pt x="92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dash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" name="Line 48">
            <a:extLst>
              <a:ext uri="{FF2B5EF4-FFF2-40B4-BE49-F238E27FC236}">
                <a16:creationId xmlns:a16="http://schemas.microsoft.com/office/drawing/2014/main" id="{00000000-0008-0000-0E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1113023" y="20904159"/>
            <a:ext cx="274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50">
            <a:extLst>
              <a:ext uri="{FF2B5EF4-FFF2-40B4-BE49-F238E27FC236}">
                <a16:creationId xmlns:a16="http://schemas.microsoft.com/office/drawing/2014/main" id="{00000000-0008-0000-0E00-000013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3543" y="20903634"/>
            <a:ext cx="2590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51">
            <a:extLst>
              <a:ext uri="{FF2B5EF4-FFF2-40B4-BE49-F238E27FC236}">
                <a16:creationId xmlns:a16="http://schemas.microsoft.com/office/drawing/2014/main" id="{00000000-0008-0000-0E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1040354" y="22545339"/>
            <a:ext cx="0" cy="2608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52">
            <a:extLst>
              <a:ext uri="{FF2B5EF4-FFF2-40B4-BE49-F238E27FC236}">
                <a16:creationId xmlns:a16="http://schemas.microsoft.com/office/drawing/2014/main" id="{00000000-0008-0000-0E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1817594" y="22507239"/>
            <a:ext cx="0" cy="29897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53">
            <a:extLst>
              <a:ext uri="{FF2B5EF4-FFF2-40B4-BE49-F238E27FC236}">
                <a16:creationId xmlns:a16="http://schemas.microsoft.com/office/drawing/2014/main" id="{00000000-0008-0000-0E00-000016000000}"/>
              </a:ext>
            </a:extLst>
          </xdr:cNvPr>
          <xdr:cNvSpPr>
            <a:spLocks noChangeShapeType="1"/>
          </xdr:cNvSpPr>
        </xdr:nvSpPr>
        <xdr:spPr bwMode="auto">
          <a:xfrm>
            <a:off x="1025114" y="22613919"/>
            <a:ext cx="777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56">
            <a:extLst>
              <a:ext uri="{FF2B5EF4-FFF2-40B4-BE49-F238E27FC236}">
                <a16:creationId xmlns:a16="http://schemas.microsoft.com/office/drawing/2014/main" id="{00000000-0008-0000-0E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1520414" y="21118606"/>
            <a:ext cx="109100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Line 57">
            <a:extLst>
              <a:ext uri="{FF2B5EF4-FFF2-40B4-BE49-F238E27FC236}">
                <a16:creationId xmlns:a16="http://schemas.microsoft.com/office/drawing/2014/main" id="{00000000-0008-0000-0E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1512794" y="21946496"/>
            <a:ext cx="109862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Line 58">
            <a:extLst>
              <a:ext uri="{FF2B5EF4-FFF2-40B4-BE49-F238E27FC236}">
                <a16:creationId xmlns:a16="http://schemas.microsoft.com/office/drawing/2014/main" id="{00000000-0008-0000-0E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2481879" y="21118606"/>
            <a:ext cx="0" cy="8278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59">
            <a:extLst>
              <a:ext uri="{FF2B5EF4-FFF2-40B4-BE49-F238E27FC236}">
                <a16:creationId xmlns:a16="http://schemas.microsoft.com/office/drawing/2014/main" id="{00000000-0008-0000-0E00-00001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78454" y="20925373"/>
            <a:ext cx="4088" cy="5670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60">
            <a:extLst>
              <a:ext uri="{FF2B5EF4-FFF2-40B4-BE49-F238E27FC236}">
                <a16:creationId xmlns:a16="http://schemas.microsoft.com/office/drawing/2014/main" id="{00000000-0008-0000-0E00-00001B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082171" y="21069435"/>
            <a:ext cx="1981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61">
            <a:extLst>
              <a:ext uri="{FF2B5EF4-FFF2-40B4-BE49-F238E27FC236}">
                <a16:creationId xmlns:a16="http://schemas.microsoft.com/office/drawing/2014/main" id="{00000000-0008-0000-0E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732023" y="21067132"/>
            <a:ext cx="2971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" name="Line 62">
            <a:extLst>
              <a:ext uri="{FF2B5EF4-FFF2-40B4-BE49-F238E27FC236}">
                <a16:creationId xmlns:a16="http://schemas.microsoft.com/office/drawing/2014/main" id="{00000000-0008-0000-0E00-00001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31555" y="20305986"/>
            <a:ext cx="3725" cy="12389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" name="Line 63">
            <a:extLst>
              <a:ext uri="{FF2B5EF4-FFF2-40B4-BE49-F238E27FC236}">
                <a16:creationId xmlns:a16="http://schemas.microsoft.com/office/drawing/2014/main" id="{00000000-0008-0000-0E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1359670" y="21511312"/>
            <a:ext cx="830007" cy="72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Rectangle 42">
            <a:extLst>
              <a:ext uri="{FF2B5EF4-FFF2-40B4-BE49-F238E27FC236}">
                <a16:creationId xmlns:a16="http://schemas.microsoft.com/office/drawing/2014/main" id="{00000000-0008-0000-0E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077929" y="21188856"/>
            <a:ext cx="315122" cy="68223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Rectangle 43">
            <a:extLst>
              <a:ext uri="{FF2B5EF4-FFF2-40B4-BE49-F238E27FC236}">
                <a16:creationId xmlns:a16="http://schemas.microsoft.com/office/drawing/2014/main" id="{00000000-0008-0000-0E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1466363" y="21188856"/>
            <a:ext cx="312420" cy="62011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" name="Rectangle 42">
            <a:extLst>
              <a:ext uri="{FF2B5EF4-FFF2-40B4-BE49-F238E27FC236}">
                <a16:creationId xmlns:a16="http://schemas.microsoft.com/office/drawing/2014/main" id="{00000000-0008-0000-0E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1071391" y="21818126"/>
            <a:ext cx="32004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4" name="Rectangle 43">
            <a:extLst>
              <a:ext uri="{FF2B5EF4-FFF2-40B4-BE49-F238E27FC236}">
                <a16:creationId xmlns:a16="http://schemas.microsoft.com/office/drawing/2014/main" id="{00000000-0008-0000-0E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467259" y="21818126"/>
            <a:ext cx="312420" cy="60216"/>
          </a:xfrm>
          <a:prstGeom prst="rec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E00-000023000000}"/>
              </a:ext>
            </a:extLst>
          </xdr:cNvPr>
          <xdr:cNvSpPr txBox="1"/>
        </xdr:nvSpPr>
        <xdr:spPr>
          <a:xfrm>
            <a:off x="784687" y="21098900"/>
            <a:ext cx="412629" cy="2143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S3</a:t>
            </a:r>
            <a:endParaRPr lang="en-US" sz="6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E00-000024000000}"/>
              </a:ext>
            </a:extLst>
          </xdr:cNvPr>
          <xdr:cNvSpPr txBox="1"/>
        </xdr:nvSpPr>
        <xdr:spPr>
          <a:xfrm>
            <a:off x="783641" y="21723945"/>
            <a:ext cx="441676" cy="231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S1</a:t>
            </a:r>
            <a:endParaRPr lang="en-US" sz="6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E00-000025000000}"/>
              </a:ext>
            </a:extLst>
          </xdr:cNvPr>
          <xdr:cNvSpPr txBox="1"/>
        </xdr:nvSpPr>
        <xdr:spPr>
          <a:xfrm>
            <a:off x="780096" y="21411422"/>
            <a:ext cx="392817" cy="205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S2</a:t>
            </a:r>
            <a:endParaRPr lang="en-US" sz="600"/>
          </a:p>
        </xdr:txBody>
      </xdr: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E00-000026000000}"/>
              </a:ext>
            </a:extLst>
          </xdr:cNvPr>
          <xdr:cNvCxnSpPr/>
        </xdr:nvCxnSpPr>
        <xdr:spPr>
          <a:xfrm flipV="1">
            <a:off x="632533" y="21526551"/>
            <a:ext cx="27432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E00-000027000000}"/>
              </a:ext>
            </a:extLst>
          </xdr:cNvPr>
          <xdr:cNvCxnSpPr/>
        </xdr:nvCxnSpPr>
        <xdr:spPr>
          <a:xfrm flipV="1">
            <a:off x="418286" y="21225163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Line 58">
            <a:extLst>
              <a:ext uri="{FF2B5EF4-FFF2-40B4-BE49-F238E27FC236}">
                <a16:creationId xmlns:a16="http://schemas.microsoft.com/office/drawing/2014/main" id="{00000000-0008-0000-0E00-000028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78535" y="21539541"/>
            <a:ext cx="2986" cy="3185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E00-000029000000}"/>
              </a:ext>
            </a:extLst>
          </xdr:cNvPr>
          <xdr:cNvSpPr txBox="1"/>
        </xdr:nvSpPr>
        <xdr:spPr>
          <a:xfrm>
            <a:off x="628969" y="21557354"/>
            <a:ext cx="325582" cy="248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1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E00-00002A000000}"/>
              </a:ext>
            </a:extLst>
          </xdr:cNvPr>
          <xdr:cNvSpPr txBox="1"/>
        </xdr:nvSpPr>
        <xdr:spPr>
          <a:xfrm>
            <a:off x="636613" y="21253111"/>
            <a:ext cx="325582" cy="2485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</a:t>
            </a:r>
            <a:r>
              <a:rPr lang="en-US" sz="600"/>
              <a:t>2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E00-00002B000000}"/>
              </a:ext>
            </a:extLst>
          </xdr:cNvPr>
          <xdr:cNvSpPr txBox="1"/>
        </xdr:nvSpPr>
        <xdr:spPr>
          <a:xfrm>
            <a:off x="2140368" y="21378211"/>
            <a:ext cx="471420" cy="240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x</a:t>
            </a:r>
            <a:endParaRPr lang="en-US" sz="600"/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E00-00002C000000}"/>
              </a:ext>
            </a:extLst>
          </xdr:cNvPr>
          <xdr:cNvSpPr txBox="1"/>
        </xdr:nvSpPr>
        <xdr:spPr>
          <a:xfrm>
            <a:off x="1390766" y="20301350"/>
            <a:ext cx="467710" cy="226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y</a:t>
            </a:r>
            <a:endParaRPr lang="en-US" sz="600"/>
          </a:p>
        </xdr:txBody>
      </xdr:sp>
      <xdr:sp macro="" textlink="">
        <xdr:nvSpPr>
          <xdr:cNvPr id="45" name="Line 58">
            <a:extLst>
              <a:ext uri="{FF2B5EF4-FFF2-40B4-BE49-F238E27FC236}">
                <a16:creationId xmlns:a16="http://schemas.microsoft.com/office/drawing/2014/main" id="{00000000-0008-0000-0E00-00002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89046" y="21213102"/>
            <a:ext cx="2986" cy="3232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sm" len="lg"/>
            <a:tailEnd type="stealth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E00-00002E000000}"/>
              </a:ext>
            </a:extLst>
          </xdr:cNvPr>
          <xdr:cNvCxnSpPr/>
        </xdr:nvCxnSpPr>
        <xdr:spPr>
          <a:xfrm flipV="1">
            <a:off x="407420" y="21858356"/>
            <a:ext cx="457200" cy="190"/>
          </a:xfrm>
          <a:prstGeom prst="line">
            <a:avLst/>
          </a:prstGeom>
          <a:ln w="6350">
            <a:solidFill>
              <a:schemeClr val="tx1"/>
            </a:solidFill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114300</xdr:colOff>
      <xdr:row>0</xdr:row>
      <xdr:rowOff>123825</xdr:rowOff>
    </xdr:from>
    <xdr:ext cx="1123950" cy="742950"/>
    <xdr:pic>
      <xdr:nvPicPr>
        <xdr:cNvPr id="47" name="Picture 57" descr="BR_JPEG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23825"/>
          <a:ext cx="1123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535081</xdr:colOff>
      <xdr:row>0</xdr:row>
      <xdr:rowOff>131109</xdr:rowOff>
    </xdr:from>
    <xdr:ext cx="2046194" cy="571500"/>
    <xdr:pic>
      <xdr:nvPicPr>
        <xdr:cNvPr id="48" name="Picture 60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8206" y="131109"/>
          <a:ext cx="2046194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562872</xdr:colOff>
      <xdr:row>0</xdr:row>
      <xdr:rowOff>50090</xdr:rowOff>
    </xdr:from>
    <xdr:to>
      <xdr:col>10</xdr:col>
      <xdr:colOff>28576</xdr:colOff>
      <xdr:row>4</xdr:row>
      <xdr:rowOff>52915</xdr:rowOff>
    </xdr:to>
    <xdr:pic>
      <xdr:nvPicPr>
        <xdr:cNvPr id="49" name="Picture 61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2097" y="50090"/>
          <a:ext cx="970654" cy="76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35</xdr:col>
      <xdr:colOff>608134</xdr:colOff>
      <xdr:row>31</xdr:row>
      <xdr:rowOff>49539</xdr:rowOff>
    </xdr:to>
    <xdr:pic>
      <xdr:nvPicPr>
        <xdr:cNvPr id="50" name="Picture 1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325" y="1905000"/>
          <a:ext cx="5486400" cy="4316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38099</xdr:colOff>
      <xdr:row>41</xdr:row>
      <xdr:rowOff>116971</xdr:rowOff>
    </xdr:from>
    <xdr:to>
      <xdr:col>36</xdr:col>
      <xdr:colOff>54428</xdr:colOff>
      <xdr:row>61</xdr:row>
      <xdr:rowOff>165994</xdr:rowOff>
    </xdr:to>
    <xdr:pic>
      <xdr:nvPicPr>
        <xdr:cNvPr id="51" name="Picture 2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4" y="7232146"/>
          <a:ext cx="5502729" cy="4154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432683</xdr:colOff>
      <xdr:row>4</xdr:row>
      <xdr:rowOff>129467</xdr:rowOff>
    </xdr:from>
    <xdr:to>
      <xdr:col>21</xdr:col>
      <xdr:colOff>361950</xdr:colOff>
      <xdr:row>26</xdr:row>
      <xdr:rowOff>123825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GrpSpPr/>
      </xdr:nvGrpSpPr>
      <xdr:grpSpPr>
        <a:xfrm>
          <a:off x="10029120" y="820029"/>
          <a:ext cx="5106105" cy="4152021"/>
          <a:chOff x="9309983" y="891467"/>
          <a:chExt cx="5921525" cy="4071189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E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309983" y="891467"/>
            <a:ext cx="5921525" cy="4071189"/>
          </a:xfrm>
          <a:prstGeom prst="rect">
            <a:avLst/>
          </a:prstGeom>
        </xdr:spPr>
      </xdr:pic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E00-000036000000}"/>
              </a:ext>
            </a:extLst>
          </xdr:cNvPr>
          <xdr:cNvCxnSpPr/>
        </xdr:nvCxnSpPr>
        <xdr:spPr>
          <a:xfrm flipV="1">
            <a:off x="11357742" y="1657226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E00-000037000000}"/>
              </a:ext>
            </a:extLst>
          </xdr:cNvPr>
          <xdr:cNvCxnSpPr/>
        </xdr:nvCxnSpPr>
        <xdr:spPr>
          <a:xfrm flipV="1">
            <a:off x="11881931" y="1675581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E00-000038000000}"/>
              </a:ext>
            </a:extLst>
          </xdr:cNvPr>
          <xdr:cNvCxnSpPr/>
        </xdr:nvCxnSpPr>
        <xdr:spPr>
          <a:xfrm flipV="1">
            <a:off x="12409115" y="1681700"/>
            <a:ext cx="0" cy="3671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E00-000039000000}"/>
              </a:ext>
            </a:extLst>
          </xdr:cNvPr>
          <xdr:cNvCxnSpPr/>
        </xdr:nvCxnSpPr>
        <xdr:spPr>
          <a:xfrm flipV="1">
            <a:off x="11355668" y="1823898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00000000-0008-0000-0E00-00003A000000}"/>
              </a:ext>
            </a:extLst>
          </xdr:cNvPr>
          <xdr:cNvCxnSpPr/>
        </xdr:nvCxnSpPr>
        <xdr:spPr>
          <a:xfrm flipV="1">
            <a:off x="11891839" y="1827079"/>
            <a:ext cx="524189" cy="1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E00-00003B000000}"/>
              </a:ext>
            </a:extLst>
          </xdr:cNvPr>
          <xdr:cNvSpPr txBox="1"/>
        </xdr:nvSpPr>
        <xdr:spPr>
          <a:xfrm>
            <a:off x="11466849" y="1485901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  <a:latin typeface="+mn-lt"/>
              </a:rPr>
              <a:t>a</a:t>
            </a:r>
            <a:r>
              <a:rPr lang="en-US" sz="800" b="1">
                <a:solidFill>
                  <a:srgbClr val="FF0000"/>
                </a:solidFill>
                <a:latin typeface="+mn-lt"/>
              </a:rPr>
              <a:t>1</a:t>
            </a:r>
            <a:endParaRPr lang="en-US" sz="1200" b="1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0000000-0008-0000-0E00-00003C000000}"/>
              </a:ext>
            </a:extLst>
          </xdr:cNvPr>
          <xdr:cNvSpPr txBox="1"/>
        </xdr:nvSpPr>
        <xdr:spPr>
          <a:xfrm>
            <a:off x="11997138" y="1504257"/>
            <a:ext cx="368999" cy="2936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a</a:t>
            </a:r>
            <a:r>
              <a:rPr lang="en-US" sz="800" b="1">
                <a:solidFill>
                  <a:srgbClr val="FF0000"/>
                </a:solidFill>
              </a:rPr>
              <a:t>2</a:t>
            </a:r>
            <a:endParaRPr 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E00-00003D000000}"/>
              </a:ext>
            </a:extLst>
          </xdr:cNvPr>
          <xdr:cNvCxnSpPr/>
        </xdr:nvCxnSpPr>
        <xdr:spPr>
          <a:xfrm flipV="1">
            <a:off x="11353800" y="1669785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E00-00003E000000}"/>
              </a:ext>
            </a:extLst>
          </xdr:cNvPr>
          <xdr:cNvCxnSpPr/>
        </xdr:nvCxnSpPr>
        <xdr:spPr>
          <a:xfrm flipV="1">
            <a:off x="11877989" y="1688140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E00-00003F000000}"/>
              </a:ext>
            </a:extLst>
          </xdr:cNvPr>
          <xdr:cNvCxnSpPr/>
        </xdr:nvCxnSpPr>
        <xdr:spPr>
          <a:xfrm flipV="1">
            <a:off x="12405174" y="1694259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E00-000040000000}"/>
              </a:ext>
            </a:extLst>
          </xdr:cNvPr>
          <xdr:cNvCxnSpPr/>
        </xdr:nvCxnSpPr>
        <xdr:spPr>
          <a:xfrm flipV="1">
            <a:off x="11098217" y="3017172"/>
            <a:ext cx="0" cy="36712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E00-000041000000}"/>
              </a:ext>
            </a:extLst>
          </xdr:cNvPr>
          <xdr:cNvCxnSpPr/>
        </xdr:nvCxnSpPr>
        <xdr:spPr>
          <a:xfrm flipV="1">
            <a:off x="12645336" y="3004983"/>
            <a:ext cx="0" cy="367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>
            <a:extLst>
              <a:ext uri="{FF2B5EF4-FFF2-40B4-BE49-F238E27FC236}">
                <a16:creationId xmlns:a16="http://schemas.microsoft.com/office/drawing/2014/main" id="{00000000-0008-0000-0E00-000042000000}"/>
              </a:ext>
            </a:extLst>
          </xdr:cNvPr>
          <xdr:cNvCxnSpPr/>
        </xdr:nvCxnSpPr>
        <xdr:spPr>
          <a:xfrm>
            <a:off x="11077575" y="3171824"/>
            <a:ext cx="1572080" cy="8829"/>
          </a:xfrm>
          <a:prstGeom prst="straightConnector1">
            <a:avLst/>
          </a:prstGeom>
          <a:ln w="15875">
            <a:solidFill>
              <a:srgbClr val="FF0000"/>
            </a:solidFill>
            <a:headEnd type="stealt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E00-000043000000}"/>
              </a:ext>
            </a:extLst>
          </xdr:cNvPr>
          <xdr:cNvSpPr txBox="1"/>
        </xdr:nvSpPr>
        <xdr:spPr>
          <a:xfrm>
            <a:off x="11748766" y="3033938"/>
            <a:ext cx="370016" cy="3646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E00-000044000000}"/>
              </a:ext>
            </a:extLst>
          </xdr:cNvPr>
          <xdr:cNvSpPr txBox="1"/>
        </xdr:nvSpPr>
        <xdr:spPr>
          <a:xfrm>
            <a:off x="12750179" y="2926616"/>
            <a:ext cx="574603" cy="364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75</a:t>
            </a:r>
          </a:p>
        </xdr:txBody>
      </xdr:sp>
    </xdr:grpSp>
    <xdr:clientData/>
  </xdr:twoCellAnchor>
  <xdr:twoCellAnchor editAs="oneCell">
    <xdr:from>
      <xdr:col>20</xdr:col>
      <xdr:colOff>412375</xdr:colOff>
      <xdr:row>87</xdr:row>
      <xdr:rowOff>119529</xdr:rowOff>
    </xdr:from>
    <xdr:to>
      <xdr:col>26</xdr:col>
      <xdr:colOff>460446</xdr:colOff>
      <xdr:row>95</xdr:row>
      <xdr:rowOff>74247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4500" y="16540629"/>
          <a:ext cx="3705671" cy="1545393"/>
        </a:xfrm>
        <a:prstGeom prst="rect">
          <a:avLst/>
        </a:prstGeom>
      </xdr:spPr>
    </xdr:pic>
    <xdr:clientData/>
  </xdr:twoCellAnchor>
  <xdr:oneCellAnchor>
    <xdr:from>
      <xdr:col>15</xdr:col>
      <xdr:colOff>394446</xdr:colOff>
      <xdr:row>94</xdr:row>
      <xdr:rowOff>44823</xdr:rowOff>
    </xdr:from>
    <xdr:ext cx="103094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SpPr txBox="1"/>
      </xdr:nvSpPr>
      <xdr:spPr>
        <a:xfrm>
          <a:off x="10538571" y="17856573"/>
          <a:ext cx="1030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Pbf = 5/3 P </a:t>
          </a:r>
        </a:p>
      </xdr:txBody>
    </xdr:sp>
    <xdr:clientData/>
  </xdr:oneCellAnchor>
  <xdr:twoCellAnchor>
    <xdr:from>
      <xdr:col>16</xdr:col>
      <xdr:colOff>38100</xdr:colOff>
      <xdr:row>29</xdr:row>
      <xdr:rowOff>85725</xdr:rowOff>
    </xdr:from>
    <xdr:to>
      <xdr:col>20</xdr:col>
      <xdr:colOff>399700</xdr:colOff>
      <xdr:row>43</xdr:row>
      <xdr:rowOff>26381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91825" y="4667250"/>
          <a:ext cx="2800000" cy="2883881"/>
        </a:xfrm>
        <a:prstGeom prst="rect">
          <a:avLst/>
        </a:prstGeom>
      </xdr:spPr>
    </xdr:pic>
    <xdr:clientData/>
  </xdr:twoCellAnchor>
  <xdr:twoCellAnchor>
    <xdr:from>
      <xdr:col>18</xdr:col>
      <xdr:colOff>183931</xdr:colOff>
      <xdr:row>14</xdr:row>
      <xdr:rowOff>52552</xdr:rowOff>
    </xdr:from>
    <xdr:to>
      <xdr:col>18</xdr:col>
      <xdr:colOff>426983</xdr:colOff>
      <xdr:row>14</xdr:row>
      <xdr:rowOff>52552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CxnSpPr/>
      </xdr:nvCxnSpPr>
      <xdr:spPr>
        <a:xfrm flipH="1">
          <a:off x="12156856" y="2719552"/>
          <a:ext cx="2430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308927</xdr:colOff>
      <xdr:row>35</xdr:row>
      <xdr:rowOff>110466</xdr:rowOff>
    </xdr:from>
    <xdr:to>
      <xdr:col>18</xdr:col>
      <xdr:colOff>485885</xdr:colOff>
      <xdr:row>36</xdr:row>
      <xdr:rowOff>23615</xdr:rowOff>
    </xdr:to>
    <xdr:sp macro="" textlink="">
      <xdr:nvSpPr>
        <xdr:cNvPr id="73" name="Arc 23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/>
      </xdr:nvSpPr>
      <xdr:spPr>
        <a:xfrm rot="11911305">
          <a:off x="12281852" y="6006441"/>
          <a:ext cx="176958" cy="103649"/>
        </a:xfrm>
        <a:custGeom>
          <a:avLst/>
          <a:gdLst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2" fmla="*/ 187439 w 374878"/>
            <a:gd name="connsiteY2" fmla="*/ 97972 h 195943"/>
            <a:gd name="connsiteX3" fmla="*/ 226528 w 374878"/>
            <a:gd name="connsiteY3" fmla="*/ 2154 h 195943"/>
            <a:gd name="connsiteX0" fmla="*/ 226528 w 374878"/>
            <a:gd name="connsiteY0" fmla="*/ 2154 h 195943"/>
            <a:gd name="connsiteX1" fmla="*/ 374878 w 374878"/>
            <a:gd name="connsiteY1" fmla="*/ 97972 h 195943"/>
            <a:gd name="connsiteX0" fmla="*/ 39089 w 187439"/>
            <a:gd name="connsiteY0" fmla="*/ 7563 h 103381"/>
            <a:gd name="connsiteX1" fmla="*/ 187439 w 187439"/>
            <a:gd name="connsiteY1" fmla="*/ 103381 h 103381"/>
            <a:gd name="connsiteX2" fmla="*/ 0 w 187439"/>
            <a:gd name="connsiteY2" fmla="*/ 103381 h 103381"/>
            <a:gd name="connsiteX3" fmla="*/ 39089 w 187439"/>
            <a:gd name="connsiteY3" fmla="*/ 7563 h 103381"/>
            <a:gd name="connsiteX0" fmla="*/ 61668 w 187439"/>
            <a:gd name="connsiteY0" fmla="*/ 0 h 103381"/>
            <a:gd name="connsiteX1" fmla="*/ 187439 w 187439"/>
            <a:gd name="connsiteY1" fmla="*/ 103381 h 1033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7439" h="103381" stroke="0" extrusionOk="0">
              <a:moveTo>
                <a:pt x="39089" y="7563"/>
              </a:moveTo>
              <a:cubicBezTo>
                <a:pt x="125600" y="17205"/>
                <a:pt x="187439" y="57146"/>
                <a:pt x="187439" y="103381"/>
              </a:cubicBezTo>
              <a:lnTo>
                <a:pt x="0" y="103381"/>
              </a:lnTo>
              <a:lnTo>
                <a:pt x="39089" y="7563"/>
              </a:lnTo>
              <a:close/>
            </a:path>
            <a:path w="187439" h="103381" fill="none">
              <a:moveTo>
                <a:pt x="61668" y="0"/>
              </a:moveTo>
              <a:cubicBezTo>
                <a:pt x="148179" y="9642"/>
                <a:pt x="187439" y="57146"/>
                <a:pt x="187439" y="103381"/>
              </a:cubicBezTo>
            </a:path>
          </a:pathLst>
        </a:cu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495981</xdr:colOff>
      <xdr:row>35</xdr:row>
      <xdr:rowOff>28404</xdr:rowOff>
    </xdr:from>
    <xdr:to>
      <xdr:col>18</xdr:col>
      <xdr:colOff>495981</xdr:colOff>
      <xdr:row>36</xdr:row>
      <xdr:rowOff>95250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CxnSpPr/>
      </xdr:nvCxnSpPr>
      <xdr:spPr>
        <a:xfrm>
          <a:off x="12468906" y="5924379"/>
          <a:ext cx="0" cy="2573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346643</xdr:colOff>
      <xdr:row>35</xdr:row>
      <xdr:rowOff>94740</xdr:rowOff>
    </xdr:from>
    <xdr:to>
      <xdr:col>19</xdr:col>
      <xdr:colOff>14629</xdr:colOff>
      <xdr:row>35</xdr:row>
      <xdr:rowOff>94740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E00-00004B000000}"/>
            </a:ext>
          </a:extLst>
        </xdr:cNvPr>
        <xdr:cNvCxnSpPr/>
      </xdr:nvCxnSpPr>
      <xdr:spPr>
        <a:xfrm>
          <a:off x="12319568" y="5990715"/>
          <a:ext cx="27758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472849</xdr:colOff>
      <xdr:row>35</xdr:row>
      <xdr:rowOff>40821</xdr:rowOff>
    </xdr:from>
    <xdr:to>
      <xdr:col>18</xdr:col>
      <xdr:colOff>554491</xdr:colOff>
      <xdr:row>35</xdr:row>
      <xdr:rowOff>112259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E00-00004C000000}"/>
            </a:ext>
          </a:extLst>
        </xdr:cNvPr>
        <xdr:cNvCxnSpPr/>
      </xdr:nvCxnSpPr>
      <xdr:spPr>
        <a:xfrm flipH="1">
          <a:off x="12445774" y="5936796"/>
          <a:ext cx="81642" cy="714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466045</xdr:colOff>
      <xdr:row>36</xdr:row>
      <xdr:rowOff>54428</xdr:rowOff>
    </xdr:from>
    <xdr:to>
      <xdr:col>18</xdr:col>
      <xdr:colOff>547688</xdr:colOff>
      <xdr:row>36</xdr:row>
      <xdr:rowOff>112259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E00-00004D000000}"/>
            </a:ext>
          </a:extLst>
        </xdr:cNvPr>
        <xdr:cNvCxnSpPr/>
      </xdr:nvCxnSpPr>
      <xdr:spPr>
        <a:xfrm flipH="1">
          <a:off x="12438970" y="6140903"/>
          <a:ext cx="81643" cy="57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425224</xdr:colOff>
      <xdr:row>35</xdr:row>
      <xdr:rowOff>3402</xdr:rowOff>
    </xdr:from>
    <xdr:to>
      <xdr:col>19</xdr:col>
      <xdr:colOff>173492</xdr:colOff>
      <xdr:row>36</xdr:row>
      <xdr:rowOff>112259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 txBox="1"/>
      </xdr:nvSpPr>
      <xdr:spPr>
        <a:xfrm>
          <a:off x="12398149" y="5899377"/>
          <a:ext cx="35786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k</a:t>
          </a:r>
        </a:p>
      </xdr:txBody>
    </xdr:sp>
    <xdr:clientData/>
  </xdr:twoCellAnchor>
  <xdr:twoCellAnchor editAs="oneCell">
    <xdr:from>
      <xdr:col>5</xdr:col>
      <xdr:colOff>123825</xdr:colOff>
      <xdr:row>114</xdr:row>
      <xdr:rowOff>95250</xdr:rowOff>
    </xdr:from>
    <xdr:to>
      <xdr:col>10</xdr:col>
      <xdr:colOff>485243</xdr:colOff>
      <xdr:row>127</xdr:row>
      <xdr:rowOff>171130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62275" y="22155150"/>
          <a:ext cx="4257143" cy="2561905"/>
        </a:xfrm>
        <a:prstGeom prst="rect">
          <a:avLst/>
        </a:prstGeom>
      </xdr:spPr>
    </xdr:pic>
    <xdr:clientData/>
  </xdr:twoCellAnchor>
  <xdr:twoCellAnchor>
    <xdr:from>
      <xdr:col>6</xdr:col>
      <xdr:colOff>371475</xdr:colOff>
      <xdr:row>116</xdr:row>
      <xdr:rowOff>9525</xdr:rowOff>
    </xdr:from>
    <xdr:to>
      <xdr:col>6</xdr:col>
      <xdr:colOff>685800</xdr:colOff>
      <xdr:row>118</xdr:row>
      <xdr:rowOff>28575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CxnSpPr/>
      </xdr:nvCxnSpPr>
      <xdr:spPr>
        <a:xfrm>
          <a:off x="4057650" y="22450425"/>
          <a:ext cx="314325" cy="40957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638175</xdr:colOff>
      <xdr:row>119</xdr:row>
      <xdr:rowOff>57150</xdr:rowOff>
    </xdr:from>
    <xdr:ext cx="470642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 txBox="1"/>
      </xdr:nvSpPr>
      <xdr:spPr>
        <a:xfrm>
          <a:off x="4324350" y="230790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4021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7" workbookViewId="0">
      <selection activeCell="B25" sqref="B25"/>
    </sheetView>
  </sheetViews>
  <sheetFormatPr defaultRowHeight="13.5"/>
  <cols>
    <col min="1" max="1" width="38" customWidth="1"/>
    <col min="2" max="2" width="29.3984375" bestFit="1" customWidth="1"/>
    <col min="3" max="3" width="7" bestFit="1" customWidth="1"/>
    <col min="4" max="4" width="7.73046875" bestFit="1" customWidth="1"/>
  </cols>
  <sheetData>
    <row r="1" spans="1:4">
      <c r="A1" s="8" t="s">
        <v>151</v>
      </c>
    </row>
    <row r="3" spans="1:4">
      <c r="A3" t="s">
        <v>120</v>
      </c>
      <c r="B3" t="s">
        <v>196</v>
      </c>
      <c r="C3" s="24">
        <v>2004</v>
      </c>
      <c r="D3" t="s">
        <v>7</v>
      </c>
    </row>
    <row r="4" spans="1:4">
      <c r="A4" t="s">
        <v>121</v>
      </c>
      <c r="B4" t="s">
        <v>122</v>
      </c>
      <c r="C4" s="24">
        <v>4.6399999999999997</v>
      </c>
      <c r="D4" t="s">
        <v>123</v>
      </c>
    </row>
    <row r="5" spans="1:4">
      <c r="A5" t="s">
        <v>124</v>
      </c>
      <c r="B5" s="25" t="s">
        <v>209</v>
      </c>
    </row>
    <row r="6" spans="1:4">
      <c r="A6" t="s">
        <v>126</v>
      </c>
      <c r="B6" t="s">
        <v>127</v>
      </c>
      <c r="C6" s="24">
        <v>335</v>
      </c>
      <c r="D6" t="s">
        <v>1</v>
      </c>
    </row>
    <row r="7" spans="1:4">
      <c r="A7" t="s">
        <v>128</v>
      </c>
      <c r="B7" t="s">
        <v>129</v>
      </c>
      <c r="C7" s="24">
        <v>200000</v>
      </c>
      <c r="D7" t="s">
        <v>1</v>
      </c>
    </row>
    <row r="8" spans="1:4">
      <c r="A8" t="s">
        <v>130</v>
      </c>
      <c r="B8" t="s">
        <v>131</v>
      </c>
      <c r="C8" s="24">
        <v>144.19999999999999</v>
      </c>
      <c r="D8" t="s">
        <v>132</v>
      </c>
    </row>
    <row r="9" spans="1:4">
      <c r="A9" t="s">
        <v>133</v>
      </c>
      <c r="B9" t="s">
        <v>134</v>
      </c>
      <c r="C9" s="40">
        <f>SQRT(0.000117791/0.0144199)*100</f>
        <v>9.0380539643218274</v>
      </c>
      <c r="D9" t="s">
        <v>135</v>
      </c>
    </row>
    <row r="10" spans="1:4">
      <c r="A10" t="s">
        <v>136</v>
      </c>
      <c r="B10" t="s">
        <v>5</v>
      </c>
      <c r="C10" s="24">
        <v>1.67</v>
      </c>
    </row>
    <row r="11" spans="1:4">
      <c r="A11" t="s">
        <v>137</v>
      </c>
      <c r="B11" t="s">
        <v>138</v>
      </c>
      <c r="C11" s="24">
        <v>1</v>
      </c>
    </row>
    <row r="14" spans="1:4">
      <c r="A14" s="52"/>
    </row>
    <row r="15" spans="1:4">
      <c r="B15" t="s">
        <v>140</v>
      </c>
      <c r="C15" s="23">
        <f>C11*C4/C9*100</f>
        <v>51.33848523494806</v>
      </c>
    </row>
    <row r="16" spans="1:4" ht="14.65">
      <c r="A16" t="s">
        <v>143</v>
      </c>
      <c r="B16" t="s">
        <v>144</v>
      </c>
      <c r="C16" s="23">
        <f>PI()^2*C7/(C15^2)</f>
        <v>748.93416044080959</v>
      </c>
      <c r="D16" t="s">
        <v>1</v>
      </c>
    </row>
    <row r="17" spans="1:7">
      <c r="B17" t="s">
        <v>141</v>
      </c>
      <c r="C17" s="23">
        <f>4.71*(C7/C6)^0.5</f>
        <v>115.08361658363953</v>
      </c>
      <c r="D17" t="str">
        <f>IF(C17&gt;C15,"&gt; KL/r","&lt; KL/r")</f>
        <v>&gt; KL/r</v>
      </c>
    </row>
    <row r="18" spans="1:7">
      <c r="A18" t="s">
        <v>139</v>
      </c>
      <c r="B18" t="s">
        <v>146</v>
      </c>
      <c r="C18" s="5" t="str">
        <f>IF(C17&lt;=C15,0.658^(C6/C16)*C6,"-")</f>
        <v>-</v>
      </c>
      <c r="D18" t="s">
        <v>1</v>
      </c>
      <c r="F18" t="s">
        <v>318</v>
      </c>
    </row>
    <row r="19" spans="1:7">
      <c r="B19" t="s">
        <v>316</v>
      </c>
      <c r="C19" s="23">
        <f>IF(C17&gt;C15,0.877*C16,"-")</f>
        <v>656.81525870659004</v>
      </c>
      <c r="D19" t="s">
        <v>1</v>
      </c>
      <c r="F19" t="s">
        <v>319</v>
      </c>
    </row>
    <row r="20" spans="1:7">
      <c r="A20" t="s">
        <v>148</v>
      </c>
      <c r="B20" t="s">
        <v>145</v>
      </c>
      <c r="C20" s="23">
        <f>IF(C18="-",C19*C8/10,C18*C8/10)</f>
        <v>9471.2760305490265</v>
      </c>
      <c r="D20" t="s">
        <v>7</v>
      </c>
      <c r="F20" t="s">
        <v>317</v>
      </c>
    </row>
    <row r="21" spans="1:7" ht="14.65">
      <c r="A21" t="s">
        <v>147</v>
      </c>
      <c r="B21" t="s">
        <v>149</v>
      </c>
      <c r="C21" s="23">
        <f>C20/C10</f>
        <v>5671.4227727838488</v>
      </c>
      <c r="D21" t="s">
        <v>7</v>
      </c>
      <c r="E21" t="str">
        <f>IF(C21&gt;C3,"&gt; FR, OK","&lt; FR, NOT OK")</f>
        <v>&gt; FR, OK</v>
      </c>
      <c r="G21">
        <f>C3/C21</f>
        <v>0.35335048722109735</v>
      </c>
    </row>
    <row r="23" spans="1:7">
      <c r="A23" s="33" t="s">
        <v>150</v>
      </c>
    </row>
    <row r="26" spans="1:7">
      <c r="A26" s="8" t="s">
        <v>178</v>
      </c>
      <c r="C26" s="30"/>
    </row>
    <row r="27" spans="1:7">
      <c r="C27" s="30"/>
    </row>
    <row r="28" spans="1:7">
      <c r="A28" t="s">
        <v>158</v>
      </c>
      <c r="B28" t="s">
        <v>10</v>
      </c>
      <c r="C28" s="35">
        <f>C3</f>
        <v>2004</v>
      </c>
      <c r="D28" t="s">
        <v>7</v>
      </c>
    </row>
    <row r="29" spans="1:7">
      <c r="A29" t="s">
        <v>14</v>
      </c>
      <c r="B29" t="s">
        <v>15</v>
      </c>
      <c r="C29" s="19">
        <v>480</v>
      </c>
      <c r="D29" t="s">
        <v>1</v>
      </c>
    </row>
    <row r="30" spans="1:7">
      <c r="A30" t="s">
        <v>4</v>
      </c>
      <c r="B30" t="s">
        <v>16</v>
      </c>
      <c r="C30" s="19">
        <v>400</v>
      </c>
      <c r="D30" t="s">
        <v>2</v>
      </c>
      <c r="G30" t="s">
        <v>203</v>
      </c>
    </row>
    <row r="31" spans="1:7">
      <c r="A31" t="s">
        <v>8</v>
      </c>
      <c r="B31" t="s">
        <v>9</v>
      </c>
      <c r="C31" s="19">
        <v>13</v>
      </c>
      <c r="D31" t="s">
        <v>2</v>
      </c>
    </row>
    <row r="32" spans="1:7" ht="14.65">
      <c r="A32" t="s">
        <v>3</v>
      </c>
      <c r="B32" s="1" t="s">
        <v>5</v>
      </c>
      <c r="C32" s="4">
        <v>2</v>
      </c>
    </row>
    <row r="33" spans="1:7">
      <c r="A33" t="s">
        <v>6</v>
      </c>
      <c r="B33" s="38" t="s">
        <v>113</v>
      </c>
      <c r="C33" s="5">
        <f>0.6*C29/C32*4*C30*0.707*C31/1000</f>
        <v>2117.6064000000001</v>
      </c>
      <c r="D33" t="s">
        <v>7</v>
      </c>
      <c r="E33" t="str">
        <f>IF(C33&gt;C28, "&gt; F, OK","Re-check")</f>
        <v>&gt; F, OK</v>
      </c>
      <c r="G33">
        <f>C28/C33</f>
        <v>0.9463515032821963</v>
      </c>
    </row>
  </sheetData>
  <phoneticPr fontId="6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FCE1-DB65-4746-A77A-77EB86AE918F}">
  <dimension ref="A2:J257"/>
  <sheetViews>
    <sheetView topLeftCell="A79" workbookViewId="0">
      <selection activeCell="E2" sqref="E2"/>
    </sheetView>
  </sheetViews>
  <sheetFormatPr defaultRowHeight="13.5"/>
  <sheetData>
    <row r="2" spans="2:10">
      <c r="B2">
        <v>3021</v>
      </c>
      <c r="D2">
        <v>2004</v>
      </c>
      <c r="E2">
        <v>572.20719999999994</v>
      </c>
      <c r="F2">
        <v>7.8200000000000006E-2</v>
      </c>
      <c r="G2">
        <v>0.78069999999999995</v>
      </c>
      <c r="H2">
        <v>-7.3099999999999998E-2</v>
      </c>
      <c r="I2">
        <v>11.0379</v>
      </c>
      <c r="J2">
        <v>0.39340000000000003</v>
      </c>
    </row>
    <row r="3" spans="2:10">
      <c r="B3">
        <v>2143</v>
      </c>
      <c r="D3">
        <v>2004</v>
      </c>
      <c r="E3">
        <v>568.57600000000002</v>
      </c>
      <c r="F3">
        <v>7.8200000000000006E-2</v>
      </c>
      <c r="G3">
        <v>7.5536000000000003</v>
      </c>
      <c r="H3">
        <v>-7.3099999999999998E-2</v>
      </c>
      <c r="I3">
        <v>-14.2796</v>
      </c>
      <c r="J3">
        <v>-8.1000000000000003E-2</v>
      </c>
    </row>
    <row r="4" spans="2:10">
      <c r="B4">
        <v>3021</v>
      </c>
      <c r="D4">
        <v>2007</v>
      </c>
      <c r="E4">
        <v>557.42169999999999</v>
      </c>
      <c r="F4">
        <v>-1.2059</v>
      </c>
      <c r="G4">
        <v>0.90069999999999995</v>
      </c>
      <c r="H4">
        <v>-0.40410000000000001</v>
      </c>
      <c r="I4">
        <v>11.305099999999999</v>
      </c>
      <c r="J4">
        <v>0.28449999999999998</v>
      </c>
    </row>
    <row r="5" spans="2:10">
      <c r="B5">
        <v>3021</v>
      </c>
      <c r="D5">
        <v>1004</v>
      </c>
      <c r="E5">
        <v>553.80870000000004</v>
      </c>
      <c r="F5">
        <v>7.5200000000000003E-2</v>
      </c>
      <c r="G5">
        <v>0.73340000000000005</v>
      </c>
      <c r="H5">
        <v>-2.1100000000000001E-2</v>
      </c>
      <c r="I5">
        <v>11.1401</v>
      </c>
      <c r="J5">
        <v>0.42430000000000001</v>
      </c>
    </row>
    <row r="6" spans="2:10">
      <c r="B6">
        <v>2143</v>
      </c>
      <c r="D6">
        <v>2007</v>
      </c>
      <c r="E6">
        <v>553.41830000000004</v>
      </c>
      <c r="F6">
        <v>1.3926000000000001</v>
      </c>
      <c r="G6">
        <v>7.7183000000000002</v>
      </c>
      <c r="H6">
        <v>-0.40410000000000001</v>
      </c>
      <c r="I6">
        <v>-14.8863</v>
      </c>
      <c r="J6">
        <v>-0.32719999999999999</v>
      </c>
    </row>
    <row r="7" spans="2:10">
      <c r="B7">
        <v>2143</v>
      </c>
      <c r="D7">
        <v>1004</v>
      </c>
      <c r="E7">
        <v>550.17750000000001</v>
      </c>
      <c r="F7">
        <v>7.5200000000000003E-2</v>
      </c>
      <c r="G7">
        <v>7.5063000000000004</v>
      </c>
      <c r="H7">
        <v>-2.1100000000000001E-2</v>
      </c>
      <c r="I7">
        <v>-13.8902</v>
      </c>
      <c r="J7">
        <v>-3.2000000000000001E-2</v>
      </c>
    </row>
    <row r="8" spans="2:10">
      <c r="B8">
        <v>3021</v>
      </c>
      <c r="D8">
        <v>1007</v>
      </c>
      <c r="E8">
        <v>539.0231</v>
      </c>
      <c r="F8">
        <v>-1.2089000000000001</v>
      </c>
      <c r="G8">
        <v>0.85340000000000005</v>
      </c>
      <c r="H8">
        <v>-0.35220000000000001</v>
      </c>
      <c r="I8">
        <v>11.407299999999999</v>
      </c>
      <c r="J8">
        <v>0.31530000000000002</v>
      </c>
    </row>
    <row r="9" spans="2:10">
      <c r="B9">
        <v>2143</v>
      </c>
      <c r="D9">
        <v>1007</v>
      </c>
      <c r="E9">
        <v>535.01969999999994</v>
      </c>
      <c r="F9">
        <v>1.3895999999999999</v>
      </c>
      <c r="G9">
        <v>7.6708999999999996</v>
      </c>
      <c r="H9">
        <v>-0.35220000000000001</v>
      </c>
      <c r="I9">
        <v>-14.4969</v>
      </c>
      <c r="J9">
        <v>-0.2782</v>
      </c>
    </row>
    <row r="10" spans="2:10">
      <c r="B10">
        <v>3021</v>
      </c>
      <c r="D10">
        <v>2012</v>
      </c>
      <c r="E10">
        <v>508.82459999999998</v>
      </c>
      <c r="F10">
        <v>6.9099999999999995E-2</v>
      </c>
      <c r="G10">
        <v>1.3404</v>
      </c>
      <c r="H10">
        <v>0.1235</v>
      </c>
      <c r="I10">
        <v>9.9161999999999999</v>
      </c>
      <c r="J10">
        <v>0.4047</v>
      </c>
    </row>
    <row r="11" spans="2:10">
      <c r="B11">
        <v>2143</v>
      </c>
      <c r="D11">
        <v>2012</v>
      </c>
      <c r="E11">
        <v>507.86180000000002</v>
      </c>
      <c r="F11">
        <v>6.9099999999999995E-2</v>
      </c>
      <c r="G11">
        <v>5.9238</v>
      </c>
      <c r="H11">
        <v>0.1235</v>
      </c>
      <c r="I11">
        <v>-12.153600000000001</v>
      </c>
      <c r="J11">
        <v>-1.46E-2</v>
      </c>
    </row>
    <row r="12" spans="2:10">
      <c r="B12">
        <v>3021</v>
      </c>
      <c r="D12">
        <v>2008</v>
      </c>
      <c r="E12">
        <v>503.66969999999998</v>
      </c>
      <c r="F12">
        <v>0.79700000000000004</v>
      </c>
      <c r="G12">
        <v>0.79279999999999995</v>
      </c>
      <c r="H12">
        <v>-5.2299999999999999E-2</v>
      </c>
      <c r="I12">
        <v>10.404</v>
      </c>
      <c r="J12">
        <v>0.24010000000000001</v>
      </c>
    </row>
    <row r="13" spans="2:10">
      <c r="B13">
        <v>2143</v>
      </c>
      <c r="D13">
        <v>2008</v>
      </c>
      <c r="E13">
        <v>499.66629999999998</v>
      </c>
      <c r="F13">
        <v>-0.70130000000000003</v>
      </c>
      <c r="G13">
        <v>6.7596999999999996</v>
      </c>
      <c r="H13">
        <v>-5.2299999999999999E-2</v>
      </c>
      <c r="I13">
        <v>-12.5334</v>
      </c>
      <c r="J13">
        <v>-2.76E-2</v>
      </c>
    </row>
    <row r="14" spans="2:10">
      <c r="B14">
        <v>3021</v>
      </c>
      <c r="D14">
        <v>2015</v>
      </c>
      <c r="E14">
        <v>494.03910000000002</v>
      </c>
      <c r="F14">
        <v>-1.2150000000000001</v>
      </c>
      <c r="G14">
        <v>1.4602999999999999</v>
      </c>
      <c r="H14">
        <v>-0.20749999999999999</v>
      </c>
      <c r="I14">
        <v>10.1835</v>
      </c>
      <c r="J14">
        <v>0.29570000000000002</v>
      </c>
    </row>
    <row r="15" spans="2:10">
      <c r="B15">
        <v>2143</v>
      </c>
      <c r="D15">
        <v>2015</v>
      </c>
      <c r="E15">
        <v>492.70409999999998</v>
      </c>
      <c r="F15">
        <v>1.3835</v>
      </c>
      <c r="G15">
        <v>6.0884999999999998</v>
      </c>
      <c r="H15">
        <v>-0.20749999999999999</v>
      </c>
      <c r="I15">
        <v>-12.760300000000001</v>
      </c>
      <c r="J15">
        <v>-0.26079999999999998</v>
      </c>
    </row>
    <row r="16" spans="2:10">
      <c r="B16">
        <v>3021</v>
      </c>
      <c r="D16">
        <v>1012</v>
      </c>
      <c r="E16">
        <v>490.42610000000002</v>
      </c>
      <c r="F16">
        <v>6.6100000000000006E-2</v>
      </c>
      <c r="G16">
        <v>1.2929999999999999</v>
      </c>
      <c r="H16">
        <v>0.17549999999999999</v>
      </c>
      <c r="I16">
        <v>10.0184</v>
      </c>
      <c r="J16">
        <v>0.43559999999999999</v>
      </c>
    </row>
    <row r="17" spans="2:10">
      <c r="B17">
        <v>2143</v>
      </c>
      <c r="D17">
        <v>1012</v>
      </c>
      <c r="E17">
        <v>489.4633</v>
      </c>
      <c r="F17">
        <v>6.6100000000000006E-2</v>
      </c>
      <c r="G17">
        <v>5.8765000000000001</v>
      </c>
      <c r="H17">
        <v>0.17549999999999999</v>
      </c>
      <c r="I17">
        <v>-11.764200000000001</v>
      </c>
      <c r="J17">
        <v>3.4500000000000003E-2</v>
      </c>
    </row>
    <row r="18" spans="2:10">
      <c r="B18">
        <v>3021</v>
      </c>
      <c r="D18">
        <v>1008</v>
      </c>
      <c r="E18">
        <v>485.27120000000002</v>
      </c>
      <c r="F18">
        <v>0.79400000000000004</v>
      </c>
      <c r="G18">
        <v>0.74539999999999995</v>
      </c>
      <c r="H18">
        <v>-2.9999999999999997E-4</v>
      </c>
      <c r="I18">
        <v>10.5062</v>
      </c>
      <c r="J18">
        <v>0.27089999999999997</v>
      </c>
    </row>
    <row r="19" spans="2:10">
      <c r="B19">
        <v>2143</v>
      </c>
      <c r="D19">
        <v>1008</v>
      </c>
      <c r="E19">
        <v>481.26780000000002</v>
      </c>
      <c r="F19">
        <v>-0.70430000000000004</v>
      </c>
      <c r="G19">
        <v>6.7123999999999997</v>
      </c>
      <c r="H19">
        <v>-2.9999999999999997E-4</v>
      </c>
      <c r="I19">
        <v>-12.144</v>
      </c>
      <c r="J19">
        <v>2.1499999999999998E-2</v>
      </c>
    </row>
    <row r="20" spans="2:10">
      <c r="B20">
        <v>3021</v>
      </c>
      <c r="D20">
        <v>1015</v>
      </c>
      <c r="E20">
        <v>475.64060000000001</v>
      </c>
      <c r="F20">
        <v>-1.218</v>
      </c>
      <c r="G20">
        <v>1.413</v>
      </c>
      <c r="H20">
        <v>-0.15559999999999999</v>
      </c>
      <c r="I20">
        <v>10.285600000000001</v>
      </c>
      <c r="J20">
        <v>0.3266</v>
      </c>
    </row>
    <row r="21" spans="2:10">
      <c r="B21">
        <v>2143</v>
      </c>
      <c r="D21">
        <v>1015</v>
      </c>
      <c r="E21">
        <v>474.30549999999999</v>
      </c>
      <c r="F21">
        <v>1.3805000000000001</v>
      </c>
      <c r="G21">
        <v>6.0411000000000001</v>
      </c>
      <c r="H21">
        <v>-0.15559999999999999</v>
      </c>
      <c r="I21">
        <v>-12.371</v>
      </c>
      <c r="J21">
        <v>-0.2117</v>
      </c>
    </row>
    <row r="22" spans="2:10">
      <c r="B22">
        <v>3019</v>
      </c>
      <c r="D22">
        <v>2007</v>
      </c>
      <c r="E22">
        <v>451.31180000000001</v>
      </c>
      <c r="F22">
        <v>-1.4133</v>
      </c>
      <c r="G22">
        <v>1.1345000000000001</v>
      </c>
      <c r="H22">
        <v>-0.96679999999999999</v>
      </c>
      <c r="I22">
        <v>11.7376</v>
      </c>
      <c r="J22">
        <v>-0.8498</v>
      </c>
    </row>
    <row r="23" spans="2:10">
      <c r="B23">
        <v>3019</v>
      </c>
      <c r="D23">
        <v>2004</v>
      </c>
      <c r="E23">
        <v>448.69439999999997</v>
      </c>
      <c r="F23">
        <v>-0.21909999999999999</v>
      </c>
      <c r="G23">
        <v>1.1505000000000001</v>
      </c>
      <c r="H23">
        <v>-0.87819999999999998</v>
      </c>
      <c r="I23">
        <v>11.489800000000001</v>
      </c>
      <c r="J23">
        <v>-0.94089999999999996</v>
      </c>
    </row>
    <row r="24" spans="2:10">
      <c r="B24">
        <v>2142</v>
      </c>
      <c r="D24">
        <v>2007</v>
      </c>
      <c r="E24">
        <v>447.30840000000001</v>
      </c>
      <c r="F24">
        <v>1.1852</v>
      </c>
      <c r="G24">
        <v>7.9520999999999997</v>
      </c>
      <c r="H24">
        <v>-0.96679999999999999</v>
      </c>
      <c r="I24">
        <v>-15.873100000000001</v>
      </c>
      <c r="J24">
        <v>-0.20269999999999999</v>
      </c>
    </row>
    <row r="25" spans="2:10">
      <c r="B25">
        <v>2142</v>
      </c>
      <c r="D25">
        <v>2004</v>
      </c>
      <c r="E25">
        <v>445.06319999999999</v>
      </c>
      <c r="F25">
        <v>-0.21909999999999999</v>
      </c>
      <c r="G25">
        <v>7.9234</v>
      </c>
      <c r="H25">
        <v>-0.87819999999999998</v>
      </c>
      <c r="I25">
        <v>-16.072199999999999</v>
      </c>
      <c r="J25">
        <v>0.38879999999999998</v>
      </c>
    </row>
    <row r="26" spans="2:10">
      <c r="B26">
        <v>3021</v>
      </c>
      <c r="D26">
        <v>2016</v>
      </c>
      <c r="E26">
        <v>440.28710000000001</v>
      </c>
      <c r="F26">
        <v>0.78790000000000004</v>
      </c>
      <c r="G26">
        <v>1.3524</v>
      </c>
      <c r="H26">
        <v>0.14430000000000001</v>
      </c>
      <c r="I26">
        <v>9.2824000000000009</v>
      </c>
      <c r="J26">
        <v>0.25130000000000002</v>
      </c>
    </row>
    <row r="27" spans="2:10">
      <c r="B27">
        <v>2143</v>
      </c>
      <c r="D27">
        <v>2016</v>
      </c>
      <c r="E27">
        <v>438.95209999999997</v>
      </c>
      <c r="F27">
        <v>-0.71040000000000003</v>
      </c>
      <c r="G27">
        <v>5.1299000000000001</v>
      </c>
      <c r="H27">
        <v>0.14430000000000001</v>
      </c>
      <c r="I27">
        <v>-10.407400000000001</v>
      </c>
      <c r="J27">
        <v>3.8899999999999997E-2</v>
      </c>
    </row>
    <row r="28" spans="2:10">
      <c r="B28">
        <v>3019</v>
      </c>
      <c r="D28">
        <v>1007</v>
      </c>
      <c r="E28">
        <v>428.67399999999998</v>
      </c>
      <c r="F28">
        <v>-1.3714</v>
      </c>
      <c r="G28">
        <v>0.99250000000000005</v>
      </c>
      <c r="H28">
        <v>-0.75380000000000003</v>
      </c>
      <c r="I28">
        <v>11.5297</v>
      </c>
      <c r="J28">
        <v>-0.61140000000000005</v>
      </c>
    </row>
    <row r="29" spans="2:10">
      <c r="B29">
        <v>3019</v>
      </c>
      <c r="D29">
        <v>1004</v>
      </c>
      <c r="E29">
        <v>426.0566</v>
      </c>
      <c r="F29">
        <v>-0.1772</v>
      </c>
      <c r="G29">
        <v>1.0085</v>
      </c>
      <c r="H29">
        <v>-0.66520000000000001</v>
      </c>
      <c r="I29">
        <v>11.282</v>
      </c>
      <c r="J29">
        <v>-0.7026</v>
      </c>
    </row>
    <row r="30" spans="2:10">
      <c r="B30">
        <v>2142</v>
      </c>
      <c r="D30">
        <v>1007</v>
      </c>
      <c r="E30">
        <v>424.67059999999998</v>
      </c>
      <c r="F30">
        <v>1.2271000000000001</v>
      </c>
      <c r="G30">
        <v>7.81</v>
      </c>
      <c r="H30">
        <v>-0.75380000000000003</v>
      </c>
      <c r="I30">
        <v>-15.2187</v>
      </c>
      <c r="J30">
        <v>-0.21859999999999999</v>
      </c>
    </row>
    <row r="31" spans="2:10">
      <c r="B31">
        <v>2142</v>
      </c>
      <c r="D31">
        <v>1004</v>
      </c>
      <c r="E31">
        <v>422.42540000000002</v>
      </c>
      <c r="F31">
        <v>-0.1772</v>
      </c>
      <c r="G31">
        <v>7.7813999999999997</v>
      </c>
      <c r="H31">
        <v>-0.66520000000000001</v>
      </c>
      <c r="I31">
        <v>-15.4178</v>
      </c>
      <c r="J31">
        <v>0.373</v>
      </c>
    </row>
    <row r="32" spans="2:10">
      <c r="B32">
        <v>3021</v>
      </c>
      <c r="D32">
        <v>1016</v>
      </c>
      <c r="E32">
        <v>421.8886</v>
      </c>
      <c r="F32">
        <v>0.78490000000000004</v>
      </c>
      <c r="G32">
        <v>1.3050999999999999</v>
      </c>
      <c r="H32">
        <v>0.1963</v>
      </c>
      <c r="I32">
        <v>9.3844999999999992</v>
      </c>
      <c r="J32">
        <v>0.28220000000000001</v>
      </c>
    </row>
    <row r="33" spans="2:10">
      <c r="B33">
        <v>2143</v>
      </c>
      <c r="D33">
        <v>1016</v>
      </c>
      <c r="E33">
        <v>420.55360000000002</v>
      </c>
      <c r="F33">
        <v>-0.71340000000000003</v>
      </c>
      <c r="G33">
        <v>5.0826000000000002</v>
      </c>
      <c r="H33">
        <v>0.1963</v>
      </c>
      <c r="I33">
        <v>-10.018000000000001</v>
      </c>
      <c r="J33">
        <v>8.7900000000000006E-2</v>
      </c>
    </row>
    <row r="34" spans="2:10">
      <c r="B34">
        <v>3019</v>
      </c>
      <c r="D34">
        <v>2015</v>
      </c>
      <c r="E34">
        <v>399.2011</v>
      </c>
      <c r="F34">
        <v>-1.3828</v>
      </c>
      <c r="G34">
        <v>1.7625999999999999</v>
      </c>
      <c r="H34">
        <v>-0.86170000000000002</v>
      </c>
      <c r="I34">
        <v>10.9932</v>
      </c>
      <c r="J34">
        <v>-0.72860000000000003</v>
      </c>
    </row>
    <row r="35" spans="2:10">
      <c r="B35">
        <v>2142</v>
      </c>
      <c r="D35">
        <v>2015</v>
      </c>
      <c r="E35">
        <v>397.86610000000002</v>
      </c>
      <c r="F35">
        <v>1.2157</v>
      </c>
      <c r="G35">
        <v>6.3906999999999998</v>
      </c>
      <c r="H35">
        <v>-0.86170000000000002</v>
      </c>
      <c r="I35">
        <v>-13.7851</v>
      </c>
      <c r="J35">
        <v>-0.26669999999999999</v>
      </c>
    </row>
    <row r="36" spans="2:10">
      <c r="B36">
        <v>3019</v>
      </c>
      <c r="D36">
        <v>2012</v>
      </c>
      <c r="E36">
        <v>396.5838</v>
      </c>
      <c r="F36">
        <v>-0.18859999999999999</v>
      </c>
      <c r="G36">
        <v>1.7786</v>
      </c>
      <c r="H36">
        <v>-0.77310000000000001</v>
      </c>
      <c r="I36">
        <v>10.7454</v>
      </c>
      <c r="J36">
        <v>-0.81979999999999997</v>
      </c>
    </row>
    <row r="37" spans="2:10">
      <c r="B37">
        <v>2142</v>
      </c>
      <c r="D37">
        <v>2012</v>
      </c>
      <c r="E37">
        <v>395.62090000000001</v>
      </c>
      <c r="F37">
        <v>-0.18859999999999999</v>
      </c>
      <c r="G37">
        <v>6.3620000000000001</v>
      </c>
      <c r="H37">
        <v>-0.77310000000000001</v>
      </c>
      <c r="I37">
        <v>-13.9842</v>
      </c>
      <c r="J37">
        <v>0.32479999999999998</v>
      </c>
    </row>
    <row r="38" spans="2:10">
      <c r="B38">
        <v>3019</v>
      </c>
      <c r="D38">
        <v>2008</v>
      </c>
      <c r="E38">
        <v>395.48849999999999</v>
      </c>
      <c r="F38">
        <v>0.58350000000000002</v>
      </c>
      <c r="G38">
        <v>1.0772999999999999</v>
      </c>
      <c r="H38">
        <v>-0.68300000000000005</v>
      </c>
      <c r="I38">
        <v>10.4023</v>
      </c>
      <c r="J38">
        <v>-0.8629</v>
      </c>
    </row>
    <row r="39" spans="2:10">
      <c r="B39">
        <v>2142</v>
      </c>
      <c r="D39">
        <v>2008</v>
      </c>
      <c r="E39">
        <v>391.48520000000002</v>
      </c>
      <c r="F39">
        <v>-0.91479999999999995</v>
      </c>
      <c r="G39">
        <v>7.0442</v>
      </c>
      <c r="H39">
        <v>-0.68300000000000005</v>
      </c>
      <c r="I39">
        <v>-14.261900000000001</v>
      </c>
      <c r="J39">
        <v>0.1651</v>
      </c>
    </row>
    <row r="40" spans="2:10">
      <c r="B40">
        <v>3019</v>
      </c>
      <c r="D40">
        <v>1015</v>
      </c>
      <c r="E40">
        <v>376.56330000000003</v>
      </c>
      <c r="F40">
        <v>-1.3409</v>
      </c>
      <c r="G40">
        <v>1.6205000000000001</v>
      </c>
      <c r="H40">
        <v>-0.64870000000000005</v>
      </c>
      <c r="I40">
        <v>10.785299999999999</v>
      </c>
      <c r="J40">
        <v>-0.49030000000000001</v>
      </c>
    </row>
    <row r="41" spans="2:10">
      <c r="B41">
        <v>2142</v>
      </c>
      <c r="D41">
        <v>1015</v>
      </c>
      <c r="E41">
        <v>375.22820000000002</v>
      </c>
      <c r="F41">
        <v>1.2576000000000001</v>
      </c>
      <c r="G41">
        <v>6.2487000000000004</v>
      </c>
      <c r="H41">
        <v>-0.64870000000000005</v>
      </c>
      <c r="I41">
        <v>-13.130699999999999</v>
      </c>
      <c r="J41">
        <v>-0.28249999999999997</v>
      </c>
    </row>
    <row r="42" spans="2:10">
      <c r="B42">
        <v>3019</v>
      </c>
      <c r="D42">
        <v>1012</v>
      </c>
      <c r="E42">
        <v>373.94589999999999</v>
      </c>
      <c r="F42">
        <v>-0.1467</v>
      </c>
      <c r="G42">
        <v>1.6365000000000001</v>
      </c>
      <c r="H42">
        <v>-0.56010000000000004</v>
      </c>
      <c r="I42">
        <v>10.537599999999999</v>
      </c>
      <c r="J42">
        <v>-0.58140000000000003</v>
      </c>
    </row>
    <row r="43" spans="2:10">
      <c r="B43">
        <v>2142</v>
      </c>
      <c r="D43">
        <v>1012</v>
      </c>
      <c r="E43">
        <v>372.98309999999998</v>
      </c>
      <c r="F43">
        <v>-0.1467</v>
      </c>
      <c r="G43">
        <v>6.22</v>
      </c>
      <c r="H43">
        <v>-0.56010000000000004</v>
      </c>
      <c r="I43">
        <v>-13.329800000000001</v>
      </c>
      <c r="J43">
        <v>0.309</v>
      </c>
    </row>
    <row r="44" spans="2:10">
      <c r="B44">
        <v>3019</v>
      </c>
      <c r="D44">
        <v>1008</v>
      </c>
      <c r="E44">
        <v>372.85070000000002</v>
      </c>
      <c r="F44">
        <v>0.62539999999999996</v>
      </c>
      <c r="G44">
        <v>0.93520000000000003</v>
      </c>
      <c r="H44">
        <v>-0.47</v>
      </c>
      <c r="I44">
        <v>10.1945</v>
      </c>
      <c r="J44">
        <v>-0.62450000000000006</v>
      </c>
    </row>
    <row r="45" spans="2:10">
      <c r="B45">
        <v>2142</v>
      </c>
      <c r="D45">
        <v>1008</v>
      </c>
      <c r="E45">
        <v>368.84730000000002</v>
      </c>
      <c r="F45">
        <v>-0.87290000000000001</v>
      </c>
      <c r="G45">
        <v>6.9020999999999999</v>
      </c>
      <c r="H45">
        <v>-0.47</v>
      </c>
      <c r="I45">
        <v>-13.6075</v>
      </c>
      <c r="J45">
        <v>0.14929999999999999</v>
      </c>
    </row>
    <row r="46" spans="2:10">
      <c r="B46">
        <v>3019</v>
      </c>
      <c r="D46">
        <v>2016</v>
      </c>
      <c r="E46">
        <v>343.37790000000001</v>
      </c>
      <c r="F46">
        <v>0.61399999999999999</v>
      </c>
      <c r="G46">
        <v>1.7053</v>
      </c>
      <c r="H46">
        <v>-0.57789999999999997</v>
      </c>
      <c r="I46">
        <v>9.6578999999999997</v>
      </c>
      <c r="J46">
        <v>-0.74180000000000001</v>
      </c>
    </row>
    <row r="47" spans="2:10">
      <c r="B47">
        <v>2142</v>
      </c>
      <c r="D47">
        <v>2016</v>
      </c>
      <c r="E47">
        <v>342.0428</v>
      </c>
      <c r="F47">
        <v>-0.88429999999999997</v>
      </c>
      <c r="G47">
        <v>5.4828000000000001</v>
      </c>
      <c r="H47">
        <v>-0.57789999999999997</v>
      </c>
      <c r="I47">
        <v>-12.1739</v>
      </c>
      <c r="J47">
        <v>0.1012</v>
      </c>
    </row>
    <row r="48" spans="2:10">
      <c r="B48">
        <v>3019</v>
      </c>
      <c r="D48">
        <v>1016</v>
      </c>
      <c r="E48">
        <v>320.74009999999998</v>
      </c>
      <c r="F48">
        <v>0.65590000000000004</v>
      </c>
      <c r="G48">
        <v>1.5632999999999999</v>
      </c>
      <c r="H48">
        <v>-0.3649</v>
      </c>
      <c r="I48">
        <v>9.4501000000000008</v>
      </c>
      <c r="J48">
        <v>-0.50339999999999996</v>
      </c>
    </row>
    <row r="49" spans="2:10">
      <c r="B49">
        <v>2142</v>
      </c>
      <c r="D49">
        <v>1016</v>
      </c>
      <c r="E49">
        <v>319.40499999999997</v>
      </c>
      <c r="F49">
        <v>-0.84240000000000004</v>
      </c>
      <c r="G49">
        <v>5.3407999999999998</v>
      </c>
      <c r="H49">
        <v>-0.3649</v>
      </c>
      <c r="I49">
        <v>-11.519500000000001</v>
      </c>
      <c r="J49">
        <v>8.5300000000000001E-2</v>
      </c>
    </row>
    <row r="50" spans="2:10">
      <c r="B50">
        <v>3002</v>
      </c>
      <c r="D50">
        <v>2010</v>
      </c>
      <c r="E50">
        <v>283.12189999999998</v>
      </c>
      <c r="F50">
        <v>-3.7600000000000001E-2</v>
      </c>
      <c r="G50">
        <v>0.83650000000000002</v>
      </c>
      <c r="H50">
        <v>0.43219999999999997</v>
      </c>
      <c r="I50">
        <v>7.6752000000000002</v>
      </c>
      <c r="J50">
        <v>0.4577</v>
      </c>
    </row>
    <row r="51" spans="2:10">
      <c r="B51">
        <v>2141</v>
      </c>
      <c r="D51">
        <v>2010</v>
      </c>
      <c r="E51">
        <v>282.1508</v>
      </c>
      <c r="F51">
        <v>-3.7600000000000001E-2</v>
      </c>
      <c r="G51">
        <v>5.4080000000000004</v>
      </c>
      <c r="H51">
        <v>0.43219999999999997</v>
      </c>
      <c r="I51">
        <v>-11.250500000000001</v>
      </c>
      <c r="J51">
        <v>0.6855</v>
      </c>
    </row>
    <row r="52" spans="2:10">
      <c r="B52">
        <v>3002</v>
      </c>
      <c r="D52">
        <v>2013</v>
      </c>
      <c r="E52">
        <v>263.80939999999998</v>
      </c>
      <c r="F52">
        <v>-0.49990000000000001</v>
      </c>
      <c r="G52">
        <v>1.3071999999999999</v>
      </c>
      <c r="H52">
        <v>0.3256</v>
      </c>
      <c r="I52">
        <v>8.0981000000000005</v>
      </c>
      <c r="J52">
        <v>0.33689999999999998</v>
      </c>
    </row>
    <row r="53" spans="2:10">
      <c r="B53">
        <v>2141</v>
      </c>
      <c r="D53">
        <v>2013</v>
      </c>
      <c r="E53">
        <v>262.46850000000001</v>
      </c>
      <c r="F53">
        <v>0.99439999999999995</v>
      </c>
      <c r="G53">
        <v>5.0728</v>
      </c>
      <c r="H53">
        <v>0.3256</v>
      </c>
      <c r="I53">
        <v>-11.230700000000001</v>
      </c>
      <c r="J53">
        <v>-1.1823999999999999</v>
      </c>
    </row>
    <row r="54" spans="2:10">
      <c r="B54">
        <v>3002</v>
      </c>
      <c r="D54">
        <v>1010</v>
      </c>
      <c r="E54">
        <v>254.7114</v>
      </c>
      <c r="F54">
        <v>-0.161</v>
      </c>
      <c r="G54">
        <v>0.57389999999999997</v>
      </c>
      <c r="H54">
        <v>0.38169999999999998</v>
      </c>
      <c r="I54">
        <v>6.9862000000000002</v>
      </c>
      <c r="J54">
        <v>0.37419999999999998</v>
      </c>
    </row>
    <row r="55" spans="2:10">
      <c r="B55">
        <v>3002</v>
      </c>
      <c r="D55">
        <v>2002</v>
      </c>
      <c r="E55">
        <v>253.77369999999999</v>
      </c>
      <c r="F55">
        <v>-6.4899999999999999E-2</v>
      </c>
      <c r="G55">
        <v>-1.4020999999999999</v>
      </c>
      <c r="H55">
        <v>0.30449999999999999</v>
      </c>
      <c r="I55">
        <v>3.3218000000000001</v>
      </c>
      <c r="J55">
        <v>0.29249999999999998</v>
      </c>
    </row>
    <row r="56" spans="2:10">
      <c r="B56">
        <v>2141</v>
      </c>
      <c r="D56">
        <v>1010</v>
      </c>
      <c r="E56">
        <v>253.74029999999999</v>
      </c>
      <c r="F56">
        <v>-0.161</v>
      </c>
      <c r="G56">
        <v>5.1454000000000004</v>
      </c>
      <c r="H56">
        <v>0.38169999999999998</v>
      </c>
      <c r="I56">
        <v>-10.35</v>
      </c>
      <c r="J56">
        <v>1.349</v>
      </c>
    </row>
    <row r="57" spans="2:10">
      <c r="B57">
        <v>2141</v>
      </c>
      <c r="D57">
        <v>2002</v>
      </c>
      <c r="E57">
        <v>250.1343</v>
      </c>
      <c r="F57">
        <v>-6.4899999999999999E-2</v>
      </c>
      <c r="G57">
        <v>5.3445999999999998</v>
      </c>
      <c r="H57">
        <v>0.30449999999999999</v>
      </c>
      <c r="I57">
        <v>-8.6363000000000003</v>
      </c>
      <c r="J57">
        <v>0.68510000000000004</v>
      </c>
    </row>
    <row r="58" spans="2:10">
      <c r="B58">
        <v>3002</v>
      </c>
      <c r="D58">
        <v>1013</v>
      </c>
      <c r="E58">
        <v>235.3989</v>
      </c>
      <c r="F58">
        <v>-0.62329999999999997</v>
      </c>
      <c r="G58">
        <v>1.0446</v>
      </c>
      <c r="H58">
        <v>0.2752</v>
      </c>
      <c r="I58">
        <v>7.4090999999999996</v>
      </c>
      <c r="J58">
        <v>0.25340000000000001</v>
      </c>
    </row>
    <row r="59" spans="2:10">
      <c r="B59">
        <v>3002</v>
      </c>
      <c r="D59">
        <v>2005</v>
      </c>
      <c r="E59">
        <v>234.46119999999999</v>
      </c>
      <c r="F59">
        <v>-0.52710000000000001</v>
      </c>
      <c r="G59">
        <v>-0.93140000000000001</v>
      </c>
      <c r="H59">
        <v>0.19800000000000001</v>
      </c>
      <c r="I59">
        <v>3.7446999999999999</v>
      </c>
      <c r="J59">
        <v>0.17169999999999999</v>
      </c>
    </row>
    <row r="60" spans="2:10">
      <c r="B60">
        <v>2141</v>
      </c>
      <c r="D60">
        <v>1013</v>
      </c>
      <c r="E60">
        <v>234.05799999999999</v>
      </c>
      <c r="F60">
        <v>0.87109999999999999</v>
      </c>
      <c r="G60">
        <v>4.8102</v>
      </c>
      <c r="H60">
        <v>0.2752</v>
      </c>
      <c r="I60">
        <v>-10.3301</v>
      </c>
      <c r="J60">
        <v>-0.51890000000000003</v>
      </c>
    </row>
    <row r="61" spans="2:10">
      <c r="B61">
        <v>2141</v>
      </c>
      <c r="D61">
        <v>2005</v>
      </c>
      <c r="E61">
        <v>230.452</v>
      </c>
      <c r="F61">
        <v>0.96719999999999995</v>
      </c>
      <c r="G61">
        <v>5.0094000000000003</v>
      </c>
      <c r="H61">
        <v>0.19800000000000001</v>
      </c>
      <c r="I61">
        <v>-8.6164000000000005</v>
      </c>
      <c r="J61">
        <v>-1.1828000000000001</v>
      </c>
    </row>
    <row r="62" spans="2:10">
      <c r="B62">
        <v>3002</v>
      </c>
      <c r="D62">
        <v>1002</v>
      </c>
      <c r="E62">
        <v>225.36320000000001</v>
      </c>
      <c r="F62">
        <v>-0.18820000000000001</v>
      </c>
      <c r="G62">
        <v>-1.6647000000000001</v>
      </c>
      <c r="H62">
        <v>0.25409999999999999</v>
      </c>
      <c r="I62">
        <v>2.6328</v>
      </c>
      <c r="J62">
        <v>0.20899999999999999</v>
      </c>
    </row>
    <row r="63" spans="2:10">
      <c r="B63">
        <v>2141</v>
      </c>
      <c r="D63">
        <v>1002</v>
      </c>
      <c r="E63">
        <v>221.72380000000001</v>
      </c>
      <c r="F63">
        <v>-0.18820000000000001</v>
      </c>
      <c r="G63">
        <v>5.0820999999999996</v>
      </c>
      <c r="H63">
        <v>0.25409999999999999</v>
      </c>
      <c r="I63">
        <v>-7.7356999999999996</v>
      </c>
      <c r="J63">
        <v>1.3486</v>
      </c>
    </row>
    <row r="64" spans="2:10">
      <c r="B64">
        <v>3002</v>
      </c>
      <c r="D64">
        <v>2014</v>
      </c>
      <c r="E64">
        <v>217.17689999999999</v>
      </c>
      <c r="F64">
        <v>0.47049999999999997</v>
      </c>
      <c r="G64">
        <v>1.1204000000000001</v>
      </c>
      <c r="H64">
        <v>0.38450000000000001</v>
      </c>
      <c r="I64">
        <v>7.4625000000000004</v>
      </c>
      <c r="J64">
        <v>0.41260000000000002</v>
      </c>
    </row>
    <row r="65" spans="2:10">
      <c r="B65">
        <v>2141</v>
      </c>
      <c r="D65">
        <v>2014</v>
      </c>
      <c r="E65">
        <v>215.83609999999999</v>
      </c>
      <c r="F65">
        <v>-1.0238</v>
      </c>
      <c r="G65">
        <v>4.8860000000000001</v>
      </c>
      <c r="H65">
        <v>0.38450000000000001</v>
      </c>
      <c r="I65">
        <v>-10.7355</v>
      </c>
      <c r="J65">
        <v>2.1097999999999999</v>
      </c>
    </row>
    <row r="66" spans="2:10">
      <c r="B66">
        <v>3022</v>
      </c>
      <c r="D66">
        <v>2014</v>
      </c>
      <c r="E66">
        <v>214.4469</v>
      </c>
      <c r="F66">
        <v>-0.35560000000000003</v>
      </c>
      <c r="G66">
        <v>1.375</v>
      </c>
      <c r="H66">
        <v>0.2223</v>
      </c>
      <c r="I66">
        <v>8.4198000000000004</v>
      </c>
      <c r="J66">
        <v>-4.4901999999999997</v>
      </c>
    </row>
    <row r="67" spans="2:10">
      <c r="B67">
        <v>2140</v>
      </c>
      <c r="D67">
        <v>2014</v>
      </c>
      <c r="E67">
        <v>213.1061</v>
      </c>
      <c r="F67">
        <v>-1.8499000000000001</v>
      </c>
      <c r="G67">
        <v>5.1406000000000001</v>
      </c>
      <c r="H67">
        <v>0.2223</v>
      </c>
      <c r="I67">
        <v>-11.319599999999999</v>
      </c>
      <c r="J67">
        <v>2.2079</v>
      </c>
    </row>
    <row r="68" spans="2:10">
      <c r="B68">
        <v>3022</v>
      </c>
      <c r="D68">
        <v>2010</v>
      </c>
      <c r="E68">
        <v>207.46379999999999</v>
      </c>
      <c r="F68">
        <v>-0.31869999999999998</v>
      </c>
      <c r="G68">
        <v>0.92459999999999998</v>
      </c>
      <c r="H68">
        <v>-0.30420000000000003</v>
      </c>
      <c r="I68">
        <v>8.0830000000000002</v>
      </c>
      <c r="J68">
        <v>-2.1572</v>
      </c>
    </row>
    <row r="69" spans="2:10">
      <c r="B69">
        <v>2140</v>
      </c>
      <c r="D69">
        <v>2010</v>
      </c>
      <c r="E69">
        <v>206.49270000000001</v>
      </c>
      <c r="F69">
        <v>-0.31869999999999998</v>
      </c>
      <c r="G69">
        <v>5.4962</v>
      </c>
      <c r="H69">
        <v>-0.30420000000000003</v>
      </c>
      <c r="I69">
        <v>-11.376300000000001</v>
      </c>
      <c r="J69">
        <v>-0.22800000000000001</v>
      </c>
    </row>
    <row r="70" spans="2:10">
      <c r="B70">
        <v>3002</v>
      </c>
      <c r="D70">
        <v>1005</v>
      </c>
      <c r="E70">
        <v>206.0506</v>
      </c>
      <c r="F70">
        <v>-0.65049999999999997</v>
      </c>
      <c r="G70">
        <v>-1.194</v>
      </c>
      <c r="H70">
        <v>0.14760000000000001</v>
      </c>
      <c r="I70">
        <v>3.0556999999999999</v>
      </c>
      <c r="J70">
        <v>8.8300000000000003E-2</v>
      </c>
    </row>
    <row r="71" spans="2:10">
      <c r="B71">
        <v>2141</v>
      </c>
      <c r="D71">
        <v>1005</v>
      </c>
      <c r="E71">
        <v>202.04150000000001</v>
      </c>
      <c r="F71">
        <v>0.84379999999999999</v>
      </c>
      <c r="G71">
        <v>4.7469000000000001</v>
      </c>
      <c r="H71">
        <v>0.14760000000000001</v>
      </c>
      <c r="I71">
        <v>-7.7157999999999998</v>
      </c>
      <c r="J71">
        <v>-0.51929999999999998</v>
      </c>
    </row>
    <row r="72" spans="2:10">
      <c r="B72">
        <v>3022</v>
      </c>
      <c r="D72">
        <v>2006</v>
      </c>
      <c r="E72">
        <v>189.94739999999999</v>
      </c>
      <c r="F72">
        <v>-1.1583000000000001</v>
      </c>
      <c r="G72">
        <v>-1.0056</v>
      </c>
      <c r="H72">
        <v>0.93659999999999999</v>
      </c>
      <c r="I72">
        <v>3.6328</v>
      </c>
      <c r="J72">
        <v>-8.0317000000000007</v>
      </c>
    </row>
    <row r="73" spans="2:10">
      <c r="B73">
        <v>3002</v>
      </c>
      <c r="D73">
        <v>1014</v>
      </c>
      <c r="E73">
        <v>188.7664</v>
      </c>
      <c r="F73">
        <v>0.34710000000000002</v>
      </c>
      <c r="G73">
        <v>0.8579</v>
      </c>
      <c r="H73">
        <v>0.33410000000000001</v>
      </c>
      <c r="I73">
        <v>6.7736000000000001</v>
      </c>
      <c r="J73">
        <v>0.3291</v>
      </c>
    </row>
    <row r="74" spans="2:10">
      <c r="B74">
        <v>3002</v>
      </c>
      <c r="D74">
        <v>2006</v>
      </c>
      <c r="E74">
        <v>187.8287</v>
      </c>
      <c r="F74">
        <v>0.44330000000000003</v>
      </c>
      <c r="G74">
        <v>-1.1182000000000001</v>
      </c>
      <c r="H74">
        <v>0.25690000000000002</v>
      </c>
      <c r="I74">
        <v>3.1092</v>
      </c>
      <c r="J74">
        <v>0.24740000000000001</v>
      </c>
    </row>
    <row r="75" spans="2:10">
      <c r="B75">
        <v>2141</v>
      </c>
      <c r="D75">
        <v>1014</v>
      </c>
      <c r="E75">
        <v>187.4255</v>
      </c>
      <c r="F75">
        <v>-1.1472</v>
      </c>
      <c r="G75">
        <v>4.6234999999999999</v>
      </c>
      <c r="H75">
        <v>0.33410000000000001</v>
      </c>
      <c r="I75">
        <v>-9.8350000000000009</v>
      </c>
      <c r="J75">
        <v>2.7732999999999999</v>
      </c>
    </row>
    <row r="76" spans="2:10">
      <c r="B76">
        <v>2140</v>
      </c>
      <c r="D76">
        <v>2006</v>
      </c>
      <c r="E76">
        <v>185.93809999999999</v>
      </c>
      <c r="F76">
        <v>-2.6526999999999998</v>
      </c>
      <c r="G76">
        <v>4.9352</v>
      </c>
      <c r="H76">
        <v>0.93659999999999999</v>
      </c>
      <c r="I76">
        <v>-8.2792999999999992</v>
      </c>
      <c r="J76">
        <v>3.5261999999999998</v>
      </c>
    </row>
    <row r="77" spans="2:10">
      <c r="B77">
        <v>2141</v>
      </c>
      <c r="D77">
        <v>2006</v>
      </c>
      <c r="E77">
        <v>183.81950000000001</v>
      </c>
      <c r="F77">
        <v>-1.0509999999999999</v>
      </c>
      <c r="G77">
        <v>4.8226000000000004</v>
      </c>
      <c r="H77">
        <v>0.25690000000000002</v>
      </c>
      <c r="I77">
        <v>-8.1212</v>
      </c>
      <c r="J77">
        <v>2.1095000000000002</v>
      </c>
    </row>
    <row r="78" spans="2:10">
      <c r="B78">
        <v>3022</v>
      </c>
      <c r="D78">
        <v>2002</v>
      </c>
      <c r="E78">
        <v>182.96420000000001</v>
      </c>
      <c r="F78">
        <v>-1.1214</v>
      </c>
      <c r="G78">
        <v>-1.456</v>
      </c>
      <c r="H78">
        <v>0.41020000000000001</v>
      </c>
      <c r="I78">
        <v>3.2959999999999998</v>
      </c>
      <c r="J78">
        <v>-5.6985999999999999</v>
      </c>
    </row>
    <row r="79" spans="2:10">
      <c r="B79">
        <v>2140</v>
      </c>
      <c r="D79">
        <v>2002</v>
      </c>
      <c r="E79">
        <v>179.32480000000001</v>
      </c>
      <c r="F79">
        <v>-1.1214</v>
      </c>
      <c r="G79">
        <v>5.2907999999999999</v>
      </c>
      <c r="H79">
        <v>0.41020000000000001</v>
      </c>
      <c r="I79">
        <v>-8.3359000000000005</v>
      </c>
      <c r="J79">
        <v>1.0902000000000001</v>
      </c>
    </row>
    <row r="80" spans="2:10">
      <c r="B80">
        <v>3022</v>
      </c>
      <c r="D80">
        <v>1014</v>
      </c>
      <c r="E80">
        <v>177.77850000000001</v>
      </c>
      <c r="F80">
        <v>-0.32369999999999999</v>
      </c>
      <c r="G80">
        <v>1.0907</v>
      </c>
      <c r="H80">
        <v>0.37909999999999999</v>
      </c>
      <c r="I80">
        <v>7.6321000000000003</v>
      </c>
      <c r="J80">
        <v>-4.3992000000000004</v>
      </c>
    </row>
    <row r="81" spans="2:10">
      <c r="B81">
        <v>2140</v>
      </c>
      <c r="D81">
        <v>1014</v>
      </c>
      <c r="E81">
        <v>176.43770000000001</v>
      </c>
      <c r="F81">
        <v>-1.8180000000000001</v>
      </c>
      <c r="G81">
        <v>4.8563000000000001</v>
      </c>
      <c r="H81">
        <v>0.37909999999999999</v>
      </c>
      <c r="I81">
        <v>-10.3857</v>
      </c>
      <c r="J81">
        <v>2.1059000000000001</v>
      </c>
    </row>
    <row r="82" spans="2:10">
      <c r="B82">
        <v>3022</v>
      </c>
      <c r="D82">
        <v>1010</v>
      </c>
      <c r="E82">
        <v>170.7953</v>
      </c>
      <c r="F82">
        <v>-0.2868</v>
      </c>
      <c r="G82">
        <v>0.64019999999999999</v>
      </c>
      <c r="H82">
        <v>-0.1474</v>
      </c>
      <c r="I82">
        <v>7.2953999999999999</v>
      </c>
      <c r="J82">
        <v>-2.0661999999999998</v>
      </c>
    </row>
    <row r="83" spans="2:10">
      <c r="B83">
        <v>2140</v>
      </c>
      <c r="D83">
        <v>1010</v>
      </c>
      <c r="E83">
        <v>169.82429999999999</v>
      </c>
      <c r="F83">
        <v>-0.2868</v>
      </c>
      <c r="G83">
        <v>5.2118000000000002</v>
      </c>
      <c r="H83">
        <v>-0.1474</v>
      </c>
      <c r="I83">
        <v>-10.442399999999999</v>
      </c>
      <c r="J83">
        <v>-0.33</v>
      </c>
    </row>
    <row r="84" spans="2:10">
      <c r="B84">
        <v>3002</v>
      </c>
      <c r="D84">
        <v>1006</v>
      </c>
      <c r="E84">
        <v>159.41820000000001</v>
      </c>
      <c r="F84">
        <v>0.31990000000000002</v>
      </c>
      <c r="G84">
        <v>-1.3807</v>
      </c>
      <c r="H84">
        <v>0.20649999999999999</v>
      </c>
      <c r="I84">
        <v>2.4201999999999999</v>
      </c>
      <c r="J84">
        <v>0.16389999999999999</v>
      </c>
    </row>
    <row r="85" spans="2:10">
      <c r="B85">
        <v>3022</v>
      </c>
      <c r="D85">
        <v>2013</v>
      </c>
      <c r="E85">
        <v>157.8203</v>
      </c>
      <c r="F85">
        <v>-0.61680000000000001</v>
      </c>
      <c r="G85">
        <v>1.0834999999999999</v>
      </c>
      <c r="H85">
        <v>-0.38900000000000001</v>
      </c>
      <c r="I85">
        <v>7.4733000000000001</v>
      </c>
      <c r="J85">
        <v>-1.0444</v>
      </c>
    </row>
    <row r="86" spans="2:10">
      <c r="B86">
        <v>2140</v>
      </c>
      <c r="D86">
        <v>2013</v>
      </c>
      <c r="E86">
        <v>156.4794</v>
      </c>
      <c r="F86">
        <v>0.87760000000000005</v>
      </c>
      <c r="G86">
        <v>4.8491</v>
      </c>
      <c r="H86">
        <v>-0.38900000000000001</v>
      </c>
      <c r="I86">
        <v>-10.501200000000001</v>
      </c>
      <c r="J86">
        <v>-1.8562000000000001</v>
      </c>
    </row>
    <row r="87" spans="2:10">
      <c r="B87">
        <v>2141</v>
      </c>
      <c r="D87">
        <v>1006</v>
      </c>
      <c r="E87">
        <v>155.40899999999999</v>
      </c>
      <c r="F87">
        <v>-1.1744000000000001</v>
      </c>
      <c r="G87">
        <v>4.5601000000000003</v>
      </c>
      <c r="H87">
        <v>0.20649999999999999</v>
      </c>
      <c r="I87">
        <v>-7.2206999999999999</v>
      </c>
      <c r="J87">
        <v>2.7730000000000001</v>
      </c>
    </row>
    <row r="88" spans="2:10">
      <c r="B88">
        <v>3022</v>
      </c>
      <c r="D88">
        <v>1006</v>
      </c>
      <c r="E88">
        <v>153.27889999999999</v>
      </c>
      <c r="F88">
        <v>-1.1264000000000001</v>
      </c>
      <c r="G88">
        <v>-1.2899</v>
      </c>
      <c r="H88">
        <v>1.0934999999999999</v>
      </c>
      <c r="I88">
        <v>2.8451</v>
      </c>
      <c r="J88">
        <v>-7.9406999999999996</v>
      </c>
    </row>
    <row r="89" spans="2:10">
      <c r="B89">
        <v>2140</v>
      </c>
      <c r="D89">
        <v>1006</v>
      </c>
      <c r="E89">
        <v>149.2697</v>
      </c>
      <c r="F89">
        <v>-2.6208</v>
      </c>
      <c r="G89">
        <v>4.6509</v>
      </c>
      <c r="H89">
        <v>1.0934999999999999</v>
      </c>
      <c r="I89">
        <v>-7.3453999999999997</v>
      </c>
      <c r="J89">
        <v>3.4241999999999999</v>
      </c>
    </row>
    <row r="90" spans="2:10">
      <c r="B90">
        <v>3022</v>
      </c>
      <c r="D90">
        <v>1002</v>
      </c>
      <c r="E90">
        <v>146.29580000000001</v>
      </c>
      <c r="F90">
        <v>-1.0895999999999999</v>
      </c>
      <c r="G90">
        <v>-1.7403999999999999</v>
      </c>
      <c r="H90">
        <v>0.56699999999999995</v>
      </c>
      <c r="I90">
        <v>2.5084</v>
      </c>
      <c r="J90">
        <v>-5.6075999999999997</v>
      </c>
    </row>
    <row r="91" spans="2:10">
      <c r="B91">
        <v>2140</v>
      </c>
      <c r="D91">
        <v>1002</v>
      </c>
      <c r="E91">
        <v>142.65639999999999</v>
      </c>
      <c r="F91">
        <v>-1.0895999999999999</v>
      </c>
      <c r="G91">
        <v>5.0064000000000002</v>
      </c>
      <c r="H91">
        <v>0.56699999999999995</v>
      </c>
      <c r="I91">
        <v>-7.4020999999999999</v>
      </c>
      <c r="J91">
        <v>0.98819999999999997</v>
      </c>
    </row>
    <row r="92" spans="2:10">
      <c r="B92">
        <v>3021</v>
      </c>
      <c r="D92">
        <v>2001</v>
      </c>
      <c r="E92">
        <v>134.16739999999999</v>
      </c>
      <c r="F92">
        <v>1.0561</v>
      </c>
      <c r="G92">
        <v>-1.0011000000000001</v>
      </c>
      <c r="H92">
        <v>-0.28889999999999999</v>
      </c>
      <c r="I92">
        <v>2.3361000000000001</v>
      </c>
      <c r="J92">
        <v>-0.1258</v>
      </c>
    </row>
    <row r="93" spans="2:10">
      <c r="B93">
        <v>3022</v>
      </c>
      <c r="D93">
        <v>2005</v>
      </c>
      <c r="E93">
        <v>133.32069999999999</v>
      </c>
      <c r="F93">
        <v>-1.4196</v>
      </c>
      <c r="G93">
        <v>-1.2970999999999999</v>
      </c>
      <c r="H93">
        <v>0.32529999999999998</v>
      </c>
      <c r="I93">
        <v>2.6863000000000001</v>
      </c>
      <c r="J93">
        <v>-4.5858999999999996</v>
      </c>
    </row>
    <row r="94" spans="2:10">
      <c r="B94">
        <v>2140</v>
      </c>
      <c r="D94">
        <v>2005</v>
      </c>
      <c r="E94">
        <v>129.3115</v>
      </c>
      <c r="F94">
        <v>7.4800000000000005E-2</v>
      </c>
      <c r="G94">
        <v>4.6436999999999999</v>
      </c>
      <c r="H94">
        <v>0.32529999999999998</v>
      </c>
      <c r="I94">
        <v>-7.4607999999999999</v>
      </c>
      <c r="J94">
        <v>-0.53800000000000003</v>
      </c>
    </row>
    <row r="95" spans="2:10">
      <c r="B95">
        <v>2143</v>
      </c>
      <c r="D95">
        <v>2001</v>
      </c>
      <c r="E95">
        <v>129.26589999999999</v>
      </c>
      <c r="F95">
        <v>-1.0629</v>
      </c>
      <c r="G95">
        <v>3.0206</v>
      </c>
      <c r="H95">
        <v>-0.28889999999999999</v>
      </c>
      <c r="I95">
        <v>-3.7925</v>
      </c>
      <c r="J95">
        <v>-7.3200000000000001E-2</v>
      </c>
    </row>
    <row r="96" spans="2:10">
      <c r="B96">
        <v>3021</v>
      </c>
      <c r="D96">
        <v>2003</v>
      </c>
      <c r="E96">
        <v>127.08029999999999</v>
      </c>
      <c r="F96">
        <v>-1.0197000000000001</v>
      </c>
      <c r="G96">
        <v>-0.93589999999999995</v>
      </c>
      <c r="H96">
        <v>-0.52239999999999998</v>
      </c>
      <c r="I96">
        <v>2.0051999999999999</v>
      </c>
      <c r="J96">
        <v>4.19E-2</v>
      </c>
    </row>
    <row r="97" spans="1:10">
      <c r="B97">
        <v>2143</v>
      </c>
      <c r="D97">
        <v>2003</v>
      </c>
      <c r="E97">
        <v>122.1788</v>
      </c>
      <c r="F97">
        <v>1.0992999999999999</v>
      </c>
      <c r="G97">
        <v>3.0857999999999999</v>
      </c>
      <c r="H97">
        <v>-0.52239999999999998</v>
      </c>
      <c r="I97">
        <v>-4.5190999999999999</v>
      </c>
      <c r="J97">
        <v>-0.23150000000000001</v>
      </c>
    </row>
    <row r="98" spans="1:10">
      <c r="B98">
        <v>3022</v>
      </c>
      <c r="D98">
        <v>1013</v>
      </c>
      <c r="E98">
        <v>121.1519</v>
      </c>
      <c r="F98">
        <v>-0.58489999999999998</v>
      </c>
      <c r="G98">
        <v>0.79910000000000003</v>
      </c>
      <c r="H98">
        <v>-0.23219999999999999</v>
      </c>
      <c r="I98">
        <v>6.6856999999999998</v>
      </c>
      <c r="J98">
        <v>-0.95340000000000003</v>
      </c>
    </row>
    <row r="99" spans="1:10">
      <c r="B99">
        <v>2140</v>
      </c>
      <c r="D99">
        <v>1013</v>
      </c>
      <c r="E99">
        <v>119.81100000000001</v>
      </c>
      <c r="F99">
        <v>0.90949999999999998</v>
      </c>
      <c r="G99">
        <v>4.5647000000000002</v>
      </c>
      <c r="H99">
        <v>-0.23219999999999999</v>
      </c>
      <c r="I99">
        <v>-9.5672999999999995</v>
      </c>
      <c r="J99">
        <v>-1.9581999999999999</v>
      </c>
    </row>
    <row r="100" spans="1:10">
      <c r="B100">
        <v>3019</v>
      </c>
      <c r="D100">
        <v>2003</v>
      </c>
      <c r="E100">
        <v>117.63200000000001</v>
      </c>
      <c r="F100">
        <v>-1.1707000000000001</v>
      </c>
      <c r="G100">
        <v>-1.0472999999999999</v>
      </c>
      <c r="H100">
        <v>-0.41930000000000001</v>
      </c>
      <c r="I100">
        <v>1.7504999999999999</v>
      </c>
      <c r="J100">
        <v>-0.28610000000000002</v>
      </c>
    </row>
    <row r="101" spans="1:10">
      <c r="B101">
        <v>3021</v>
      </c>
      <c r="D101">
        <v>1001</v>
      </c>
      <c r="E101">
        <v>115.7689</v>
      </c>
      <c r="F101">
        <v>1.0530999999999999</v>
      </c>
      <c r="G101">
        <v>-1.0485</v>
      </c>
      <c r="H101">
        <v>-0.23699999999999999</v>
      </c>
      <c r="I101">
        <v>2.4382000000000001</v>
      </c>
      <c r="J101">
        <v>-9.4899999999999998E-2</v>
      </c>
    </row>
    <row r="102" spans="1:10">
      <c r="B102">
        <v>2142</v>
      </c>
      <c r="D102">
        <v>2003</v>
      </c>
      <c r="E102">
        <v>112.73050000000001</v>
      </c>
      <c r="F102">
        <v>0.94830000000000003</v>
      </c>
      <c r="G102">
        <v>2.9744999999999999</v>
      </c>
      <c r="H102">
        <v>-0.41930000000000001</v>
      </c>
      <c r="I102">
        <v>-4.0980999999999996</v>
      </c>
      <c r="J102">
        <v>0.3569</v>
      </c>
    </row>
    <row r="103" spans="1:10">
      <c r="A103" t="s">
        <v>626</v>
      </c>
      <c r="B103">
        <v>2143</v>
      </c>
      <c r="C103" t="s">
        <v>623</v>
      </c>
      <c r="D103">
        <v>1001</v>
      </c>
      <c r="E103">
        <v>110.8674</v>
      </c>
      <c r="F103">
        <v>-1.0659000000000001</v>
      </c>
      <c r="G103">
        <v>2.9733000000000001</v>
      </c>
      <c r="H103">
        <v>-0.23699999999999999</v>
      </c>
      <c r="I103">
        <v>-3.4030999999999998</v>
      </c>
      <c r="J103">
        <v>-2.41E-2</v>
      </c>
    </row>
    <row r="104" spans="1:10">
      <c r="B104">
        <v>3021</v>
      </c>
      <c r="D104">
        <v>1003</v>
      </c>
      <c r="E104">
        <v>108.6818</v>
      </c>
      <c r="F104">
        <v>-1.0226999999999999</v>
      </c>
      <c r="G104">
        <v>-0.98329999999999995</v>
      </c>
      <c r="H104">
        <v>-0.47049999999999997</v>
      </c>
      <c r="I104">
        <v>2.1073</v>
      </c>
      <c r="J104">
        <v>7.2800000000000004E-2</v>
      </c>
    </row>
    <row r="105" spans="1:10">
      <c r="B105">
        <v>3019</v>
      </c>
      <c r="D105">
        <v>2001</v>
      </c>
      <c r="E105">
        <v>104.8708</v>
      </c>
      <c r="F105">
        <v>1.0143</v>
      </c>
      <c r="G105">
        <v>-1.0477000000000001</v>
      </c>
      <c r="H105">
        <v>-0.1893</v>
      </c>
      <c r="I105">
        <v>1.4829000000000001</v>
      </c>
      <c r="J105">
        <v>-0.40799999999999997</v>
      </c>
    </row>
    <row r="106" spans="1:10">
      <c r="B106">
        <v>2143</v>
      </c>
      <c r="D106">
        <v>1003</v>
      </c>
      <c r="E106">
        <v>103.7803</v>
      </c>
      <c r="F106">
        <v>1.0963000000000001</v>
      </c>
      <c r="G106">
        <v>3.0385</v>
      </c>
      <c r="H106">
        <v>-0.47049999999999997</v>
      </c>
      <c r="I106">
        <v>-4.1296999999999997</v>
      </c>
      <c r="J106">
        <v>-0.18240000000000001</v>
      </c>
    </row>
    <row r="107" spans="1:10">
      <c r="B107">
        <v>2142</v>
      </c>
      <c r="D107">
        <v>2001</v>
      </c>
      <c r="E107">
        <v>99.969300000000004</v>
      </c>
      <c r="F107">
        <v>-1.1047</v>
      </c>
      <c r="G107">
        <v>2.9740000000000002</v>
      </c>
      <c r="H107">
        <v>-0.1893</v>
      </c>
      <c r="I107">
        <v>-4.3628</v>
      </c>
      <c r="J107">
        <v>-0.1018</v>
      </c>
    </row>
    <row r="108" spans="1:10">
      <c r="B108">
        <v>3022</v>
      </c>
      <c r="D108">
        <v>1005</v>
      </c>
      <c r="E108">
        <v>96.652299999999997</v>
      </c>
      <c r="F108">
        <v>-1.3876999999999999</v>
      </c>
      <c r="G108">
        <v>-1.5814999999999999</v>
      </c>
      <c r="H108">
        <v>0.48209999999999997</v>
      </c>
      <c r="I108">
        <v>1.8987000000000001</v>
      </c>
      <c r="J108">
        <v>-4.4949000000000003</v>
      </c>
    </row>
    <row r="109" spans="1:10">
      <c r="B109">
        <v>3019</v>
      </c>
      <c r="D109">
        <v>1003</v>
      </c>
      <c r="E109">
        <v>94.994200000000006</v>
      </c>
      <c r="F109">
        <v>-1.1288</v>
      </c>
      <c r="G109">
        <v>-1.1893</v>
      </c>
      <c r="H109">
        <v>-0.20630000000000001</v>
      </c>
      <c r="I109">
        <v>1.5427</v>
      </c>
      <c r="J109">
        <v>-4.7800000000000002E-2</v>
      </c>
    </row>
    <row r="110" spans="1:10">
      <c r="B110">
        <v>2140</v>
      </c>
      <c r="D110">
        <v>1005</v>
      </c>
      <c r="E110">
        <v>92.643100000000004</v>
      </c>
      <c r="F110">
        <v>0.1067</v>
      </c>
      <c r="G110">
        <v>4.3593000000000002</v>
      </c>
      <c r="H110">
        <v>0.48209999999999997</v>
      </c>
      <c r="I110">
        <v>-6.5270000000000001</v>
      </c>
      <c r="J110">
        <v>-0.64</v>
      </c>
    </row>
    <row r="111" spans="1:10">
      <c r="B111">
        <v>2142</v>
      </c>
      <c r="D111">
        <v>1003</v>
      </c>
      <c r="E111">
        <v>90.092699999999994</v>
      </c>
      <c r="F111">
        <v>0.99009999999999998</v>
      </c>
      <c r="G111">
        <v>2.8323999999999998</v>
      </c>
      <c r="H111">
        <v>-0.20630000000000001</v>
      </c>
      <c r="I111">
        <v>-3.4437000000000002</v>
      </c>
      <c r="J111">
        <v>0.34110000000000001</v>
      </c>
    </row>
    <row r="112" spans="1:10">
      <c r="B112">
        <v>3019</v>
      </c>
      <c r="D112">
        <v>1001</v>
      </c>
      <c r="E112">
        <v>82.232900000000001</v>
      </c>
      <c r="F112">
        <v>1.0562</v>
      </c>
      <c r="G112">
        <v>-1.1898</v>
      </c>
      <c r="H112">
        <v>2.3699999999999999E-2</v>
      </c>
      <c r="I112">
        <v>1.2750999999999999</v>
      </c>
      <c r="J112">
        <v>-0.16969999999999999</v>
      </c>
    </row>
    <row r="113" spans="1:10">
      <c r="A113" t="s">
        <v>625</v>
      </c>
      <c r="B113">
        <v>2142</v>
      </c>
      <c r="C113" t="s">
        <v>623</v>
      </c>
      <c r="D113">
        <v>1001</v>
      </c>
      <c r="E113">
        <v>77.331400000000002</v>
      </c>
      <c r="F113">
        <v>-1.0628</v>
      </c>
      <c r="G113">
        <v>2.8319000000000001</v>
      </c>
      <c r="H113">
        <v>2.3699999999999999E-2</v>
      </c>
      <c r="I113">
        <v>-3.7082999999999999</v>
      </c>
      <c r="J113">
        <v>-0.1177</v>
      </c>
    </row>
    <row r="114" spans="1:10">
      <c r="B114">
        <v>3021</v>
      </c>
      <c r="D114">
        <v>2009</v>
      </c>
      <c r="E114">
        <v>70.784800000000004</v>
      </c>
      <c r="F114">
        <v>1.0469999999999999</v>
      </c>
      <c r="G114">
        <v>-0.4415</v>
      </c>
      <c r="H114">
        <v>-9.2299999999999993E-2</v>
      </c>
      <c r="I114">
        <v>1.2143999999999999</v>
      </c>
      <c r="J114">
        <v>-0.11459999999999999</v>
      </c>
    </row>
    <row r="115" spans="1:10">
      <c r="B115">
        <v>2143</v>
      </c>
      <c r="D115">
        <v>2009</v>
      </c>
      <c r="E115">
        <v>68.551699999999997</v>
      </c>
      <c r="F115">
        <v>-1.0720000000000001</v>
      </c>
      <c r="G115">
        <v>1.3908</v>
      </c>
      <c r="H115">
        <v>-9.2299999999999993E-2</v>
      </c>
      <c r="I115">
        <v>-1.6665000000000001</v>
      </c>
      <c r="J115">
        <v>-6.7000000000000002E-3</v>
      </c>
    </row>
    <row r="116" spans="1:10">
      <c r="B116">
        <v>3019</v>
      </c>
      <c r="D116">
        <v>2011</v>
      </c>
      <c r="E116">
        <v>65.5214</v>
      </c>
      <c r="F116">
        <v>-1.1402000000000001</v>
      </c>
      <c r="G116">
        <v>-0.41920000000000002</v>
      </c>
      <c r="H116">
        <v>-0.31419999999999998</v>
      </c>
      <c r="I116">
        <v>1.0061</v>
      </c>
      <c r="J116">
        <v>-0.16500000000000001</v>
      </c>
    </row>
    <row r="117" spans="1:10">
      <c r="B117">
        <v>3021</v>
      </c>
      <c r="D117">
        <v>2011</v>
      </c>
      <c r="E117">
        <v>63.697800000000001</v>
      </c>
      <c r="F117">
        <v>-1.0287999999999999</v>
      </c>
      <c r="G117">
        <v>-0.37630000000000002</v>
      </c>
      <c r="H117">
        <v>-0.32579999999999998</v>
      </c>
      <c r="I117">
        <v>0.88349999999999995</v>
      </c>
      <c r="J117">
        <v>5.3199999999999997E-2</v>
      </c>
    </row>
    <row r="118" spans="1:10">
      <c r="B118">
        <v>2142</v>
      </c>
      <c r="D118">
        <v>2011</v>
      </c>
      <c r="E118">
        <v>63.288200000000003</v>
      </c>
      <c r="F118">
        <v>0.9788</v>
      </c>
      <c r="G118">
        <v>1.4131</v>
      </c>
      <c r="H118">
        <v>-0.31419999999999998</v>
      </c>
      <c r="I118">
        <v>-2.0101</v>
      </c>
      <c r="J118">
        <v>0.29299999999999998</v>
      </c>
    </row>
    <row r="119" spans="1:10">
      <c r="B119">
        <v>2143</v>
      </c>
      <c r="D119">
        <v>2011</v>
      </c>
      <c r="E119">
        <v>61.464599999999997</v>
      </c>
      <c r="F119">
        <v>1.0902000000000001</v>
      </c>
      <c r="G119">
        <v>1.456</v>
      </c>
      <c r="H119">
        <v>-0.32579999999999998</v>
      </c>
      <c r="I119">
        <v>-2.3932000000000002</v>
      </c>
      <c r="J119">
        <v>-0.1651</v>
      </c>
    </row>
    <row r="120" spans="1:10">
      <c r="B120">
        <v>3019</v>
      </c>
      <c r="D120">
        <v>2009</v>
      </c>
      <c r="E120">
        <v>52.760100000000001</v>
      </c>
      <c r="F120">
        <v>1.0448</v>
      </c>
      <c r="G120">
        <v>-0.41970000000000002</v>
      </c>
      <c r="H120">
        <v>-8.4199999999999997E-2</v>
      </c>
      <c r="I120">
        <v>0.73850000000000005</v>
      </c>
      <c r="J120">
        <v>-0.28689999999999999</v>
      </c>
    </row>
    <row r="121" spans="1:10">
      <c r="B121">
        <v>3021</v>
      </c>
      <c r="D121">
        <v>1009</v>
      </c>
      <c r="E121">
        <v>52.386299999999999</v>
      </c>
      <c r="F121">
        <v>1.044</v>
      </c>
      <c r="G121">
        <v>-0.48880000000000001</v>
      </c>
      <c r="H121">
        <v>-4.0399999999999998E-2</v>
      </c>
      <c r="I121">
        <v>1.3165</v>
      </c>
      <c r="J121">
        <v>-8.3699999999999997E-2</v>
      </c>
    </row>
    <row r="122" spans="1:10">
      <c r="B122">
        <v>2142</v>
      </c>
      <c r="D122">
        <v>2009</v>
      </c>
      <c r="E122">
        <v>50.526899999999998</v>
      </c>
      <c r="F122">
        <v>-1.0742</v>
      </c>
      <c r="G122">
        <v>1.4126000000000001</v>
      </c>
      <c r="H122">
        <v>-8.4199999999999997E-2</v>
      </c>
      <c r="I122">
        <v>-2.2747999999999999</v>
      </c>
      <c r="J122">
        <v>-0.1658</v>
      </c>
    </row>
    <row r="123" spans="1:10">
      <c r="B123">
        <v>2143</v>
      </c>
      <c r="D123">
        <v>1009</v>
      </c>
      <c r="E123">
        <v>50.153100000000002</v>
      </c>
      <c r="F123">
        <v>-1.075</v>
      </c>
      <c r="G123">
        <v>1.3434999999999999</v>
      </c>
      <c r="H123">
        <v>-4.0399999999999998E-2</v>
      </c>
      <c r="I123">
        <v>-1.2770999999999999</v>
      </c>
      <c r="J123">
        <v>4.2299999999999997E-2</v>
      </c>
    </row>
    <row r="124" spans="1:10">
      <c r="B124">
        <v>3021</v>
      </c>
      <c r="D124">
        <v>1011</v>
      </c>
      <c r="E124">
        <v>45.299199999999999</v>
      </c>
      <c r="F124">
        <v>-1.0318000000000001</v>
      </c>
      <c r="G124">
        <v>-0.42359999999999998</v>
      </c>
      <c r="H124">
        <v>-0.27389999999999998</v>
      </c>
      <c r="I124">
        <v>0.98570000000000002</v>
      </c>
      <c r="J124">
        <v>8.4099999999999994E-2</v>
      </c>
    </row>
    <row r="125" spans="1:10">
      <c r="B125">
        <v>2143</v>
      </c>
      <c r="D125">
        <v>1011</v>
      </c>
      <c r="E125">
        <v>43.066099999999999</v>
      </c>
      <c r="F125">
        <v>1.0871999999999999</v>
      </c>
      <c r="G125">
        <v>1.4087000000000001</v>
      </c>
      <c r="H125">
        <v>-0.27389999999999998</v>
      </c>
      <c r="I125">
        <v>-2.0038</v>
      </c>
      <c r="J125">
        <v>-0.11600000000000001</v>
      </c>
    </row>
    <row r="126" spans="1:10">
      <c r="B126">
        <v>3019</v>
      </c>
      <c r="D126">
        <v>1011</v>
      </c>
      <c r="E126">
        <v>42.883499999999998</v>
      </c>
      <c r="F126">
        <v>-1.0983000000000001</v>
      </c>
      <c r="G126">
        <v>-0.56130000000000002</v>
      </c>
      <c r="H126">
        <v>-0.1012</v>
      </c>
      <c r="I126">
        <v>0.79830000000000001</v>
      </c>
      <c r="J126">
        <v>7.3400000000000007E-2</v>
      </c>
    </row>
    <row r="127" spans="1:10">
      <c r="B127">
        <v>2142</v>
      </c>
      <c r="D127">
        <v>1011</v>
      </c>
      <c r="E127">
        <v>40.650399999999998</v>
      </c>
      <c r="F127">
        <v>1.0206</v>
      </c>
      <c r="G127">
        <v>1.2710999999999999</v>
      </c>
      <c r="H127">
        <v>-0.1012</v>
      </c>
      <c r="I127">
        <v>-1.3556999999999999</v>
      </c>
      <c r="J127">
        <v>0.27710000000000001</v>
      </c>
    </row>
    <row r="128" spans="1:10">
      <c r="B128">
        <v>3022</v>
      </c>
      <c r="D128">
        <v>2011</v>
      </c>
      <c r="E128">
        <v>34.440800000000003</v>
      </c>
      <c r="F128">
        <v>-0.57789999999999997</v>
      </c>
      <c r="G128">
        <v>-1.7655000000000001</v>
      </c>
      <c r="H128">
        <v>1.024</v>
      </c>
      <c r="I128">
        <v>-3.2982</v>
      </c>
      <c r="J128">
        <v>-5.7779999999999996</v>
      </c>
    </row>
    <row r="129" spans="2:10">
      <c r="B129">
        <v>2140</v>
      </c>
      <c r="D129">
        <v>2011</v>
      </c>
      <c r="E129">
        <v>32.207700000000003</v>
      </c>
      <c r="F129">
        <v>-2.6913</v>
      </c>
      <c r="G129">
        <v>5.4899999999999997E-2</v>
      </c>
      <c r="H129">
        <v>1.024</v>
      </c>
      <c r="I129">
        <v>1.8794999999999999</v>
      </c>
      <c r="J129">
        <v>4.1494</v>
      </c>
    </row>
    <row r="130" spans="2:10">
      <c r="B130">
        <v>3019</v>
      </c>
      <c r="D130">
        <v>1009</v>
      </c>
      <c r="E130">
        <v>30.122199999999999</v>
      </c>
      <c r="F130">
        <v>1.0867</v>
      </c>
      <c r="G130">
        <v>-0.56179999999999997</v>
      </c>
      <c r="H130">
        <v>0.1288</v>
      </c>
      <c r="I130">
        <v>0.53069999999999995</v>
      </c>
      <c r="J130">
        <v>-4.8500000000000001E-2</v>
      </c>
    </row>
    <row r="131" spans="2:10">
      <c r="B131">
        <v>2142</v>
      </c>
      <c r="D131">
        <v>1009</v>
      </c>
      <c r="E131">
        <v>27.889099999999999</v>
      </c>
      <c r="F131">
        <v>-1.0323</v>
      </c>
      <c r="G131">
        <v>1.2706</v>
      </c>
      <c r="H131">
        <v>0.1288</v>
      </c>
      <c r="I131">
        <v>-1.6203000000000001</v>
      </c>
      <c r="J131">
        <v>-0.18160000000000001</v>
      </c>
    </row>
    <row r="132" spans="2:10">
      <c r="B132">
        <v>3002</v>
      </c>
      <c r="D132">
        <v>2009</v>
      </c>
      <c r="E132">
        <v>18.922000000000001</v>
      </c>
      <c r="F132">
        <v>-0.65449999999999997</v>
      </c>
      <c r="G132">
        <v>-1.7239</v>
      </c>
      <c r="H132">
        <v>-0.14360000000000001</v>
      </c>
      <c r="I132">
        <v>-3.1814</v>
      </c>
      <c r="J132">
        <v>-0.17249999999999999</v>
      </c>
    </row>
    <row r="133" spans="2:10">
      <c r="B133">
        <v>2141</v>
      </c>
      <c r="D133">
        <v>2009</v>
      </c>
      <c r="E133">
        <v>16.688800000000001</v>
      </c>
      <c r="F133">
        <v>1.4590000000000001</v>
      </c>
      <c r="G133">
        <v>9.6500000000000002E-2</v>
      </c>
      <c r="H133">
        <v>-0.14360000000000001</v>
      </c>
      <c r="I133">
        <v>1.7444999999999999</v>
      </c>
      <c r="J133">
        <v>-2.6395</v>
      </c>
    </row>
    <row r="134" spans="2:10">
      <c r="B134">
        <v>3022</v>
      </c>
      <c r="D134">
        <v>2003</v>
      </c>
      <c r="E134">
        <v>9.9412000000000003</v>
      </c>
      <c r="F134">
        <v>-1.3807</v>
      </c>
      <c r="G134">
        <v>-4.1460999999999997</v>
      </c>
      <c r="H134">
        <v>1.7383999999999999</v>
      </c>
      <c r="I134">
        <v>-8.0852000000000004</v>
      </c>
      <c r="J134">
        <v>-9.3193999999999999</v>
      </c>
    </row>
    <row r="135" spans="2:10">
      <c r="B135">
        <v>2140</v>
      </c>
      <c r="D135">
        <v>2003</v>
      </c>
      <c r="E135">
        <v>5.0396999999999998</v>
      </c>
      <c r="F135">
        <v>-3.4941</v>
      </c>
      <c r="G135">
        <v>-0.15049999999999999</v>
      </c>
      <c r="H135">
        <v>1.7383999999999999</v>
      </c>
      <c r="I135">
        <v>4.9199000000000002</v>
      </c>
      <c r="J135">
        <v>5.4676</v>
      </c>
    </row>
    <row r="136" spans="2:10">
      <c r="B136">
        <v>3022</v>
      </c>
      <c r="D136">
        <v>1011</v>
      </c>
      <c r="E136">
        <v>-2.2275999999999998</v>
      </c>
      <c r="F136">
        <v>-0.54600000000000004</v>
      </c>
      <c r="G136">
        <v>-2.0499000000000001</v>
      </c>
      <c r="H136">
        <v>1.1809000000000001</v>
      </c>
      <c r="I136">
        <v>-4.0857999999999999</v>
      </c>
      <c r="J136">
        <v>-5.6870000000000003</v>
      </c>
    </row>
    <row r="137" spans="2:10">
      <c r="B137">
        <v>2140</v>
      </c>
      <c r="D137">
        <v>1011</v>
      </c>
      <c r="E137">
        <v>-4.4607000000000001</v>
      </c>
      <c r="F137">
        <v>-2.6595</v>
      </c>
      <c r="G137">
        <v>-0.22950000000000001</v>
      </c>
      <c r="H137">
        <v>1.1809000000000001</v>
      </c>
      <c r="I137">
        <v>2.8134000000000001</v>
      </c>
      <c r="J137">
        <v>4.0473999999999997</v>
      </c>
    </row>
    <row r="138" spans="2:10">
      <c r="B138">
        <v>3002</v>
      </c>
      <c r="D138">
        <v>1009</v>
      </c>
      <c r="E138">
        <v>-9.4885999999999999</v>
      </c>
      <c r="F138">
        <v>-0.77780000000000005</v>
      </c>
      <c r="G138">
        <v>-1.9864999999999999</v>
      </c>
      <c r="H138">
        <v>-0.19400000000000001</v>
      </c>
      <c r="I138">
        <v>-3.8704000000000001</v>
      </c>
      <c r="J138">
        <v>-0.25600000000000001</v>
      </c>
    </row>
    <row r="139" spans="2:10">
      <c r="B139">
        <v>3002</v>
      </c>
      <c r="D139">
        <v>2001</v>
      </c>
      <c r="E139">
        <v>-10.426299999999999</v>
      </c>
      <c r="F139">
        <v>-0.68169999999999997</v>
      </c>
      <c r="G139">
        <v>-3.9624999999999999</v>
      </c>
      <c r="H139">
        <v>-0.2712</v>
      </c>
      <c r="I139">
        <v>-7.5347999999999997</v>
      </c>
      <c r="J139">
        <v>-0.3377</v>
      </c>
    </row>
    <row r="140" spans="2:10">
      <c r="B140">
        <v>2141</v>
      </c>
      <c r="D140">
        <v>1009</v>
      </c>
      <c r="E140">
        <v>-11.7217</v>
      </c>
      <c r="F140">
        <v>1.3355999999999999</v>
      </c>
      <c r="G140">
        <v>-0.16600000000000001</v>
      </c>
      <c r="H140">
        <v>-0.19400000000000001</v>
      </c>
      <c r="I140">
        <v>2.645</v>
      </c>
      <c r="J140">
        <v>-1.9761</v>
      </c>
    </row>
    <row r="141" spans="2:10">
      <c r="B141">
        <v>2141</v>
      </c>
      <c r="D141">
        <v>2001</v>
      </c>
      <c r="E141">
        <v>-15.3278</v>
      </c>
      <c r="F141">
        <v>1.4318</v>
      </c>
      <c r="G141">
        <v>3.3099999999999997E-2</v>
      </c>
      <c r="H141">
        <v>-0.2712</v>
      </c>
      <c r="I141">
        <v>4.3587999999999996</v>
      </c>
      <c r="J141">
        <v>-2.6398999999999999</v>
      </c>
    </row>
    <row r="142" spans="2:10">
      <c r="B142">
        <v>3022</v>
      </c>
      <c r="D142">
        <v>1003</v>
      </c>
      <c r="E142">
        <v>-26.7272</v>
      </c>
      <c r="F142">
        <v>-1.3488</v>
      </c>
      <c r="G142">
        <v>-4.4305000000000003</v>
      </c>
      <c r="H142">
        <v>1.8952</v>
      </c>
      <c r="I142">
        <v>-8.8727999999999998</v>
      </c>
      <c r="J142">
        <v>-9.2284000000000006</v>
      </c>
    </row>
    <row r="143" spans="2:10">
      <c r="B143">
        <v>2140</v>
      </c>
      <c r="D143">
        <v>1003</v>
      </c>
      <c r="E143">
        <v>-31.628699999999998</v>
      </c>
      <c r="F143">
        <v>-3.4622000000000002</v>
      </c>
      <c r="G143">
        <v>-0.43480000000000002</v>
      </c>
      <c r="H143">
        <v>1.8952</v>
      </c>
      <c r="I143">
        <v>5.8536999999999999</v>
      </c>
      <c r="J143">
        <v>5.3657000000000004</v>
      </c>
    </row>
    <row r="144" spans="2:10">
      <c r="B144">
        <v>3002</v>
      </c>
      <c r="D144">
        <v>1001</v>
      </c>
      <c r="E144">
        <v>-38.836799999999997</v>
      </c>
      <c r="F144">
        <v>-0.80510000000000004</v>
      </c>
      <c r="G144">
        <v>-4.2251000000000003</v>
      </c>
      <c r="H144">
        <v>-0.32169999999999999</v>
      </c>
      <c r="I144">
        <v>-8.2238000000000007</v>
      </c>
      <c r="J144">
        <v>-0.42120000000000002</v>
      </c>
    </row>
    <row r="145" spans="1:10">
      <c r="A145" t="s">
        <v>624</v>
      </c>
      <c r="B145">
        <v>2141</v>
      </c>
      <c r="C145" t="s">
        <v>623</v>
      </c>
      <c r="D145">
        <v>1001</v>
      </c>
      <c r="E145">
        <v>-43.738300000000002</v>
      </c>
      <c r="F145">
        <v>1.3084</v>
      </c>
      <c r="G145">
        <v>-0.22939999999999999</v>
      </c>
      <c r="H145">
        <v>-0.32169999999999999</v>
      </c>
      <c r="I145">
        <v>5.2592999999999996</v>
      </c>
      <c r="J145">
        <v>-1.9763999999999999</v>
      </c>
    </row>
    <row r="146" spans="1:10">
      <c r="B146">
        <v>3022</v>
      </c>
      <c r="D146">
        <v>2009</v>
      </c>
      <c r="E146">
        <v>-44.984900000000003</v>
      </c>
      <c r="F146">
        <v>-0.95040000000000002</v>
      </c>
      <c r="G146">
        <v>-2.1720999999999999</v>
      </c>
      <c r="H146">
        <v>0.15359999999999999</v>
      </c>
      <c r="I146">
        <v>-4.6195000000000004</v>
      </c>
      <c r="J146">
        <v>-0.91769999999999996</v>
      </c>
    </row>
    <row r="147" spans="1:10">
      <c r="B147">
        <v>3002</v>
      </c>
      <c r="D147">
        <v>2011</v>
      </c>
      <c r="E147">
        <v>-46.768500000000003</v>
      </c>
      <c r="F147">
        <v>0.71819999999999995</v>
      </c>
      <c r="G147">
        <v>-1.9851000000000001</v>
      </c>
      <c r="H147">
        <v>-5.4600000000000003E-2</v>
      </c>
      <c r="I147">
        <v>-4.0708000000000002</v>
      </c>
      <c r="J147">
        <v>-5.9400000000000001E-2</v>
      </c>
    </row>
    <row r="148" spans="1:10">
      <c r="B148">
        <v>2140</v>
      </c>
      <c r="D148">
        <v>2009</v>
      </c>
      <c r="E148">
        <v>-47.2181</v>
      </c>
      <c r="F148">
        <v>1.1631</v>
      </c>
      <c r="G148">
        <v>-0.35170000000000001</v>
      </c>
      <c r="H148">
        <v>0.15359999999999999</v>
      </c>
      <c r="I148">
        <v>3.0196000000000001</v>
      </c>
      <c r="J148">
        <v>-1.5932999999999999</v>
      </c>
    </row>
    <row r="149" spans="1:10">
      <c r="B149">
        <v>2141</v>
      </c>
      <c r="D149">
        <v>2011</v>
      </c>
      <c r="E149">
        <v>-49.001600000000003</v>
      </c>
      <c r="F149">
        <v>-1.3953</v>
      </c>
      <c r="G149">
        <v>-0.1646</v>
      </c>
      <c r="H149">
        <v>-5.4600000000000003E-2</v>
      </c>
      <c r="I149">
        <v>2.4359000000000002</v>
      </c>
      <c r="J149">
        <v>2.0219</v>
      </c>
    </row>
    <row r="150" spans="1:10">
      <c r="B150">
        <v>3022</v>
      </c>
      <c r="D150">
        <v>2001</v>
      </c>
      <c r="E150">
        <v>-69.484499999999997</v>
      </c>
      <c r="F150">
        <v>-1.7531000000000001</v>
      </c>
      <c r="G150">
        <v>-4.5526999999999997</v>
      </c>
      <c r="H150">
        <v>0.86799999999999999</v>
      </c>
      <c r="I150">
        <v>-9.4064999999999994</v>
      </c>
      <c r="J150">
        <v>-4.4592000000000001</v>
      </c>
    </row>
    <row r="151" spans="1:10">
      <c r="B151">
        <v>2140</v>
      </c>
      <c r="D151">
        <v>2001</v>
      </c>
      <c r="E151">
        <v>-74.385999999999996</v>
      </c>
      <c r="F151">
        <v>0.36030000000000001</v>
      </c>
      <c r="G151">
        <v>-0.55710000000000004</v>
      </c>
      <c r="H151">
        <v>0.86799999999999999</v>
      </c>
      <c r="I151">
        <v>6.06</v>
      </c>
      <c r="J151">
        <v>-0.27510000000000001</v>
      </c>
    </row>
    <row r="152" spans="1:10">
      <c r="B152">
        <v>3002</v>
      </c>
      <c r="D152">
        <v>1011</v>
      </c>
      <c r="E152">
        <v>-75.179000000000002</v>
      </c>
      <c r="F152">
        <v>0.5948</v>
      </c>
      <c r="G152">
        <v>-2.2475999999999998</v>
      </c>
      <c r="H152">
        <v>-0.1051</v>
      </c>
      <c r="I152">
        <v>-4.7598000000000003</v>
      </c>
      <c r="J152">
        <v>-0.1429</v>
      </c>
    </row>
    <row r="153" spans="1:10">
      <c r="B153">
        <v>3002</v>
      </c>
      <c r="D153">
        <v>2003</v>
      </c>
      <c r="E153">
        <v>-76.116699999999994</v>
      </c>
      <c r="F153">
        <v>0.69089999999999996</v>
      </c>
      <c r="G153">
        <v>-4.2236000000000002</v>
      </c>
      <c r="H153">
        <v>-0.18229999999999999</v>
      </c>
      <c r="I153">
        <v>-8.4242000000000008</v>
      </c>
      <c r="J153">
        <v>-0.22459999999999999</v>
      </c>
    </row>
    <row r="154" spans="1:10">
      <c r="B154">
        <v>2141</v>
      </c>
      <c r="D154">
        <v>1011</v>
      </c>
      <c r="E154">
        <v>-77.412099999999995</v>
      </c>
      <c r="F154">
        <v>-1.5185999999999999</v>
      </c>
      <c r="G154">
        <v>-0.42720000000000002</v>
      </c>
      <c r="H154">
        <v>-0.1051</v>
      </c>
      <c r="I154">
        <v>3.3365</v>
      </c>
      <c r="J154">
        <v>2.6854</v>
      </c>
    </row>
    <row r="155" spans="1:10">
      <c r="B155">
        <v>2141</v>
      </c>
      <c r="D155">
        <v>2003</v>
      </c>
      <c r="E155">
        <v>-81.018199999999993</v>
      </c>
      <c r="F155">
        <v>-1.4225000000000001</v>
      </c>
      <c r="G155">
        <v>-0.22800000000000001</v>
      </c>
      <c r="H155">
        <v>-0.18229999999999999</v>
      </c>
      <c r="I155">
        <v>5.0502000000000002</v>
      </c>
      <c r="J155">
        <v>2.0215000000000001</v>
      </c>
    </row>
    <row r="156" spans="1:10">
      <c r="B156">
        <v>3022</v>
      </c>
      <c r="D156">
        <v>1009</v>
      </c>
      <c r="E156">
        <v>-81.653300000000002</v>
      </c>
      <c r="F156">
        <v>-0.91849999999999998</v>
      </c>
      <c r="G156">
        <v>-2.4565000000000001</v>
      </c>
      <c r="H156">
        <v>0.3105</v>
      </c>
      <c r="I156">
        <v>-5.4070999999999998</v>
      </c>
      <c r="J156">
        <v>-0.82669999999999999</v>
      </c>
    </row>
    <row r="157" spans="1:10">
      <c r="B157">
        <v>2140</v>
      </c>
      <c r="D157">
        <v>1009</v>
      </c>
      <c r="E157">
        <v>-83.886499999999998</v>
      </c>
      <c r="F157">
        <v>1.1949000000000001</v>
      </c>
      <c r="G157">
        <v>-0.63600000000000001</v>
      </c>
      <c r="H157">
        <v>0.3105</v>
      </c>
      <c r="I157">
        <v>3.9535</v>
      </c>
      <c r="J157">
        <v>-1.6953</v>
      </c>
    </row>
    <row r="158" spans="1:10">
      <c r="B158">
        <v>3002</v>
      </c>
      <c r="D158">
        <v>1003</v>
      </c>
      <c r="E158">
        <v>-104.52719999999999</v>
      </c>
      <c r="F158">
        <v>0.56759999999999999</v>
      </c>
      <c r="G158">
        <v>-4.4862000000000002</v>
      </c>
      <c r="H158">
        <v>-0.23269999999999999</v>
      </c>
      <c r="I158">
        <v>-9.1132000000000009</v>
      </c>
      <c r="J158">
        <v>-0.308</v>
      </c>
    </row>
    <row r="159" spans="1:10">
      <c r="B159">
        <v>3022</v>
      </c>
      <c r="D159">
        <v>1001</v>
      </c>
      <c r="E159">
        <v>-106.1529</v>
      </c>
      <c r="F159">
        <v>-1.7213000000000001</v>
      </c>
      <c r="G159">
        <v>-4.8371000000000004</v>
      </c>
      <c r="H159">
        <v>1.0247999999999999</v>
      </c>
      <c r="I159">
        <v>-10.194100000000001</v>
      </c>
      <c r="J159">
        <v>-4.3681999999999999</v>
      </c>
    </row>
    <row r="160" spans="1:10">
      <c r="B160">
        <v>2141</v>
      </c>
      <c r="D160">
        <v>1003</v>
      </c>
      <c r="E160">
        <v>-109.42870000000001</v>
      </c>
      <c r="F160">
        <v>-1.5459000000000001</v>
      </c>
      <c r="G160">
        <v>-0.49059999999999998</v>
      </c>
      <c r="H160">
        <v>-0.23269999999999999</v>
      </c>
      <c r="I160">
        <v>5.9508000000000001</v>
      </c>
      <c r="J160">
        <v>2.6850000000000001</v>
      </c>
    </row>
    <row r="161" spans="1:10">
      <c r="A161" t="s">
        <v>622</v>
      </c>
      <c r="B161">
        <v>2140</v>
      </c>
      <c r="C161" t="s">
        <v>623</v>
      </c>
      <c r="D161">
        <v>1001</v>
      </c>
      <c r="E161">
        <v>-111.0544</v>
      </c>
      <c r="F161">
        <v>0.39219999999999999</v>
      </c>
      <c r="G161">
        <v>-0.84140000000000004</v>
      </c>
      <c r="H161">
        <v>1.0247999999999999</v>
      </c>
      <c r="I161">
        <v>6.9938000000000002</v>
      </c>
      <c r="J161">
        <v>-0.37709999999999999</v>
      </c>
    </row>
    <row r="162" spans="1:10">
      <c r="B162">
        <v>3019</v>
      </c>
      <c r="D162">
        <v>2006</v>
      </c>
      <c r="E162">
        <v>-172.77610000000001</v>
      </c>
      <c r="F162">
        <v>-0.74019999999999997</v>
      </c>
      <c r="G162">
        <v>-3.17</v>
      </c>
      <c r="H162">
        <v>7.0699999999999999E-2</v>
      </c>
      <c r="I162">
        <v>-7.1626000000000003</v>
      </c>
      <c r="J162">
        <v>0.16439999999999999</v>
      </c>
    </row>
    <row r="163" spans="1:10">
      <c r="B163">
        <v>2142</v>
      </c>
      <c r="D163">
        <v>2006</v>
      </c>
      <c r="E163">
        <v>-178.57570000000001</v>
      </c>
      <c r="F163">
        <v>0.7581</v>
      </c>
      <c r="G163">
        <v>-1.0933999999999999</v>
      </c>
      <c r="H163">
        <v>7.0699999999999999E-2</v>
      </c>
      <c r="I163">
        <v>5.7934999999999999</v>
      </c>
      <c r="J163">
        <v>8.7599999999999997E-2</v>
      </c>
    </row>
    <row r="164" spans="1:10">
      <c r="B164">
        <v>3019</v>
      </c>
      <c r="D164">
        <v>2005</v>
      </c>
      <c r="E164">
        <v>-181.99879999999999</v>
      </c>
      <c r="F164">
        <v>0.80569999999999997</v>
      </c>
      <c r="G164">
        <v>-3.1720999999999999</v>
      </c>
      <c r="H164">
        <v>0.23730000000000001</v>
      </c>
      <c r="I164">
        <v>-7.3574999999999999</v>
      </c>
      <c r="J164">
        <v>8.2699999999999996E-2</v>
      </c>
    </row>
    <row r="165" spans="1:10">
      <c r="B165">
        <v>2142</v>
      </c>
      <c r="D165">
        <v>2005</v>
      </c>
      <c r="E165">
        <v>-187.79849999999999</v>
      </c>
      <c r="F165">
        <v>-0.69259999999999999</v>
      </c>
      <c r="G165">
        <v>-1.0955999999999999</v>
      </c>
      <c r="H165">
        <v>0.23730000000000001</v>
      </c>
      <c r="I165">
        <v>5.6113</v>
      </c>
      <c r="J165">
        <v>-0.2379</v>
      </c>
    </row>
    <row r="166" spans="1:10">
      <c r="B166">
        <v>3022</v>
      </c>
      <c r="D166">
        <v>2015</v>
      </c>
      <c r="E166">
        <v>-193.73910000000001</v>
      </c>
      <c r="F166">
        <v>-0.92030000000000001</v>
      </c>
      <c r="G166">
        <v>-5.202</v>
      </c>
      <c r="H166">
        <v>1.9805999999999999</v>
      </c>
      <c r="I166">
        <v>-16.8565</v>
      </c>
      <c r="J166">
        <v>-7.4302999999999999</v>
      </c>
    </row>
    <row r="167" spans="1:10">
      <c r="B167">
        <v>3019</v>
      </c>
      <c r="D167">
        <v>1006</v>
      </c>
      <c r="E167">
        <v>-195.41390000000001</v>
      </c>
      <c r="F167">
        <v>-0.69830000000000003</v>
      </c>
      <c r="G167">
        <v>-3.3121</v>
      </c>
      <c r="H167">
        <v>0.28370000000000001</v>
      </c>
      <c r="I167">
        <v>-7.3704000000000001</v>
      </c>
      <c r="J167">
        <v>0.40279999999999999</v>
      </c>
    </row>
    <row r="168" spans="1:10">
      <c r="B168">
        <v>2140</v>
      </c>
      <c r="D168">
        <v>2015</v>
      </c>
      <c r="E168">
        <v>-196.86449999999999</v>
      </c>
      <c r="F168">
        <v>-3.512</v>
      </c>
      <c r="G168">
        <v>-6.1772999999999998</v>
      </c>
      <c r="H168">
        <v>1.9805999999999999</v>
      </c>
      <c r="I168">
        <v>17.6218</v>
      </c>
      <c r="J168">
        <v>6.0305</v>
      </c>
    </row>
    <row r="169" spans="1:10">
      <c r="B169">
        <v>2142</v>
      </c>
      <c r="D169">
        <v>1006</v>
      </c>
      <c r="E169">
        <v>-201.21350000000001</v>
      </c>
      <c r="F169">
        <v>0.79990000000000006</v>
      </c>
      <c r="G169">
        <v>-1.2355</v>
      </c>
      <c r="H169">
        <v>0.28370000000000001</v>
      </c>
      <c r="I169">
        <v>6.4478999999999997</v>
      </c>
      <c r="J169">
        <v>7.1800000000000003E-2</v>
      </c>
    </row>
    <row r="170" spans="1:10">
      <c r="B170">
        <v>3019</v>
      </c>
      <c r="D170">
        <v>1005</v>
      </c>
      <c r="E170">
        <v>-204.63669999999999</v>
      </c>
      <c r="F170">
        <v>0.84750000000000003</v>
      </c>
      <c r="G170">
        <v>-3.3142</v>
      </c>
      <c r="H170">
        <v>0.45029999999999998</v>
      </c>
      <c r="I170">
        <v>-7.5654000000000003</v>
      </c>
      <c r="J170">
        <v>0.32100000000000001</v>
      </c>
    </row>
    <row r="171" spans="1:10">
      <c r="B171">
        <v>2142</v>
      </c>
      <c r="D171">
        <v>1005</v>
      </c>
      <c r="E171">
        <v>-210.43629999999999</v>
      </c>
      <c r="F171">
        <v>-0.65069999999999995</v>
      </c>
      <c r="G171">
        <v>-1.2376</v>
      </c>
      <c r="H171">
        <v>0.45029999999999998</v>
      </c>
      <c r="I171">
        <v>6.2657999999999996</v>
      </c>
      <c r="J171">
        <v>-0.25369999999999998</v>
      </c>
    </row>
    <row r="172" spans="1:10">
      <c r="B172">
        <v>3022</v>
      </c>
      <c r="D172">
        <v>2012</v>
      </c>
      <c r="E172">
        <v>-217.65090000000001</v>
      </c>
      <c r="F172">
        <v>-1.2155</v>
      </c>
      <c r="G172">
        <v>-4.8734000000000002</v>
      </c>
      <c r="H172">
        <v>1.484</v>
      </c>
      <c r="I172">
        <v>-16.0367</v>
      </c>
      <c r="J172">
        <v>-4.5499000000000001</v>
      </c>
    </row>
    <row r="173" spans="1:10">
      <c r="B173">
        <v>3022</v>
      </c>
      <c r="D173">
        <v>2007</v>
      </c>
      <c r="E173">
        <v>-218.23869999999999</v>
      </c>
      <c r="F173">
        <v>-1.7230000000000001</v>
      </c>
      <c r="G173">
        <v>-7.5826000000000002</v>
      </c>
      <c r="H173">
        <v>2.6949999999999998</v>
      </c>
      <c r="I173">
        <v>-21.6435</v>
      </c>
      <c r="J173">
        <v>-10.9717</v>
      </c>
    </row>
    <row r="174" spans="1:10">
      <c r="B174">
        <v>2140</v>
      </c>
      <c r="D174">
        <v>2012</v>
      </c>
      <c r="E174">
        <v>-221.14609999999999</v>
      </c>
      <c r="F174">
        <v>-1.2155</v>
      </c>
      <c r="G174">
        <v>-5.8041999999999998</v>
      </c>
      <c r="H174">
        <v>1.484</v>
      </c>
      <c r="I174">
        <v>16.307500000000001</v>
      </c>
      <c r="J174">
        <v>2.8081</v>
      </c>
    </row>
    <row r="175" spans="1:10">
      <c r="B175">
        <v>2140</v>
      </c>
      <c r="D175">
        <v>2007</v>
      </c>
      <c r="E175">
        <v>-224.0325</v>
      </c>
      <c r="F175">
        <v>-4.3147000000000002</v>
      </c>
      <c r="G175">
        <v>-6.3826999999999998</v>
      </c>
      <c r="H175">
        <v>2.6949999999999998</v>
      </c>
      <c r="I175">
        <v>20.662199999999999</v>
      </c>
      <c r="J175">
        <v>7.3487</v>
      </c>
    </row>
    <row r="176" spans="1:10">
      <c r="B176">
        <v>3022</v>
      </c>
      <c r="D176">
        <v>2016</v>
      </c>
      <c r="E176">
        <v>-224.50460000000001</v>
      </c>
      <c r="F176">
        <v>-1.1751</v>
      </c>
      <c r="G176">
        <v>-5.3090000000000002</v>
      </c>
      <c r="H176">
        <v>0.95150000000000001</v>
      </c>
      <c r="I176">
        <v>-16.3263</v>
      </c>
      <c r="J176">
        <v>-2.2141000000000002</v>
      </c>
    </row>
    <row r="177" spans="2:10">
      <c r="B177">
        <v>3019</v>
      </c>
      <c r="D177">
        <v>2014</v>
      </c>
      <c r="E177">
        <v>-224.88679999999999</v>
      </c>
      <c r="F177">
        <v>-0.7097</v>
      </c>
      <c r="G177">
        <v>-2.5419999999999998</v>
      </c>
      <c r="H177">
        <v>0.17580000000000001</v>
      </c>
      <c r="I177">
        <v>-7.907</v>
      </c>
      <c r="J177">
        <v>0.28560000000000002</v>
      </c>
    </row>
    <row r="178" spans="2:10">
      <c r="B178">
        <v>3019</v>
      </c>
      <c r="D178">
        <v>2002</v>
      </c>
      <c r="E178">
        <v>-225.1062</v>
      </c>
      <c r="F178">
        <v>5.8599999999999999E-2</v>
      </c>
      <c r="G178">
        <v>-3.2332999999999998</v>
      </c>
      <c r="H178">
        <v>0.26279999999999998</v>
      </c>
      <c r="I178">
        <v>-8.2201000000000004</v>
      </c>
      <c r="J178">
        <v>0.2397</v>
      </c>
    </row>
    <row r="179" spans="2:10">
      <c r="B179">
        <v>2140</v>
      </c>
      <c r="D179">
        <v>2016</v>
      </c>
      <c r="E179">
        <v>-227.6301</v>
      </c>
      <c r="F179">
        <v>0.31929999999999997</v>
      </c>
      <c r="G179">
        <v>-5.4337</v>
      </c>
      <c r="H179">
        <v>0.95150000000000001</v>
      </c>
      <c r="I179">
        <v>16.2075</v>
      </c>
      <c r="J179">
        <v>0.35370000000000001</v>
      </c>
    </row>
    <row r="180" spans="2:10">
      <c r="B180">
        <v>2142</v>
      </c>
      <c r="D180">
        <v>2014</v>
      </c>
      <c r="E180">
        <v>-228.018</v>
      </c>
      <c r="F180">
        <v>0.78859999999999997</v>
      </c>
      <c r="G180">
        <v>-2.6547999999999998</v>
      </c>
      <c r="H180">
        <v>0.17580000000000001</v>
      </c>
      <c r="I180">
        <v>7.8815</v>
      </c>
      <c r="J180">
        <v>2.3599999999999999E-2</v>
      </c>
    </row>
    <row r="181" spans="2:10">
      <c r="B181">
        <v>3022</v>
      </c>
      <c r="D181">
        <v>1015</v>
      </c>
      <c r="E181">
        <v>-230.4075</v>
      </c>
      <c r="F181">
        <v>-0.88839999999999997</v>
      </c>
      <c r="G181">
        <v>-5.4863</v>
      </c>
      <c r="H181">
        <v>2.1374</v>
      </c>
      <c r="I181">
        <v>-17.644100000000002</v>
      </c>
      <c r="J181">
        <v>-7.3392999999999997</v>
      </c>
    </row>
    <row r="182" spans="2:10">
      <c r="B182">
        <v>2142</v>
      </c>
      <c r="D182">
        <v>2002</v>
      </c>
      <c r="E182">
        <v>-231.27809999999999</v>
      </c>
      <c r="F182">
        <v>5.8599999999999999E-2</v>
      </c>
      <c r="G182">
        <v>-1.9626999999999999</v>
      </c>
      <c r="H182">
        <v>0.26279999999999998</v>
      </c>
      <c r="I182">
        <v>7.5731999999999999</v>
      </c>
      <c r="J182">
        <v>-0.1157</v>
      </c>
    </row>
    <row r="183" spans="2:10">
      <c r="B183">
        <v>2140</v>
      </c>
      <c r="D183">
        <v>1015</v>
      </c>
      <c r="E183">
        <v>-233.53290000000001</v>
      </c>
      <c r="F183">
        <v>-3.4801000000000002</v>
      </c>
      <c r="G183">
        <v>-6.4617000000000004</v>
      </c>
      <c r="H183">
        <v>2.1374</v>
      </c>
      <c r="I183">
        <v>18.555700000000002</v>
      </c>
      <c r="J183">
        <v>5.9284999999999997</v>
      </c>
    </row>
    <row r="184" spans="2:10">
      <c r="B184">
        <v>3019</v>
      </c>
      <c r="D184">
        <v>2013</v>
      </c>
      <c r="E184">
        <v>-234.1095</v>
      </c>
      <c r="F184">
        <v>0.83620000000000005</v>
      </c>
      <c r="G184">
        <v>-2.5440999999999998</v>
      </c>
      <c r="H184">
        <v>0.34239999999999998</v>
      </c>
      <c r="I184">
        <v>-8.1019000000000005</v>
      </c>
      <c r="J184">
        <v>0.20380000000000001</v>
      </c>
    </row>
    <row r="185" spans="2:10">
      <c r="B185">
        <v>2142</v>
      </c>
      <c r="D185">
        <v>2013</v>
      </c>
      <c r="E185">
        <v>-237.24080000000001</v>
      </c>
      <c r="F185">
        <v>-0.66210000000000002</v>
      </c>
      <c r="G185">
        <v>-2.6568999999999998</v>
      </c>
      <c r="H185">
        <v>0.34239999999999998</v>
      </c>
      <c r="I185">
        <v>7.6993</v>
      </c>
      <c r="J185">
        <v>-0.30180000000000001</v>
      </c>
    </row>
    <row r="186" spans="2:10">
      <c r="B186">
        <v>3021</v>
      </c>
      <c r="D186">
        <v>2005</v>
      </c>
      <c r="E186">
        <v>-237.3244</v>
      </c>
      <c r="F186">
        <v>0.70720000000000005</v>
      </c>
      <c r="G186">
        <v>-2.7755000000000001</v>
      </c>
      <c r="H186">
        <v>-0.59370000000000001</v>
      </c>
      <c r="I186">
        <v>-5.8278999999999996</v>
      </c>
      <c r="J186">
        <v>-0.44209999999999999</v>
      </c>
    </row>
    <row r="187" spans="2:10">
      <c r="B187">
        <v>3022</v>
      </c>
      <c r="D187">
        <v>2004</v>
      </c>
      <c r="E187">
        <v>-242.15049999999999</v>
      </c>
      <c r="F187">
        <v>-2.0182000000000002</v>
      </c>
      <c r="G187">
        <v>-7.2539999999999996</v>
      </c>
      <c r="H187">
        <v>2.1983000000000001</v>
      </c>
      <c r="I187">
        <v>-20.823699999999999</v>
      </c>
      <c r="J187">
        <v>-8.0914000000000001</v>
      </c>
    </row>
    <row r="188" spans="2:10">
      <c r="B188">
        <v>3021</v>
      </c>
      <c r="D188">
        <v>2006</v>
      </c>
      <c r="E188">
        <v>-242.36850000000001</v>
      </c>
      <c r="F188">
        <v>-0.76090000000000002</v>
      </c>
      <c r="G188">
        <v>-2.7296999999999998</v>
      </c>
      <c r="H188">
        <v>-0.76190000000000002</v>
      </c>
      <c r="I188">
        <v>-6.0662000000000003</v>
      </c>
      <c r="J188">
        <v>-0.3271</v>
      </c>
    </row>
    <row r="189" spans="2:10">
      <c r="B189">
        <v>2143</v>
      </c>
      <c r="D189">
        <v>2005</v>
      </c>
      <c r="E189">
        <v>-243.1241</v>
      </c>
      <c r="F189">
        <v>-0.79100000000000004</v>
      </c>
      <c r="G189">
        <v>-0.69889999999999997</v>
      </c>
      <c r="H189">
        <v>-0.59370000000000001</v>
      </c>
      <c r="I189">
        <v>4.7336999999999998</v>
      </c>
      <c r="J189">
        <v>-0.1651</v>
      </c>
    </row>
    <row r="190" spans="2:10">
      <c r="B190">
        <v>3002</v>
      </c>
      <c r="D190">
        <v>2016</v>
      </c>
      <c r="E190">
        <v>-245.1669</v>
      </c>
      <c r="F190">
        <v>-0.40660000000000002</v>
      </c>
      <c r="G190">
        <v>-4.8311999999999999</v>
      </c>
      <c r="H190">
        <v>-0.58709999999999996</v>
      </c>
      <c r="I190">
        <v>-14.720499999999999</v>
      </c>
      <c r="J190">
        <v>-0.64839999999999998</v>
      </c>
    </row>
    <row r="191" spans="2:10">
      <c r="B191">
        <v>3019</v>
      </c>
      <c r="D191">
        <v>1014</v>
      </c>
      <c r="E191">
        <v>-247.52459999999999</v>
      </c>
      <c r="F191">
        <v>-0.66779999999999995</v>
      </c>
      <c r="G191">
        <v>-2.6840000000000002</v>
      </c>
      <c r="H191">
        <v>0.38879999999999998</v>
      </c>
      <c r="I191">
        <v>-8.1148000000000007</v>
      </c>
      <c r="J191">
        <v>0.52390000000000003</v>
      </c>
    </row>
    <row r="192" spans="2:10">
      <c r="B192">
        <v>3019</v>
      </c>
      <c r="D192">
        <v>1002</v>
      </c>
      <c r="E192">
        <v>-247.7441</v>
      </c>
      <c r="F192">
        <v>0.1004</v>
      </c>
      <c r="G192">
        <v>-3.3754</v>
      </c>
      <c r="H192">
        <v>0.4758</v>
      </c>
      <c r="I192">
        <v>-8.4280000000000008</v>
      </c>
      <c r="J192">
        <v>0.47799999999999998</v>
      </c>
    </row>
    <row r="193" spans="2:10">
      <c r="B193">
        <v>2143</v>
      </c>
      <c r="D193">
        <v>2006</v>
      </c>
      <c r="E193">
        <v>-248.16810000000001</v>
      </c>
      <c r="F193">
        <v>0.73740000000000006</v>
      </c>
      <c r="G193">
        <v>-0.65310000000000001</v>
      </c>
      <c r="H193">
        <v>-0.76190000000000002</v>
      </c>
      <c r="I193">
        <v>4.2173999999999996</v>
      </c>
      <c r="J193">
        <v>-0.2782</v>
      </c>
    </row>
    <row r="194" spans="2:10">
      <c r="B194">
        <v>2141</v>
      </c>
      <c r="D194">
        <v>2016</v>
      </c>
      <c r="E194">
        <v>-248.29239999999999</v>
      </c>
      <c r="F194">
        <v>1.0878000000000001</v>
      </c>
      <c r="G194">
        <v>-4.9560000000000004</v>
      </c>
      <c r="H194">
        <v>-0.58709999999999996</v>
      </c>
      <c r="I194">
        <v>14.9215</v>
      </c>
      <c r="J194">
        <v>-2.7328000000000001</v>
      </c>
    </row>
    <row r="195" spans="2:10">
      <c r="B195">
        <v>2140</v>
      </c>
      <c r="D195">
        <v>2004</v>
      </c>
      <c r="E195">
        <v>-248.3141</v>
      </c>
      <c r="F195">
        <v>-2.0182000000000002</v>
      </c>
      <c r="G195">
        <v>-6.0095999999999998</v>
      </c>
      <c r="H195">
        <v>2.1983000000000001</v>
      </c>
      <c r="I195">
        <v>19.347799999999999</v>
      </c>
      <c r="J195">
        <v>4.1262999999999996</v>
      </c>
    </row>
    <row r="196" spans="2:10">
      <c r="B196">
        <v>3022</v>
      </c>
      <c r="D196">
        <v>2008</v>
      </c>
      <c r="E196">
        <v>-249.0042</v>
      </c>
      <c r="F196">
        <v>-1.9778</v>
      </c>
      <c r="G196">
        <v>-7.6894999999999998</v>
      </c>
      <c r="H196">
        <v>1.6657999999999999</v>
      </c>
      <c r="I196">
        <v>-21.113299999999999</v>
      </c>
      <c r="J196">
        <v>-5.7554999999999996</v>
      </c>
    </row>
    <row r="197" spans="2:10">
      <c r="B197">
        <v>2142</v>
      </c>
      <c r="D197">
        <v>1014</v>
      </c>
      <c r="E197">
        <v>-250.6559</v>
      </c>
      <c r="F197">
        <v>0.83040000000000003</v>
      </c>
      <c r="G197">
        <v>-2.7968999999999999</v>
      </c>
      <c r="H197">
        <v>0.38879999999999998</v>
      </c>
      <c r="I197">
        <v>8.5358999999999998</v>
      </c>
      <c r="J197">
        <v>7.7999999999999996E-3</v>
      </c>
    </row>
    <row r="198" spans="2:10">
      <c r="B198">
        <v>2142</v>
      </c>
      <c r="D198">
        <v>1002</v>
      </c>
      <c r="E198">
        <v>-253.91589999999999</v>
      </c>
      <c r="F198">
        <v>0.1004</v>
      </c>
      <c r="G198">
        <v>-2.1048</v>
      </c>
      <c r="H198">
        <v>0.4758</v>
      </c>
      <c r="I198">
        <v>8.2276000000000007</v>
      </c>
      <c r="J198">
        <v>-0.13159999999999999</v>
      </c>
    </row>
    <row r="199" spans="2:10">
      <c r="B199">
        <v>3022</v>
      </c>
      <c r="D199">
        <v>1012</v>
      </c>
      <c r="E199">
        <v>-254.3193</v>
      </c>
      <c r="F199">
        <v>-1.1836</v>
      </c>
      <c r="G199">
        <v>-5.1577999999999999</v>
      </c>
      <c r="H199">
        <v>1.6408</v>
      </c>
      <c r="I199">
        <v>-16.824300000000001</v>
      </c>
      <c r="J199">
        <v>-4.4588999999999999</v>
      </c>
    </row>
    <row r="200" spans="2:10">
      <c r="B200">
        <v>2140</v>
      </c>
      <c r="D200">
        <v>2008</v>
      </c>
      <c r="E200">
        <v>-254.798</v>
      </c>
      <c r="F200">
        <v>-0.48349999999999999</v>
      </c>
      <c r="G200">
        <v>-5.6391</v>
      </c>
      <c r="H200">
        <v>1.6657999999999999</v>
      </c>
      <c r="I200">
        <v>19.247800000000002</v>
      </c>
      <c r="J200">
        <v>1.6718999999999999</v>
      </c>
    </row>
    <row r="201" spans="2:10">
      <c r="B201">
        <v>3022</v>
      </c>
      <c r="D201">
        <v>1007</v>
      </c>
      <c r="E201">
        <v>-254.90710000000001</v>
      </c>
      <c r="F201">
        <v>-1.6911</v>
      </c>
      <c r="G201">
        <v>-7.8669000000000002</v>
      </c>
      <c r="H201">
        <v>2.8517999999999999</v>
      </c>
      <c r="I201">
        <v>-22.431100000000001</v>
      </c>
      <c r="J201">
        <v>-10.880699999999999</v>
      </c>
    </row>
    <row r="202" spans="2:10">
      <c r="B202">
        <v>3021</v>
      </c>
      <c r="D202">
        <v>1005</v>
      </c>
      <c r="E202">
        <v>-255.72300000000001</v>
      </c>
      <c r="F202">
        <v>0.70420000000000005</v>
      </c>
      <c r="G202">
        <v>-2.8228</v>
      </c>
      <c r="H202">
        <v>-0.54169999999999996</v>
      </c>
      <c r="I202">
        <v>-5.7256999999999998</v>
      </c>
      <c r="J202">
        <v>-0.41120000000000001</v>
      </c>
    </row>
    <row r="203" spans="2:10">
      <c r="B203">
        <v>3019</v>
      </c>
      <c r="D203">
        <v>1013</v>
      </c>
      <c r="E203">
        <v>-256.7473</v>
      </c>
      <c r="F203">
        <v>0.878</v>
      </c>
      <c r="G203">
        <v>-2.6861000000000002</v>
      </c>
      <c r="H203">
        <v>0.5554</v>
      </c>
      <c r="I203">
        <v>-8.3097999999999992</v>
      </c>
      <c r="J203">
        <v>0.44209999999999999</v>
      </c>
    </row>
    <row r="204" spans="2:10">
      <c r="B204">
        <v>2140</v>
      </c>
      <c r="D204">
        <v>1012</v>
      </c>
      <c r="E204">
        <v>-257.81450000000001</v>
      </c>
      <c r="F204">
        <v>-1.1836</v>
      </c>
      <c r="G204">
        <v>-6.0884999999999998</v>
      </c>
      <c r="H204">
        <v>1.6408</v>
      </c>
      <c r="I204">
        <v>17.241299999999999</v>
      </c>
      <c r="J204">
        <v>2.7061000000000002</v>
      </c>
    </row>
    <row r="205" spans="2:10">
      <c r="B205">
        <v>2142</v>
      </c>
      <c r="D205">
        <v>1013</v>
      </c>
      <c r="E205">
        <v>-259.87860000000001</v>
      </c>
      <c r="F205">
        <v>-0.62019999999999997</v>
      </c>
      <c r="G205">
        <v>-2.7989999999999999</v>
      </c>
      <c r="H205">
        <v>0.5554</v>
      </c>
      <c r="I205">
        <v>8.3537999999999997</v>
      </c>
      <c r="J205">
        <v>-0.31769999999999998</v>
      </c>
    </row>
    <row r="206" spans="2:10">
      <c r="B206">
        <v>2140</v>
      </c>
      <c r="D206">
        <v>1007</v>
      </c>
      <c r="E206">
        <v>-260.70089999999999</v>
      </c>
      <c r="F206">
        <v>-4.2828999999999997</v>
      </c>
      <c r="G206">
        <v>-6.6670999999999996</v>
      </c>
      <c r="H206">
        <v>2.8517999999999999</v>
      </c>
      <c r="I206">
        <v>21.596</v>
      </c>
      <c r="J206">
        <v>7.2466999999999997</v>
      </c>
    </row>
    <row r="207" spans="2:10">
      <c r="B207">
        <v>3021</v>
      </c>
      <c r="D207">
        <v>1006</v>
      </c>
      <c r="E207">
        <v>-260.767</v>
      </c>
      <c r="F207">
        <v>-0.76390000000000002</v>
      </c>
      <c r="G207">
        <v>-2.7770000000000001</v>
      </c>
      <c r="H207">
        <v>-0.70989999999999998</v>
      </c>
      <c r="I207">
        <v>-5.9640000000000004</v>
      </c>
      <c r="J207">
        <v>-0.29620000000000002</v>
      </c>
    </row>
    <row r="208" spans="2:10">
      <c r="B208">
        <v>3022</v>
      </c>
      <c r="D208">
        <v>1016</v>
      </c>
      <c r="E208">
        <v>-261.173</v>
      </c>
      <c r="F208">
        <v>-1.1432</v>
      </c>
      <c r="G208">
        <v>-5.5933000000000002</v>
      </c>
      <c r="H208">
        <v>1.1083000000000001</v>
      </c>
      <c r="I208">
        <v>-17.114000000000001</v>
      </c>
      <c r="J208">
        <v>-2.1231</v>
      </c>
    </row>
    <row r="209" spans="2:10">
      <c r="B209">
        <v>2143</v>
      </c>
      <c r="D209">
        <v>1005</v>
      </c>
      <c r="E209">
        <v>-261.52260000000001</v>
      </c>
      <c r="F209">
        <v>-0.79400000000000004</v>
      </c>
      <c r="G209">
        <v>-0.74629999999999996</v>
      </c>
      <c r="H209">
        <v>-0.54169999999999996</v>
      </c>
      <c r="I209">
        <v>5.1230000000000002</v>
      </c>
      <c r="J209">
        <v>-0.11609999999999999</v>
      </c>
    </row>
    <row r="210" spans="2:10">
      <c r="B210">
        <v>2140</v>
      </c>
      <c r="D210">
        <v>1016</v>
      </c>
      <c r="E210">
        <v>-264.29840000000002</v>
      </c>
      <c r="F210">
        <v>0.35120000000000001</v>
      </c>
      <c r="G210">
        <v>-5.7180999999999997</v>
      </c>
      <c r="H210">
        <v>1.1083000000000001</v>
      </c>
      <c r="I210">
        <v>17.141300000000001</v>
      </c>
      <c r="J210">
        <v>0.25169999999999998</v>
      </c>
    </row>
    <row r="211" spans="2:10">
      <c r="B211">
        <v>2143</v>
      </c>
      <c r="D211">
        <v>1006</v>
      </c>
      <c r="E211">
        <v>-266.56670000000003</v>
      </c>
      <c r="F211">
        <v>0.73440000000000005</v>
      </c>
      <c r="G211">
        <v>-0.70050000000000001</v>
      </c>
      <c r="H211">
        <v>-0.70989999999999998</v>
      </c>
      <c r="I211">
        <v>4.6067999999999998</v>
      </c>
      <c r="J211">
        <v>-0.22919999999999999</v>
      </c>
    </row>
    <row r="212" spans="2:10">
      <c r="B212">
        <v>3002</v>
      </c>
      <c r="D212">
        <v>1016</v>
      </c>
      <c r="E212">
        <v>-273.57749999999999</v>
      </c>
      <c r="F212">
        <v>-0.53</v>
      </c>
      <c r="G212">
        <v>-5.0937999999999999</v>
      </c>
      <c r="H212">
        <v>-0.63749999999999996</v>
      </c>
      <c r="I212">
        <v>-15.4095</v>
      </c>
      <c r="J212">
        <v>-0.7319</v>
      </c>
    </row>
    <row r="213" spans="2:10">
      <c r="B213">
        <v>3002</v>
      </c>
      <c r="D213">
        <v>2008</v>
      </c>
      <c r="E213">
        <v>-274.51519999999999</v>
      </c>
      <c r="F213">
        <v>-0.43380000000000002</v>
      </c>
      <c r="G213">
        <v>-7.0697999999999999</v>
      </c>
      <c r="H213">
        <v>-0.7147</v>
      </c>
      <c r="I213">
        <v>-19.073899999999998</v>
      </c>
      <c r="J213">
        <v>-0.81359999999999999</v>
      </c>
    </row>
    <row r="214" spans="2:10">
      <c r="B214">
        <v>2141</v>
      </c>
      <c r="D214">
        <v>1016</v>
      </c>
      <c r="E214">
        <v>-276.7029</v>
      </c>
      <c r="F214">
        <v>0.96440000000000003</v>
      </c>
      <c r="G214">
        <v>-5.2186000000000003</v>
      </c>
      <c r="H214">
        <v>-0.63749999999999996</v>
      </c>
      <c r="I214">
        <v>15.821999999999999</v>
      </c>
      <c r="J214">
        <v>-2.0693000000000001</v>
      </c>
    </row>
    <row r="215" spans="2:10">
      <c r="B215">
        <v>3019</v>
      </c>
      <c r="D215">
        <v>2010</v>
      </c>
      <c r="E215">
        <v>-277.21690000000001</v>
      </c>
      <c r="F215">
        <v>8.8999999999999996E-2</v>
      </c>
      <c r="G215">
        <v>-2.6052</v>
      </c>
      <c r="H215">
        <v>0.3679</v>
      </c>
      <c r="I215">
        <v>-8.9644999999999992</v>
      </c>
      <c r="J215">
        <v>0.36080000000000001</v>
      </c>
    </row>
    <row r="216" spans="2:10">
      <c r="B216">
        <v>3022</v>
      </c>
      <c r="D216">
        <v>1004</v>
      </c>
      <c r="E216">
        <v>-278.81889999999999</v>
      </c>
      <c r="F216">
        <v>-1.9863</v>
      </c>
      <c r="G216">
        <v>-7.5384000000000002</v>
      </c>
      <c r="H216">
        <v>2.3551000000000002</v>
      </c>
      <c r="I216">
        <v>-21.6113</v>
      </c>
      <c r="J216">
        <v>-8.0004000000000008</v>
      </c>
    </row>
    <row r="217" spans="2:10">
      <c r="B217">
        <v>2141</v>
      </c>
      <c r="D217">
        <v>2008</v>
      </c>
      <c r="E217">
        <v>-280.30889999999999</v>
      </c>
      <c r="F217">
        <v>1.0605</v>
      </c>
      <c r="G217">
        <v>-5.0194000000000001</v>
      </c>
      <c r="H217">
        <v>-0.7147</v>
      </c>
      <c r="I217">
        <v>17.535799999999998</v>
      </c>
      <c r="J217">
        <v>-2.7330999999999999</v>
      </c>
    </row>
    <row r="218" spans="2:10">
      <c r="B218">
        <v>2142</v>
      </c>
      <c r="D218">
        <v>2010</v>
      </c>
      <c r="E218">
        <v>-280.72039999999998</v>
      </c>
      <c r="F218">
        <v>8.8999999999999996E-2</v>
      </c>
      <c r="G218">
        <v>-3.5240999999999998</v>
      </c>
      <c r="H218">
        <v>0.3679</v>
      </c>
      <c r="I218">
        <v>9.6611999999999991</v>
      </c>
      <c r="J218">
        <v>-0.1797</v>
      </c>
    </row>
    <row r="219" spans="2:10">
      <c r="B219">
        <v>2140</v>
      </c>
      <c r="D219">
        <v>1004</v>
      </c>
      <c r="E219">
        <v>-284.98250000000002</v>
      </c>
      <c r="F219">
        <v>-1.9863</v>
      </c>
      <c r="G219">
        <v>-6.2938999999999998</v>
      </c>
      <c r="H219">
        <v>2.3551000000000002</v>
      </c>
      <c r="I219">
        <v>20.281700000000001</v>
      </c>
      <c r="J219">
        <v>4.0243000000000002</v>
      </c>
    </row>
    <row r="220" spans="2:10">
      <c r="B220">
        <v>3022</v>
      </c>
      <c r="D220">
        <v>1008</v>
      </c>
      <c r="E220">
        <v>-285.67259999999999</v>
      </c>
      <c r="F220">
        <v>-1.9459</v>
      </c>
      <c r="G220">
        <v>-7.9739000000000004</v>
      </c>
      <c r="H220">
        <v>1.8226</v>
      </c>
      <c r="I220">
        <v>-21.9009</v>
      </c>
      <c r="J220">
        <v>-5.6645000000000003</v>
      </c>
    </row>
    <row r="221" spans="2:10">
      <c r="B221">
        <v>2140</v>
      </c>
      <c r="D221">
        <v>1008</v>
      </c>
      <c r="E221">
        <v>-291.46640000000002</v>
      </c>
      <c r="F221">
        <v>-0.4516</v>
      </c>
      <c r="G221">
        <v>-5.9234999999999998</v>
      </c>
      <c r="H221">
        <v>1.8226</v>
      </c>
      <c r="I221">
        <v>20.181699999999999</v>
      </c>
      <c r="J221">
        <v>1.5699000000000001</v>
      </c>
    </row>
    <row r="222" spans="2:10">
      <c r="B222">
        <v>3019</v>
      </c>
      <c r="D222">
        <v>1010</v>
      </c>
      <c r="E222">
        <v>-299.85469999999998</v>
      </c>
      <c r="F222">
        <v>0.13089999999999999</v>
      </c>
      <c r="G222">
        <v>-2.7473000000000001</v>
      </c>
      <c r="H222">
        <v>0.58089999999999997</v>
      </c>
      <c r="I222">
        <v>-9.1723999999999997</v>
      </c>
      <c r="J222">
        <v>0.59909999999999997</v>
      </c>
    </row>
    <row r="223" spans="2:10">
      <c r="B223">
        <v>3021</v>
      </c>
      <c r="D223">
        <v>2013</v>
      </c>
      <c r="E223">
        <v>-300.70699999999999</v>
      </c>
      <c r="F223">
        <v>0.69810000000000005</v>
      </c>
      <c r="G223">
        <v>-2.2159</v>
      </c>
      <c r="H223">
        <v>-0.39710000000000001</v>
      </c>
      <c r="I223">
        <v>-6.9496000000000002</v>
      </c>
      <c r="J223">
        <v>-0.43080000000000002</v>
      </c>
    </row>
    <row r="224" spans="2:10">
      <c r="B224">
        <v>3002</v>
      </c>
      <c r="D224">
        <v>1008</v>
      </c>
      <c r="E224">
        <v>-302.92570000000001</v>
      </c>
      <c r="F224">
        <v>-0.55720000000000003</v>
      </c>
      <c r="G224">
        <v>-7.3323999999999998</v>
      </c>
      <c r="H224">
        <v>-0.7651</v>
      </c>
      <c r="I224">
        <v>-19.762899999999998</v>
      </c>
      <c r="J224">
        <v>-0.89710000000000001</v>
      </c>
    </row>
    <row r="225" spans="2:10">
      <c r="B225">
        <v>2142</v>
      </c>
      <c r="D225">
        <v>1010</v>
      </c>
      <c r="E225">
        <v>-303.35820000000001</v>
      </c>
      <c r="F225">
        <v>0.13089999999999999</v>
      </c>
      <c r="G225">
        <v>-3.6661000000000001</v>
      </c>
      <c r="H225">
        <v>0.58089999999999997</v>
      </c>
      <c r="I225">
        <v>10.3156</v>
      </c>
      <c r="J225">
        <v>-0.19550000000000001</v>
      </c>
    </row>
    <row r="226" spans="2:10">
      <c r="B226">
        <v>2143</v>
      </c>
      <c r="D226">
        <v>2013</v>
      </c>
      <c r="E226">
        <v>-303.8383</v>
      </c>
      <c r="F226">
        <v>-0.80010000000000003</v>
      </c>
      <c r="G226">
        <v>-2.3287</v>
      </c>
      <c r="H226">
        <v>-0.39710000000000001</v>
      </c>
      <c r="I226">
        <v>6.8596000000000004</v>
      </c>
      <c r="J226">
        <v>-9.8699999999999996E-2</v>
      </c>
    </row>
    <row r="227" spans="2:10">
      <c r="B227">
        <v>3021</v>
      </c>
      <c r="D227">
        <v>2014</v>
      </c>
      <c r="E227">
        <v>-305.75110000000001</v>
      </c>
      <c r="F227">
        <v>-0.77</v>
      </c>
      <c r="G227">
        <v>-2.1701000000000001</v>
      </c>
      <c r="H227">
        <v>-0.56530000000000002</v>
      </c>
      <c r="I227">
        <v>-7.1879</v>
      </c>
      <c r="J227">
        <v>-0.31580000000000003</v>
      </c>
    </row>
    <row r="228" spans="2:10">
      <c r="B228">
        <v>3021</v>
      </c>
      <c r="D228">
        <v>2002</v>
      </c>
      <c r="E228">
        <v>-308.66359999999997</v>
      </c>
      <c r="F228">
        <v>-4.19E-2</v>
      </c>
      <c r="G228">
        <v>-2.7065000000000001</v>
      </c>
      <c r="H228">
        <v>-0.73360000000000003</v>
      </c>
      <c r="I228">
        <v>-6.6669999999999998</v>
      </c>
      <c r="J228">
        <v>-0.47149999999999997</v>
      </c>
    </row>
    <row r="229" spans="2:10">
      <c r="B229">
        <v>2141</v>
      </c>
      <c r="D229">
        <v>1008</v>
      </c>
      <c r="E229">
        <v>-308.71949999999998</v>
      </c>
      <c r="F229">
        <v>0.93720000000000003</v>
      </c>
      <c r="G229">
        <v>-5.282</v>
      </c>
      <c r="H229">
        <v>-0.7651</v>
      </c>
      <c r="I229">
        <v>18.436299999999999</v>
      </c>
      <c r="J229">
        <v>-2.0695999999999999</v>
      </c>
    </row>
    <row r="230" spans="2:10">
      <c r="B230">
        <v>2143</v>
      </c>
      <c r="D230">
        <v>2014</v>
      </c>
      <c r="E230">
        <v>-308.88240000000002</v>
      </c>
      <c r="F230">
        <v>0.72829999999999995</v>
      </c>
      <c r="G230">
        <v>-2.2829000000000002</v>
      </c>
      <c r="H230">
        <v>-0.56530000000000002</v>
      </c>
      <c r="I230">
        <v>6.3433000000000002</v>
      </c>
      <c r="J230">
        <v>-0.21179999999999999</v>
      </c>
    </row>
    <row r="231" spans="2:10">
      <c r="B231">
        <v>3002</v>
      </c>
      <c r="D231">
        <v>2012</v>
      </c>
      <c r="E231">
        <v>-311.93619999999999</v>
      </c>
      <c r="F231">
        <v>0.1026</v>
      </c>
      <c r="G231">
        <v>-4.5578000000000003</v>
      </c>
      <c r="H231">
        <v>-0.63529999999999998</v>
      </c>
      <c r="I231">
        <v>-14.9656</v>
      </c>
      <c r="J231">
        <v>-0.69479999999999997</v>
      </c>
    </row>
    <row r="232" spans="2:10">
      <c r="B232">
        <v>2143</v>
      </c>
      <c r="D232">
        <v>2002</v>
      </c>
      <c r="E232">
        <v>-314.83550000000002</v>
      </c>
      <c r="F232">
        <v>-4.19E-2</v>
      </c>
      <c r="G232">
        <v>-1.4359</v>
      </c>
      <c r="H232">
        <v>-0.73360000000000003</v>
      </c>
      <c r="I232">
        <v>5.9288999999999996</v>
      </c>
      <c r="J232">
        <v>-0.21740000000000001</v>
      </c>
    </row>
    <row r="233" spans="2:10">
      <c r="B233">
        <v>2141</v>
      </c>
      <c r="D233">
        <v>2012</v>
      </c>
      <c r="E233">
        <v>-315.43150000000003</v>
      </c>
      <c r="F233">
        <v>0.1026</v>
      </c>
      <c r="G233">
        <v>-5.4885999999999999</v>
      </c>
      <c r="H233">
        <v>-0.63529999999999998</v>
      </c>
      <c r="I233">
        <v>15.468</v>
      </c>
      <c r="J233">
        <v>-1.3161</v>
      </c>
    </row>
    <row r="234" spans="2:10">
      <c r="B234">
        <v>3021</v>
      </c>
      <c r="D234">
        <v>1013</v>
      </c>
      <c r="E234">
        <v>-319.10550000000001</v>
      </c>
      <c r="F234">
        <v>0.69510000000000005</v>
      </c>
      <c r="G234">
        <v>-2.2631999999999999</v>
      </c>
      <c r="H234">
        <v>-0.34510000000000002</v>
      </c>
      <c r="I234">
        <v>-6.8474000000000004</v>
      </c>
      <c r="J234">
        <v>-0.39989999999999998</v>
      </c>
    </row>
    <row r="235" spans="2:10">
      <c r="B235">
        <v>2143</v>
      </c>
      <c r="D235">
        <v>1013</v>
      </c>
      <c r="E235">
        <v>-322.23680000000002</v>
      </c>
      <c r="F235">
        <v>-0.80310000000000004</v>
      </c>
      <c r="G235">
        <v>-2.3759999999999999</v>
      </c>
      <c r="H235">
        <v>-0.34510000000000002</v>
      </c>
      <c r="I235">
        <v>7.2489999999999997</v>
      </c>
      <c r="J235">
        <v>-4.9599999999999998E-2</v>
      </c>
    </row>
    <row r="236" spans="2:10">
      <c r="B236">
        <v>3021</v>
      </c>
      <c r="D236">
        <v>1014</v>
      </c>
      <c r="E236">
        <v>-324.14960000000002</v>
      </c>
      <c r="F236">
        <v>-0.77300000000000002</v>
      </c>
      <c r="G236">
        <v>-2.2174</v>
      </c>
      <c r="H236">
        <v>-0.51329999999999998</v>
      </c>
      <c r="I236">
        <v>-7.0857000000000001</v>
      </c>
      <c r="J236">
        <v>-0.28489999999999999</v>
      </c>
    </row>
    <row r="237" spans="2:10">
      <c r="B237">
        <v>3021</v>
      </c>
      <c r="D237">
        <v>1002</v>
      </c>
      <c r="E237">
        <v>-327.06220000000002</v>
      </c>
      <c r="F237">
        <v>-4.4900000000000002E-2</v>
      </c>
      <c r="G237">
        <v>-2.7538</v>
      </c>
      <c r="H237">
        <v>-0.68169999999999997</v>
      </c>
      <c r="I237">
        <v>-6.5648999999999997</v>
      </c>
      <c r="J237">
        <v>-0.44059999999999999</v>
      </c>
    </row>
    <row r="238" spans="2:10">
      <c r="B238">
        <v>2143</v>
      </c>
      <c r="D238">
        <v>1014</v>
      </c>
      <c r="E238">
        <v>-327.28089999999997</v>
      </c>
      <c r="F238">
        <v>0.72529999999999994</v>
      </c>
      <c r="G238">
        <v>-2.3302</v>
      </c>
      <c r="H238">
        <v>-0.51329999999999998</v>
      </c>
      <c r="I238">
        <v>6.7327000000000004</v>
      </c>
      <c r="J238">
        <v>-0.16270000000000001</v>
      </c>
    </row>
    <row r="239" spans="2:10">
      <c r="B239">
        <v>2143</v>
      </c>
      <c r="D239">
        <v>1002</v>
      </c>
      <c r="E239">
        <v>-333.23399999999998</v>
      </c>
      <c r="F239">
        <v>-4.4900000000000002E-2</v>
      </c>
      <c r="G239">
        <v>-1.4832000000000001</v>
      </c>
      <c r="H239">
        <v>-0.68169999999999997</v>
      </c>
      <c r="I239">
        <v>6.3182</v>
      </c>
      <c r="J239">
        <v>-0.16839999999999999</v>
      </c>
    </row>
    <row r="240" spans="2:10">
      <c r="B240">
        <v>3002</v>
      </c>
      <c r="D240">
        <v>1012</v>
      </c>
      <c r="E240">
        <v>-340.34679999999997</v>
      </c>
      <c r="F240">
        <v>-2.07E-2</v>
      </c>
      <c r="G240">
        <v>-4.8204000000000002</v>
      </c>
      <c r="H240">
        <v>-0.68569999999999998</v>
      </c>
      <c r="I240">
        <v>-15.6546</v>
      </c>
      <c r="J240">
        <v>-0.77829999999999999</v>
      </c>
    </row>
    <row r="241" spans="2:10">
      <c r="B241">
        <v>3002</v>
      </c>
      <c r="D241">
        <v>2004</v>
      </c>
      <c r="E241">
        <v>-341.28449999999998</v>
      </c>
      <c r="F241">
        <v>7.5399999999999995E-2</v>
      </c>
      <c r="G241">
        <v>-6.7964000000000002</v>
      </c>
      <c r="H241">
        <v>-0.76300000000000001</v>
      </c>
      <c r="I241">
        <v>-19.318999999999999</v>
      </c>
      <c r="J241">
        <v>-0.86</v>
      </c>
    </row>
    <row r="242" spans="2:10">
      <c r="B242">
        <v>3002</v>
      </c>
      <c r="D242">
        <v>2015</v>
      </c>
      <c r="E242">
        <v>-342.34219999999999</v>
      </c>
      <c r="F242">
        <v>0.9788</v>
      </c>
      <c r="G242">
        <v>-5.2698999999999998</v>
      </c>
      <c r="H242">
        <v>-0.626</v>
      </c>
      <c r="I242">
        <v>-17.017499999999998</v>
      </c>
      <c r="J242">
        <v>-0.56879999999999997</v>
      </c>
    </row>
    <row r="243" spans="2:10">
      <c r="B243">
        <v>2141</v>
      </c>
      <c r="D243">
        <v>1012</v>
      </c>
      <c r="E243">
        <v>-343.84199999999998</v>
      </c>
      <c r="F243">
        <v>-2.07E-2</v>
      </c>
      <c r="G243">
        <v>-5.7511000000000001</v>
      </c>
      <c r="H243">
        <v>-0.68569999999999998</v>
      </c>
      <c r="I243">
        <v>16.368500000000001</v>
      </c>
      <c r="J243">
        <v>-0.65259999999999996</v>
      </c>
    </row>
    <row r="244" spans="2:10">
      <c r="B244">
        <v>2141</v>
      </c>
      <c r="D244">
        <v>2015</v>
      </c>
      <c r="E244">
        <v>-345.46769999999998</v>
      </c>
      <c r="F244">
        <v>-1.6129</v>
      </c>
      <c r="G244">
        <v>-6.2451999999999996</v>
      </c>
      <c r="H244">
        <v>-0.626</v>
      </c>
      <c r="I244">
        <v>17.8718</v>
      </c>
      <c r="J244">
        <v>1.3955</v>
      </c>
    </row>
    <row r="245" spans="2:10">
      <c r="B245">
        <v>2141</v>
      </c>
      <c r="D245">
        <v>2004</v>
      </c>
      <c r="E245">
        <v>-347.44810000000001</v>
      </c>
      <c r="F245">
        <v>7.5399999999999995E-2</v>
      </c>
      <c r="G245">
        <v>-5.5518999999999998</v>
      </c>
      <c r="H245">
        <v>-0.76300000000000001</v>
      </c>
      <c r="I245">
        <v>18.0823</v>
      </c>
      <c r="J245">
        <v>-1.3165</v>
      </c>
    </row>
    <row r="246" spans="2:10">
      <c r="B246">
        <v>3002</v>
      </c>
      <c r="D246">
        <v>1004</v>
      </c>
      <c r="E246">
        <v>-369.69499999999999</v>
      </c>
      <c r="F246">
        <v>-4.8000000000000001E-2</v>
      </c>
      <c r="G246">
        <v>-7.0590000000000002</v>
      </c>
      <c r="H246">
        <v>-0.81340000000000001</v>
      </c>
      <c r="I246">
        <v>-20.007999999999999</v>
      </c>
      <c r="J246">
        <v>-0.94340000000000002</v>
      </c>
    </row>
    <row r="247" spans="2:10">
      <c r="B247">
        <v>3002</v>
      </c>
      <c r="D247">
        <v>1015</v>
      </c>
      <c r="E247">
        <v>-370.7527</v>
      </c>
      <c r="F247">
        <v>0.85540000000000005</v>
      </c>
      <c r="G247">
        <v>-5.5324</v>
      </c>
      <c r="H247">
        <v>-0.67649999999999999</v>
      </c>
      <c r="I247">
        <v>-17.706499999999998</v>
      </c>
      <c r="J247">
        <v>-0.65229999999999999</v>
      </c>
    </row>
    <row r="248" spans="2:10">
      <c r="B248">
        <v>3002</v>
      </c>
      <c r="D248">
        <v>2007</v>
      </c>
      <c r="E248">
        <v>-371.69040000000001</v>
      </c>
      <c r="F248">
        <v>0.9516</v>
      </c>
      <c r="G248">
        <v>-7.5084999999999997</v>
      </c>
      <c r="H248">
        <v>-0.75370000000000004</v>
      </c>
      <c r="I248">
        <v>-21.370899999999999</v>
      </c>
      <c r="J248">
        <v>-0.73399999999999999</v>
      </c>
    </row>
    <row r="249" spans="2:10">
      <c r="B249">
        <v>3021</v>
      </c>
      <c r="D249">
        <v>2010</v>
      </c>
      <c r="E249">
        <v>-372.0462</v>
      </c>
      <c r="F249">
        <v>-5.0999999999999997E-2</v>
      </c>
      <c r="G249">
        <v>-2.1469</v>
      </c>
      <c r="H249">
        <v>-0.53700000000000003</v>
      </c>
      <c r="I249">
        <v>-7.7887000000000004</v>
      </c>
      <c r="J249">
        <v>-0.4602</v>
      </c>
    </row>
    <row r="250" spans="2:10">
      <c r="B250">
        <v>2141</v>
      </c>
      <c r="D250">
        <v>1015</v>
      </c>
      <c r="E250">
        <v>-373.87819999999999</v>
      </c>
      <c r="F250">
        <v>-1.7363</v>
      </c>
      <c r="G250">
        <v>-6.5077999999999996</v>
      </c>
      <c r="H250">
        <v>-0.67649999999999999</v>
      </c>
      <c r="I250">
        <v>18.772300000000001</v>
      </c>
      <c r="J250">
        <v>2.0590000000000002</v>
      </c>
    </row>
    <row r="251" spans="2:10">
      <c r="B251">
        <v>2143</v>
      </c>
      <c r="D251">
        <v>2010</v>
      </c>
      <c r="E251">
        <v>-375.54969999999997</v>
      </c>
      <c r="F251">
        <v>-5.0999999999999997E-2</v>
      </c>
      <c r="G251">
        <v>-3.0657000000000001</v>
      </c>
      <c r="H251">
        <v>-0.53700000000000003</v>
      </c>
      <c r="I251">
        <v>8.0548000000000002</v>
      </c>
      <c r="J251">
        <v>-0.151</v>
      </c>
    </row>
    <row r="252" spans="2:10">
      <c r="B252">
        <v>2141</v>
      </c>
      <c r="D252">
        <v>1004</v>
      </c>
      <c r="E252">
        <v>-375.85860000000002</v>
      </c>
      <c r="F252">
        <v>-4.8000000000000001E-2</v>
      </c>
      <c r="G252">
        <v>-5.8144999999999998</v>
      </c>
      <c r="H252">
        <v>-0.81340000000000001</v>
      </c>
      <c r="I252">
        <v>18.982800000000001</v>
      </c>
      <c r="J252">
        <v>-0.65300000000000002</v>
      </c>
    </row>
    <row r="253" spans="2:10">
      <c r="B253">
        <v>2141</v>
      </c>
      <c r="D253">
        <v>2007</v>
      </c>
      <c r="E253">
        <v>-377.48419999999999</v>
      </c>
      <c r="F253">
        <v>-1.6400999999999999</v>
      </c>
      <c r="G253">
        <v>-6.3086000000000002</v>
      </c>
      <c r="H253">
        <v>-0.75370000000000004</v>
      </c>
      <c r="I253">
        <v>20.4861</v>
      </c>
      <c r="J253">
        <v>1.3952</v>
      </c>
    </row>
    <row r="254" spans="2:10">
      <c r="B254">
        <v>3021</v>
      </c>
      <c r="D254">
        <v>1010</v>
      </c>
      <c r="E254">
        <v>-390.44470000000001</v>
      </c>
      <c r="F254">
        <v>-5.3900000000000003E-2</v>
      </c>
      <c r="G254">
        <v>-2.1941999999999999</v>
      </c>
      <c r="H254">
        <v>-0.48499999999999999</v>
      </c>
      <c r="I254">
        <v>-7.6866000000000003</v>
      </c>
      <c r="J254">
        <v>-0.42930000000000001</v>
      </c>
    </row>
    <row r="255" spans="2:10">
      <c r="B255">
        <v>2143</v>
      </c>
      <c r="D255">
        <v>1010</v>
      </c>
      <c r="E255">
        <v>-393.94819999999999</v>
      </c>
      <c r="F255">
        <v>-5.3900000000000003E-2</v>
      </c>
      <c r="G255">
        <v>-3.113</v>
      </c>
      <c r="H255">
        <v>-0.48499999999999999</v>
      </c>
      <c r="I255">
        <v>8.4442000000000004</v>
      </c>
      <c r="J255">
        <v>-0.1019</v>
      </c>
    </row>
    <row r="256" spans="2:10">
      <c r="B256">
        <v>3002</v>
      </c>
      <c r="D256">
        <v>1007</v>
      </c>
      <c r="E256">
        <v>-400.10090000000002</v>
      </c>
      <c r="F256">
        <v>0.82820000000000005</v>
      </c>
      <c r="G256">
        <v>-7.7709999999999999</v>
      </c>
      <c r="H256">
        <v>-0.80410000000000004</v>
      </c>
      <c r="I256">
        <v>-22.059899999999999</v>
      </c>
      <c r="J256">
        <v>-0.8175</v>
      </c>
    </row>
    <row r="257" spans="2:10">
      <c r="B257">
        <v>2141</v>
      </c>
      <c r="D257">
        <v>1007</v>
      </c>
      <c r="E257">
        <v>-405.89479999999998</v>
      </c>
      <c r="F257">
        <v>-1.7635000000000001</v>
      </c>
      <c r="G257">
        <v>-6.5712000000000002</v>
      </c>
      <c r="H257">
        <v>-0.80410000000000004</v>
      </c>
      <c r="I257">
        <v>21.386600000000001</v>
      </c>
      <c r="J257">
        <v>2.0586000000000002</v>
      </c>
    </row>
  </sheetData>
  <autoFilter ref="A1:J260" xr:uid="{4396FCE1-DB65-4746-A77A-77EB86AE918F}">
    <sortState xmlns:xlrd2="http://schemas.microsoft.com/office/spreadsheetml/2017/richdata2" ref="A2:J260">
      <sortCondition descending="1" ref="E1:E260"/>
    </sortState>
  </autoFilter>
  <phoneticPr fontId="6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6"/>
  <sheetViews>
    <sheetView view="pageBreakPreview" topLeftCell="A100" zoomScaleNormal="85" zoomScaleSheetLayoutView="100" zoomScalePageLayoutView="40" workbookViewId="0">
      <selection activeCell="K19" sqref="K19"/>
    </sheetView>
  </sheetViews>
  <sheetFormatPr defaultRowHeight="13.5"/>
  <cols>
    <col min="1" max="1" width="5.1328125" customWidth="1"/>
    <col min="2" max="2" width="5.3984375" customWidth="1"/>
    <col min="3" max="3" width="8.1328125" customWidth="1"/>
    <col min="4" max="4" width="13.3984375" customWidth="1"/>
    <col min="5" max="5" width="10.3984375" customWidth="1"/>
    <col min="6" max="6" width="12.73046875" customWidth="1"/>
    <col min="7" max="7" width="12" customWidth="1"/>
    <col min="8" max="8" width="11.1328125" customWidth="1"/>
    <col min="9" max="9" width="11.265625" style="2" customWidth="1"/>
    <col min="10" max="11" width="11.265625" customWidth="1"/>
    <col min="12" max="12" width="11.86328125" customWidth="1"/>
    <col min="13" max="13" width="9.73046875" style="64" bestFit="1" customWidth="1"/>
  </cols>
  <sheetData>
    <row r="1" spans="1:13">
      <c r="A1" s="104"/>
      <c r="B1" s="105"/>
      <c r="C1" s="105"/>
      <c r="D1" s="105"/>
      <c r="E1" s="105"/>
      <c r="F1" s="105"/>
      <c r="G1" s="105"/>
      <c r="H1" s="105"/>
      <c r="I1" s="105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</row>
    <row r="3" spans="1:13">
      <c r="A3" s="104"/>
      <c r="B3" s="104"/>
      <c r="C3" s="104"/>
      <c r="D3" s="104"/>
      <c r="E3" s="104"/>
      <c r="F3" s="104"/>
      <c r="G3" s="104"/>
      <c r="H3" s="104"/>
      <c r="I3" s="104"/>
    </row>
    <row r="4" spans="1:13">
      <c r="A4" s="104"/>
      <c r="B4" s="104"/>
      <c r="C4" s="104"/>
      <c r="D4" s="104"/>
      <c r="E4" s="104"/>
      <c r="F4" s="104"/>
      <c r="G4" s="104"/>
      <c r="H4" s="104"/>
      <c r="I4" s="104"/>
    </row>
    <row r="5" spans="1:13">
      <c r="A5" s="104"/>
      <c r="B5" s="104"/>
      <c r="C5" s="104"/>
      <c r="D5" s="104"/>
      <c r="E5" s="104"/>
      <c r="F5" s="104"/>
      <c r="G5" s="104"/>
      <c r="H5" s="104"/>
      <c r="I5" s="104"/>
    </row>
    <row r="6" spans="1:13" s="106" customFormat="1">
      <c r="A6" s="110" t="s">
        <v>525</v>
      </c>
      <c r="B6" s="111"/>
      <c r="C6" s="111"/>
      <c r="D6" s="112" t="s">
        <v>526</v>
      </c>
      <c r="E6" s="111"/>
      <c r="F6" s="113"/>
      <c r="G6" s="113"/>
      <c r="H6" s="110" t="s">
        <v>527</v>
      </c>
      <c r="I6" s="113"/>
      <c r="J6" s="112" t="s">
        <v>549</v>
      </c>
      <c r="K6" s="113"/>
      <c r="L6" s="113"/>
      <c r="M6" s="64"/>
    </row>
    <row r="7" spans="1:13" s="106" customFormat="1">
      <c r="A7" s="110" t="s">
        <v>528</v>
      </c>
      <c r="B7" s="111"/>
      <c r="C7" s="111"/>
      <c r="D7" s="112" t="s">
        <v>605</v>
      </c>
      <c r="E7" s="111"/>
      <c r="F7" s="113"/>
      <c r="G7" s="113"/>
      <c r="H7" s="110" t="s">
        <v>529</v>
      </c>
      <c r="I7" s="113"/>
      <c r="J7" s="112" t="s">
        <v>608</v>
      </c>
      <c r="K7" s="113"/>
      <c r="L7" s="113"/>
      <c r="M7" s="64"/>
    </row>
    <row r="8" spans="1:13" s="106" customFormat="1">
      <c r="A8" s="110" t="s">
        <v>530</v>
      </c>
      <c r="B8" s="111"/>
      <c r="C8" s="111"/>
      <c r="D8" s="112" t="s">
        <v>531</v>
      </c>
      <c r="E8" s="111"/>
      <c r="F8" s="113"/>
      <c r="G8" s="113"/>
      <c r="H8" s="110" t="s">
        <v>532</v>
      </c>
      <c r="I8" s="113"/>
      <c r="J8" s="112">
        <v>1</v>
      </c>
      <c r="K8" s="113"/>
      <c r="L8" s="113"/>
      <c r="M8" s="64"/>
    </row>
    <row r="9" spans="1:13" s="106" customFormat="1">
      <c r="A9" s="110" t="s">
        <v>533</v>
      </c>
      <c r="B9" s="111"/>
      <c r="C9" s="111"/>
      <c r="D9" s="112" t="s">
        <v>569</v>
      </c>
      <c r="E9" s="111"/>
      <c r="F9" s="113"/>
      <c r="G9" s="113"/>
      <c r="H9" s="110" t="s">
        <v>534</v>
      </c>
      <c r="I9" s="113"/>
      <c r="J9" s="112" t="s">
        <v>570</v>
      </c>
      <c r="K9" s="113"/>
      <c r="L9" s="113"/>
      <c r="M9" s="64"/>
    </row>
    <row r="10" spans="1:13" s="106" customFormat="1">
      <c r="A10" s="110" t="s">
        <v>535</v>
      </c>
      <c r="B10" s="111"/>
      <c r="C10" s="111"/>
      <c r="D10" s="114"/>
      <c r="E10" s="111"/>
      <c r="F10" s="113"/>
      <c r="G10" s="113"/>
      <c r="H10" s="110" t="s">
        <v>536</v>
      </c>
      <c r="I10" s="113"/>
      <c r="J10" s="112" t="s">
        <v>571</v>
      </c>
      <c r="K10" s="113"/>
      <c r="L10" s="113"/>
      <c r="M10" s="64"/>
    </row>
    <row r="11" spans="1:13" s="106" customFormat="1">
      <c r="A11" s="110"/>
      <c r="B11" s="111"/>
      <c r="C11" s="111"/>
      <c r="D11" s="111"/>
      <c r="E11" s="111"/>
      <c r="F11" s="113"/>
      <c r="G11" s="113"/>
      <c r="H11" s="110" t="s">
        <v>537</v>
      </c>
      <c r="I11" s="113"/>
      <c r="J11" s="112" t="s">
        <v>538</v>
      </c>
      <c r="K11" s="113"/>
      <c r="L11" s="113"/>
      <c r="M11" s="64"/>
    </row>
    <row r="12" spans="1:13" s="106" customFormat="1">
      <c r="A12" s="110"/>
      <c r="B12" s="111"/>
      <c r="C12" s="111"/>
      <c r="D12" s="111"/>
      <c r="E12" s="111"/>
      <c r="F12" s="113"/>
      <c r="G12" s="110"/>
      <c r="H12" s="113"/>
      <c r="I12" s="112"/>
      <c r="J12" s="115"/>
      <c r="K12" s="113"/>
      <c r="L12" s="113"/>
      <c r="M12" s="64"/>
    </row>
    <row r="13" spans="1:13" s="106" customFormat="1">
      <c r="A13" s="117" t="s">
        <v>539</v>
      </c>
      <c r="B13" s="104"/>
      <c r="C13" s="104"/>
      <c r="D13" s="104" t="s">
        <v>540</v>
      </c>
      <c r="E13" s="104"/>
      <c r="F13" s="117"/>
      <c r="G13" s="104"/>
      <c r="H13" s="118"/>
      <c r="I13" s="104"/>
      <c r="J13" s="116"/>
      <c r="K13" s="116"/>
      <c r="L13" s="116"/>
      <c r="M13" s="64"/>
    </row>
    <row r="14" spans="1:13" s="106" customFormat="1">
      <c r="A14" s="117" t="s">
        <v>541</v>
      </c>
      <c r="B14" s="104"/>
      <c r="C14" s="104"/>
      <c r="D14" s="104" t="s">
        <v>542</v>
      </c>
      <c r="E14" s="104"/>
      <c r="F14" s="117"/>
      <c r="G14" s="104"/>
      <c r="H14" s="118"/>
      <c r="I14" s="104"/>
      <c r="J14" s="116"/>
      <c r="K14" s="116"/>
      <c r="L14" s="116"/>
      <c r="M14" s="64"/>
    </row>
    <row r="15" spans="1:13" s="106" customFormat="1">
      <c r="A15" s="117"/>
      <c r="B15" s="104"/>
      <c r="C15" s="104"/>
      <c r="D15" s="104" t="s">
        <v>543</v>
      </c>
      <c r="E15" s="104"/>
      <c r="F15" s="117"/>
      <c r="G15" s="104"/>
      <c r="H15" s="118"/>
      <c r="I15" s="104"/>
      <c r="J15" s="116"/>
      <c r="K15" s="116"/>
      <c r="L15" s="116"/>
      <c r="M15" s="64"/>
    </row>
    <row r="16" spans="1:13" s="106" customFormat="1">
      <c r="A16" s="117"/>
      <c r="B16" s="104"/>
      <c r="C16" s="104"/>
      <c r="D16" s="104" t="s">
        <v>555</v>
      </c>
      <c r="E16" s="104"/>
      <c r="F16" s="117"/>
      <c r="G16" s="104"/>
      <c r="H16" s="118"/>
      <c r="I16" s="104"/>
      <c r="J16" s="116"/>
      <c r="K16" s="116"/>
      <c r="L16" s="116"/>
      <c r="M16" s="64"/>
    </row>
    <row r="17" spans="1:14" ht="13.5" customHeight="1">
      <c r="B17" s="28"/>
    </row>
    <row r="18" spans="1:14" ht="17.649999999999999">
      <c r="A18" s="85">
        <v>1</v>
      </c>
      <c r="B18" s="85" t="s">
        <v>35</v>
      </c>
      <c r="C18" s="86"/>
      <c r="D18" s="86"/>
      <c r="E18" s="86"/>
      <c r="F18" s="86"/>
      <c r="G18" s="86"/>
      <c r="H18" s="87"/>
      <c r="I18" s="101"/>
      <c r="J18" s="87"/>
      <c r="K18" s="87"/>
      <c r="L18" s="87"/>
    </row>
    <row r="19" spans="1:14" ht="18.399999999999999">
      <c r="A19" s="9"/>
      <c r="B19" s="1" t="s">
        <v>579</v>
      </c>
      <c r="C19" s="10"/>
      <c r="D19" s="10"/>
      <c r="E19" s="10"/>
      <c r="F19" s="10"/>
      <c r="G19" s="10"/>
      <c r="H19" t="s">
        <v>582</v>
      </c>
      <c r="I19" s="119" t="e">
        <f>MAX((ABS(MIN(#REF!))),(MAX(#REF!)))</f>
        <v>#REF!</v>
      </c>
      <c r="J19" s="1" t="s">
        <v>37</v>
      </c>
      <c r="K19" s="22" t="s">
        <v>617</v>
      </c>
    </row>
    <row r="20" spans="1:14" ht="18">
      <c r="A20" s="9"/>
      <c r="B20" s="1" t="s">
        <v>580</v>
      </c>
      <c r="C20" s="10"/>
      <c r="D20" s="10"/>
      <c r="E20" s="10"/>
      <c r="F20" s="10"/>
      <c r="G20" s="10"/>
      <c r="H20" s="129" t="s">
        <v>581</v>
      </c>
      <c r="I20" s="119">
        <v>28.4</v>
      </c>
      <c r="J20" t="s">
        <v>583</v>
      </c>
    </row>
    <row r="21" spans="1:14" ht="13.9" customHeight="1">
      <c r="A21" s="9"/>
      <c r="B21" s="1" t="s">
        <v>425</v>
      </c>
      <c r="C21" s="1"/>
      <c r="D21" s="1"/>
      <c r="E21" s="1"/>
      <c r="F21" s="1"/>
      <c r="G21" s="1"/>
      <c r="H21" s="127" t="s">
        <v>36</v>
      </c>
      <c r="I21" s="130" t="e">
        <f>I19*COS(I20*(PI()/180))</f>
        <v>#REF!</v>
      </c>
      <c r="J21" s="1" t="s">
        <v>37</v>
      </c>
      <c r="K21" s="124"/>
      <c r="L21" s="126"/>
      <c r="M21" s="64" t="e">
        <f>I21*0.2248</f>
        <v>#REF!</v>
      </c>
      <c r="N21" t="s">
        <v>404</v>
      </c>
    </row>
    <row r="22" spans="1:14" ht="13.9" customHeight="1">
      <c r="A22" s="9"/>
      <c r="B22" s="1"/>
      <c r="C22" s="1"/>
      <c r="D22" s="1"/>
      <c r="E22" s="1"/>
      <c r="F22" s="1"/>
      <c r="G22" s="1"/>
      <c r="H22" s="127" t="s">
        <v>610</v>
      </c>
      <c r="I22" s="130" t="e">
        <f>I19*SIN(I20*(PI()/180))</f>
        <v>#REF!</v>
      </c>
      <c r="J22" s="1" t="s">
        <v>37</v>
      </c>
      <c r="K22" s="124"/>
      <c r="L22" s="126"/>
    </row>
    <row r="23" spans="1:14" ht="14.65">
      <c r="B23" s="1" t="s">
        <v>547</v>
      </c>
      <c r="H23" s="1" t="s">
        <v>39</v>
      </c>
      <c r="I23" s="120">
        <v>402</v>
      </c>
      <c r="J23" t="s">
        <v>2</v>
      </c>
      <c r="M23" s="64">
        <f>I23/25.4</f>
        <v>15.826771653543307</v>
      </c>
      <c r="N23" t="s">
        <v>403</v>
      </c>
    </row>
    <row r="24" spans="1:14" ht="15.4">
      <c r="B24" t="s">
        <v>546</v>
      </c>
      <c r="H24" s="63" t="s">
        <v>398</v>
      </c>
      <c r="I24" s="120">
        <v>5120</v>
      </c>
      <c r="J24" t="s">
        <v>2</v>
      </c>
      <c r="M24" s="64">
        <f>I24/25.4</f>
        <v>201.57480314960631</v>
      </c>
      <c r="N24" t="s">
        <v>403</v>
      </c>
    </row>
    <row r="25" spans="1:14" ht="15.4">
      <c r="B25" t="s">
        <v>545</v>
      </c>
      <c r="H25" s="63"/>
      <c r="I25" s="30"/>
    </row>
    <row r="26" spans="1:14">
      <c r="B26" s="126" t="s">
        <v>574</v>
      </c>
      <c r="G26" s="11" t="s">
        <v>557</v>
      </c>
      <c r="H26" t="s">
        <v>565</v>
      </c>
      <c r="I26" s="120">
        <v>355.6</v>
      </c>
      <c r="J26" t="s">
        <v>2</v>
      </c>
      <c r="K26" s="128" t="s">
        <v>575</v>
      </c>
      <c r="L26" s="59"/>
    </row>
    <row r="27" spans="1:14">
      <c r="B27" s="126" t="s">
        <v>573</v>
      </c>
      <c r="G27" s="11" t="s">
        <v>558</v>
      </c>
      <c r="H27" t="s">
        <v>564</v>
      </c>
      <c r="I27" s="120">
        <v>19.05</v>
      </c>
      <c r="J27" t="s">
        <v>2</v>
      </c>
    </row>
    <row r="28" spans="1:14">
      <c r="B28" s="126" t="s">
        <v>603</v>
      </c>
      <c r="G28" s="11" t="s">
        <v>559</v>
      </c>
      <c r="H28" s="126" t="s">
        <v>563</v>
      </c>
      <c r="I28" s="125">
        <f>I31*0.6*PI()*(I26^2-(I26-2*I27)^2)/4/1000</f>
        <v>4169.3158148839875</v>
      </c>
      <c r="J28" t="s">
        <v>37</v>
      </c>
      <c r="K28" s="124" t="e">
        <f>IF(I21&lt;I28,"Okay","Not Okay")</f>
        <v>#REF!</v>
      </c>
      <c r="L28" s="126" t="s">
        <v>566</v>
      </c>
    </row>
    <row r="29" spans="1:14" ht="17.649999999999999">
      <c r="A29" s="85">
        <v>2</v>
      </c>
      <c r="B29" s="85" t="s">
        <v>40</v>
      </c>
      <c r="C29" s="86"/>
      <c r="D29" s="85"/>
      <c r="E29" s="85"/>
      <c r="F29" s="87"/>
      <c r="G29" s="87"/>
      <c r="H29" s="87"/>
      <c r="I29" s="101"/>
      <c r="J29" s="87"/>
      <c r="K29" s="87"/>
      <c r="L29" s="87"/>
    </row>
    <row r="30" spans="1:14" ht="15.75">
      <c r="A30" s="86">
        <v>2.1</v>
      </c>
      <c r="B30" s="86" t="s">
        <v>41</v>
      </c>
      <c r="C30" s="86"/>
      <c r="D30" s="87"/>
      <c r="E30" s="87"/>
      <c r="F30" s="87"/>
      <c r="G30" s="87"/>
      <c r="H30" s="87"/>
      <c r="I30" s="101"/>
      <c r="J30" s="87"/>
      <c r="K30" s="87"/>
      <c r="L30" s="87"/>
    </row>
    <row r="31" spans="1:14" ht="16.5">
      <c r="B31" t="s">
        <v>42</v>
      </c>
      <c r="H31" t="s">
        <v>413</v>
      </c>
      <c r="I31" s="120">
        <v>345</v>
      </c>
      <c r="J31" t="s">
        <v>44</v>
      </c>
      <c r="M31" s="64">
        <f>I31/6.89</f>
        <v>50.072568940493468</v>
      </c>
      <c r="N31" t="s">
        <v>58</v>
      </c>
    </row>
    <row r="32" spans="1:14" ht="16.5">
      <c r="B32" t="s">
        <v>365</v>
      </c>
      <c r="H32" t="s">
        <v>414</v>
      </c>
      <c r="I32" s="120">
        <v>470</v>
      </c>
      <c r="J32" t="s">
        <v>46</v>
      </c>
      <c r="M32" s="64">
        <f>I32/6.89</f>
        <v>68.214804063860669</v>
      </c>
      <c r="N32" t="s">
        <v>58</v>
      </c>
    </row>
    <row r="33" spans="1:14" ht="15.75">
      <c r="B33" t="s">
        <v>47</v>
      </c>
      <c r="H33" s="1" t="s">
        <v>367</v>
      </c>
      <c r="I33" s="120">
        <v>460</v>
      </c>
      <c r="J33" t="s">
        <v>2</v>
      </c>
      <c r="K33" s="59" t="s">
        <v>602</v>
      </c>
      <c r="M33" s="64">
        <f t="shared" ref="M33:M40" si="0">I33/25.4</f>
        <v>18.110236220472441</v>
      </c>
      <c r="N33" t="s">
        <v>403</v>
      </c>
    </row>
    <row r="34" spans="1:14" ht="14.65">
      <c r="B34" t="s">
        <v>48</v>
      </c>
      <c r="H34" s="1" t="s">
        <v>380</v>
      </c>
      <c r="I34" s="120">
        <v>400</v>
      </c>
      <c r="J34" t="s">
        <v>2</v>
      </c>
      <c r="M34" s="64">
        <f t="shared" si="0"/>
        <v>15.748031496062993</v>
      </c>
      <c r="N34" t="s">
        <v>403</v>
      </c>
    </row>
    <row r="35" spans="1:14" ht="15.75">
      <c r="B35" s="1" t="s">
        <v>49</v>
      </c>
      <c r="H35" s="1" t="s">
        <v>368</v>
      </c>
      <c r="I35" s="120">
        <v>25</v>
      </c>
      <c r="J35" t="s">
        <v>2</v>
      </c>
      <c r="L35" s="60"/>
      <c r="M35" s="64">
        <f t="shared" si="0"/>
        <v>0.98425196850393704</v>
      </c>
      <c r="N35" t="s">
        <v>403</v>
      </c>
    </row>
    <row r="36" spans="1:14" ht="15.75">
      <c r="B36" s="1" t="s">
        <v>50</v>
      </c>
      <c r="H36" s="1" t="s">
        <v>369</v>
      </c>
      <c r="I36" s="120">
        <v>20</v>
      </c>
      <c r="J36" t="s">
        <v>2</v>
      </c>
      <c r="L36" s="60"/>
      <c r="M36" s="64">
        <f t="shared" si="0"/>
        <v>0.78740157480314965</v>
      </c>
      <c r="N36" t="s">
        <v>403</v>
      </c>
    </row>
    <row r="37" spans="1:14" ht="14.65">
      <c r="B37" s="1" t="s">
        <v>550</v>
      </c>
      <c r="H37" s="1" t="s">
        <v>553</v>
      </c>
      <c r="I37" s="74">
        <f>(((I33*I35^3/12)+((I33*I35)*((I34/2)-(I35/2))^2))*2+(I36*(I34-I35-I35)^3/12))/(10)^4</f>
        <v>88125</v>
      </c>
      <c r="J37" t="s">
        <v>551</v>
      </c>
      <c r="K37" s="122"/>
    </row>
    <row r="38" spans="1:14" ht="14.65">
      <c r="B38" s="1" t="s">
        <v>552</v>
      </c>
      <c r="H38" s="1" t="s">
        <v>554</v>
      </c>
      <c r="I38" s="74">
        <f>(((I35*I33^3/12)*2)+((I34-(2*I35))*I36^3/12))/(10)^4</f>
        <v>40580</v>
      </c>
      <c r="J38" t="s">
        <v>551</v>
      </c>
      <c r="K38" s="122"/>
    </row>
    <row r="39" spans="1:14" ht="14.65">
      <c r="B39" s="1" t="s">
        <v>556</v>
      </c>
      <c r="H39" s="1"/>
      <c r="I39" s="120">
        <v>14</v>
      </c>
      <c r="J39" t="s">
        <v>2</v>
      </c>
    </row>
    <row r="40" spans="1:14" ht="14.65">
      <c r="B40" s="1" t="s">
        <v>381</v>
      </c>
      <c r="H40" s="1" t="s">
        <v>93</v>
      </c>
      <c r="I40" s="30">
        <f>I39+I35</f>
        <v>39</v>
      </c>
      <c r="J40" t="s">
        <v>2</v>
      </c>
      <c r="M40" s="64">
        <f t="shared" si="0"/>
        <v>1.5354330708661419</v>
      </c>
      <c r="N40" t="s">
        <v>403</v>
      </c>
    </row>
    <row r="41" spans="1:14" ht="16.5">
      <c r="B41" s="1" t="s">
        <v>544</v>
      </c>
      <c r="H41" s="1" t="s">
        <v>51</v>
      </c>
      <c r="I41" s="61">
        <f>I37/(I34/20)</f>
        <v>4406.25</v>
      </c>
      <c r="J41" t="s">
        <v>52</v>
      </c>
    </row>
    <row r="42" spans="1:14" ht="14.65">
      <c r="B42" s="1" t="s">
        <v>394</v>
      </c>
      <c r="H42" s="1" t="s">
        <v>392</v>
      </c>
      <c r="I42" s="61">
        <f>I34-2*I35</f>
        <v>350</v>
      </c>
      <c r="J42" t="s">
        <v>2</v>
      </c>
      <c r="M42" s="64">
        <f t="shared" ref="M42:M43" si="1">I42/25.4</f>
        <v>13.779527559055119</v>
      </c>
      <c r="N42" t="s">
        <v>403</v>
      </c>
    </row>
    <row r="43" spans="1:14" ht="15.75">
      <c r="B43" s="31" t="s">
        <v>393</v>
      </c>
      <c r="H43" s="1" t="s">
        <v>391</v>
      </c>
      <c r="I43" s="2">
        <f>I34-2*I40</f>
        <v>322</v>
      </c>
      <c r="J43" t="s">
        <v>2</v>
      </c>
      <c r="M43" s="64">
        <f t="shared" si="1"/>
        <v>12.677165354330709</v>
      </c>
      <c r="N43" t="s">
        <v>403</v>
      </c>
    </row>
    <row r="44" spans="1:14" ht="14.65">
      <c r="B44" s="1"/>
      <c r="H44" s="1"/>
      <c r="I44" s="61"/>
    </row>
    <row r="45" spans="1:14" ht="18">
      <c r="A45" s="85">
        <v>3</v>
      </c>
      <c r="B45" s="85" t="s">
        <v>112</v>
      </c>
      <c r="C45" s="86"/>
      <c r="D45" s="85"/>
      <c r="E45" s="85"/>
      <c r="F45" s="87"/>
      <c r="G45" s="87"/>
      <c r="H45" s="102"/>
      <c r="I45" s="101"/>
      <c r="J45" s="87"/>
      <c r="K45" s="87"/>
      <c r="L45" s="87"/>
    </row>
    <row r="46" spans="1:14" ht="15.75">
      <c r="A46" s="86">
        <v>3.1</v>
      </c>
      <c r="B46" s="86" t="s">
        <v>59</v>
      </c>
      <c r="C46" s="86"/>
      <c r="D46" s="86"/>
      <c r="E46" s="86"/>
      <c r="F46" s="86"/>
      <c r="G46" s="87"/>
      <c r="H46" s="87"/>
      <c r="I46" s="101"/>
      <c r="J46" s="87"/>
      <c r="K46" s="87"/>
      <c r="L46" s="87"/>
    </row>
    <row r="48" spans="1:14" ht="13.9">
      <c r="B48" s="54" t="s">
        <v>370</v>
      </c>
      <c r="C48" s="121">
        <v>454</v>
      </c>
      <c r="D48" s="55" t="s">
        <v>548</v>
      </c>
      <c r="H48" s="11" t="s">
        <v>560</v>
      </c>
      <c r="I48" s="123">
        <v>355.6</v>
      </c>
      <c r="J48" t="s">
        <v>2</v>
      </c>
      <c r="M48" s="64">
        <f>C48/25.4</f>
        <v>17.874015748031496</v>
      </c>
      <c r="N48" t="s">
        <v>403</v>
      </c>
    </row>
    <row r="49" spans="1:14" ht="13.9">
      <c r="B49" s="54"/>
      <c r="C49" s="56"/>
      <c r="D49" s="55"/>
      <c r="H49" s="11" t="s">
        <v>561</v>
      </c>
      <c r="I49" s="123">
        <v>75</v>
      </c>
      <c r="J49" t="s">
        <v>2</v>
      </c>
    </row>
    <row r="50" spans="1:14" ht="16.899999999999999">
      <c r="B50" s="11" t="s">
        <v>372</v>
      </c>
      <c r="C50" t="s">
        <v>373</v>
      </c>
      <c r="D50" s="11" t="s">
        <v>374</v>
      </c>
      <c r="E50" t="s">
        <v>375</v>
      </c>
      <c r="H50" s="11" t="s">
        <v>562</v>
      </c>
      <c r="I50" s="60">
        <f>I23</f>
        <v>402</v>
      </c>
      <c r="J50" t="s">
        <v>2</v>
      </c>
      <c r="K50" s="60" t="s">
        <v>383</v>
      </c>
    </row>
    <row r="51" spans="1:14">
      <c r="B51" s="11"/>
      <c r="D51" s="11"/>
      <c r="K51" s="2"/>
    </row>
    <row r="52" spans="1:14" ht="16.899999999999999">
      <c r="B52" s="11" t="s">
        <v>376</v>
      </c>
      <c r="C52" t="s">
        <v>377</v>
      </c>
      <c r="D52" s="11" t="s">
        <v>374</v>
      </c>
      <c r="E52" t="s">
        <v>378</v>
      </c>
      <c r="K52" s="60" t="s">
        <v>384</v>
      </c>
    </row>
    <row r="53" spans="1:14">
      <c r="D53" s="11"/>
    </row>
    <row r="54" spans="1:14" ht="15">
      <c r="D54" s="11" t="s">
        <v>379</v>
      </c>
      <c r="E54" s="66">
        <f>IF(C48&gt;I34,I36*(I23+5*I40)*0.66*I31/1000,I36*(I23+2.5*I40)*0.66*I31/1000)</f>
        <v>2718.7379999999998</v>
      </c>
      <c r="F54" t="s">
        <v>37</v>
      </c>
      <c r="M54" s="64">
        <f>E54/4.448</f>
        <v>611.22706834532369</v>
      </c>
      <c r="N54" t="s">
        <v>404</v>
      </c>
    </row>
    <row r="55" spans="1:14" ht="16.5">
      <c r="D55" s="11" t="s">
        <v>382</v>
      </c>
      <c r="E55" s="80" t="e">
        <f>I21/E54</f>
        <v>#REF!</v>
      </c>
      <c r="G55" s="67" t="e">
        <f>IF(E55&lt;1,"a pair of stiffener is not required !","a pair of stiffeners is required !")</f>
        <v>#REF!</v>
      </c>
      <c r="H55" s="59"/>
    </row>
    <row r="56" spans="1:14">
      <c r="D56" s="12"/>
      <c r="I56" s="15"/>
    </row>
    <row r="57" spans="1:14" ht="15.75">
      <c r="A57" s="86">
        <v>3.2</v>
      </c>
      <c r="B57" s="86" t="s">
        <v>61</v>
      </c>
      <c r="C57" s="86"/>
      <c r="D57" s="86"/>
      <c r="E57" s="86"/>
      <c r="F57" s="86"/>
      <c r="G57" s="87"/>
      <c r="H57" s="87"/>
      <c r="I57" s="101"/>
      <c r="J57" s="87"/>
      <c r="K57" s="87"/>
      <c r="L57" s="87"/>
    </row>
    <row r="58" spans="1:14">
      <c r="D58" s="13"/>
    </row>
    <row r="59" spans="1:14" ht="16.899999999999999">
      <c r="B59" s="11" t="s">
        <v>372</v>
      </c>
      <c r="C59" t="s">
        <v>385</v>
      </c>
      <c r="D59" s="11" t="s">
        <v>374</v>
      </c>
      <c r="E59" t="s">
        <v>386</v>
      </c>
      <c r="I59"/>
      <c r="K59" t="s">
        <v>390</v>
      </c>
    </row>
    <row r="60" spans="1:14">
      <c r="B60" s="11"/>
      <c r="D60" s="11"/>
      <c r="I60"/>
    </row>
    <row r="61" spans="1:14" ht="16.899999999999999">
      <c r="B61" s="11" t="s">
        <v>376</v>
      </c>
      <c r="C61" t="s">
        <v>387</v>
      </c>
      <c r="D61" s="11" t="s">
        <v>374</v>
      </c>
      <c r="E61" t="s">
        <v>388</v>
      </c>
      <c r="I61"/>
      <c r="K61" t="s">
        <v>389</v>
      </c>
    </row>
    <row r="62" spans="1:14">
      <c r="D62" s="13"/>
    </row>
    <row r="63" spans="1:14" ht="15">
      <c r="D63" s="11" t="s">
        <v>379</v>
      </c>
      <c r="E63" s="66">
        <f>IF(M48&gt;0.5*M34,67.5*M36^2*(1+3*(M23/M34)*(M36/M35)^1.5)*(M31*M35/M36)^0.5*4.448,34*M36^2*(1+3*(M23/M34)*(M36/M35)^1.5)*(M31*M35/M36)^0.5*4.448)</f>
        <v>4649.8605985638706</v>
      </c>
      <c r="F63" t="s">
        <v>37</v>
      </c>
      <c r="M63" s="64">
        <f>E63/4.448</f>
        <v>1045.3823288138196</v>
      </c>
      <c r="N63" t="s">
        <v>404</v>
      </c>
    </row>
    <row r="64" spans="1:14" ht="16.5">
      <c r="D64" s="11" t="s">
        <v>382</v>
      </c>
      <c r="E64" s="80" t="e">
        <f>I21/E63</f>
        <v>#REF!</v>
      </c>
      <c r="G64" s="67" t="e">
        <f>IF(E64&lt;1,"a pair of stiffener is not required !","a pair of stiffeners is required !")</f>
        <v>#REF!</v>
      </c>
    </row>
    <row r="65" spans="1:14">
      <c r="D65" s="13"/>
    </row>
    <row r="66" spans="1:14" ht="15.75">
      <c r="A66" s="86">
        <v>3.3</v>
      </c>
      <c r="B66" s="86" t="s">
        <v>62</v>
      </c>
      <c r="C66" s="86"/>
      <c r="D66" s="86"/>
      <c r="E66" s="86"/>
      <c r="F66" s="86"/>
      <c r="G66" s="87"/>
      <c r="H66" s="87"/>
      <c r="I66" s="101"/>
      <c r="J66" s="87"/>
      <c r="K66" s="87"/>
      <c r="L66" s="87"/>
    </row>
    <row r="67" spans="1:14" ht="15" customHeight="1">
      <c r="D67" s="13"/>
      <c r="I67" s="15"/>
    </row>
    <row r="68" spans="1:14" ht="15" customHeight="1">
      <c r="B68" s="54" t="s">
        <v>372</v>
      </c>
      <c r="C68" s="57" t="s">
        <v>395</v>
      </c>
      <c r="D68" s="57"/>
      <c r="E68" s="57"/>
      <c r="F68" s="57"/>
      <c r="I68" s="15"/>
    </row>
    <row r="69" spans="1:14" ht="15" customHeight="1">
      <c r="D69" s="13"/>
      <c r="I69" s="15"/>
    </row>
    <row r="70" spans="1:14" ht="15" customHeight="1">
      <c r="C70" s="57"/>
      <c r="D70" s="54" t="s">
        <v>402</v>
      </c>
      <c r="E70" s="16">
        <f>(I43/I36)/(I24/I33)</f>
        <v>1.4464843750000003</v>
      </c>
      <c r="F70" s="2" t="str">
        <f>IF(E70&gt;G70,"&gt;","&lt;")</f>
        <v>&lt;</v>
      </c>
      <c r="G70" s="2">
        <v>2.2999999999999998</v>
      </c>
      <c r="I70" s="15"/>
    </row>
    <row r="71" spans="1:14" ht="15" customHeight="1">
      <c r="D71" s="13"/>
      <c r="I71" s="15"/>
    </row>
    <row r="72" spans="1:14" ht="15" customHeight="1">
      <c r="D72" s="54" t="s">
        <v>374</v>
      </c>
      <c r="E72" s="192" t="s">
        <v>396</v>
      </c>
      <c r="F72" s="193"/>
      <c r="G72" s="193"/>
      <c r="H72" s="193"/>
      <c r="I72" s="62"/>
      <c r="K72" t="s">
        <v>400</v>
      </c>
    </row>
    <row r="73" spans="1:14">
      <c r="E73" s="13"/>
      <c r="I73"/>
    </row>
    <row r="74" spans="1:14" ht="15">
      <c r="D74" s="54" t="s">
        <v>374</v>
      </c>
      <c r="E74" s="194">
        <f>IF(E70&lt;2.3,6800*M36^3*(1+0.4*E70^3)/M42*4.448,"( need not be checked !)")</f>
        <v>2368.8560700930461</v>
      </c>
      <c r="F74" s="194"/>
      <c r="I74"/>
      <c r="M74" s="79">
        <f>IF(E74="( need not be checked !)",0.0001,E74/4.448)</f>
        <v>532.56656252091864</v>
      </c>
      <c r="N74" t="s">
        <v>404</v>
      </c>
    </row>
    <row r="75" spans="1:14" ht="16.5">
      <c r="D75" s="11" t="s">
        <v>382</v>
      </c>
      <c r="E75" s="80" t="e">
        <f>IF(E74="( need not be checked !)","N/A",I21/E74)</f>
        <v>#REF!</v>
      </c>
      <c r="G75" s="67" t="e">
        <f>IF(E70&gt;2.3,"a pair of stiffener is not required !",IF(E74&gt;I21,"a pair of stiffener is not required !","a pair of stiffeners is required !"))</f>
        <v>#REF!</v>
      </c>
      <c r="I75" s="15"/>
    </row>
    <row r="76" spans="1:14">
      <c r="D76" s="13"/>
      <c r="I76" s="15"/>
    </row>
    <row r="77" spans="1:14">
      <c r="D77" s="13"/>
      <c r="I77" s="15"/>
    </row>
    <row r="78" spans="1:14" ht="15.4">
      <c r="B78" s="54" t="s">
        <v>376</v>
      </c>
      <c r="C78" s="57" t="s">
        <v>397</v>
      </c>
      <c r="D78" s="13"/>
      <c r="I78" s="15"/>
    </row>
    <row r="79" spans="1:14">
      <c r="D79" s="13"/>
      <c r="I79" s="15"/>
    </row>
    <row r="80" spans="1:14" ht="15.4">
      <c r="C80" s="57"/>
      <c r="D80" s="54" t="s">
        <v>402</v>
      </c>
      <c r="E80" s="16">
        <f>(I43/I36)/(I24/I33)</f>
        <v>1.4464843750000003</v>
      </c>
      <c r="F80" s="2" t="str">
        <f>IF(E80&gt;G80,"&gt;","&lt;")</f>
        <v>&lt;</v>
      </c>
      <c r="G80" s="2">
        <v>1.7</v>
      </c>
      <c r="I80" s="15"/>
    </row>
    <row r="81" spans="1:17">
      <c r="D81" s="13"/>
      <c r="I81" s="15"/>
    </row>
    <row r="82" spans="1:17" ht="17.25">
      <c r="D82" s="54" t="s">
        <v>374</v>
      </c>
      <c r="E82" s="55" t="s">
        <v>399</v>
      </c>
      <c r="F82" s="55"/>
      <c r="G82" s="55"/>
      <c r="H82" s="60"/>
      <c r="I82" s="60"/>
      <c r="K82" t="s">
        <v>401</v>
      </c>
    </row>
    <row r="83" spans="1:17">
      <c r="D83" s="13"/>
      <c r="I83" s="15"/>
    </row>
    <row r="84" spans="1:17" ht="15">
      <c r="D84" s="54" t="s">
        <v>374</v>
      </c>
      <c r="E84" s="194">
        <f>IF(E80&lt;1.7,6800*M36^3*(0.4*E80^3)/M42*4.448,"( need not be checked !)")</f>
        <v>1297.2671840581313</v>
      </c>
      <c r="F84" s="194"/>
      <c r="I84" s="15"/>
      <c r="M84" s="79">
        <f>IF(E84="( need not be checked !)",0.0001,E84/4.448)</f>
        <v>291.65179497709784</v>
      </c>
      <c r="N84" t="s">
        <v>404</v>
      </c>
    </row>
    <row r="85" spans="1:17" ht="16.5">
      <c r="D85" s="11" t="s">
        <v>382</v>
      </c>
      <c r="E85" s="80" t="e">
        <f>IF(E84="( need not be checked !)","N/A",I21/E84)</f>
        <v>#REF!</v>
      </c>
      <c r="G85" s="67" t="e">
        <f>IF(E80&gt;1.7,"a pair of stiffener is not required !",IF(E84&gt;I21,"a pair of stiffener is not required !","a pair of stiffeners is required !"))</f>
        <v>#REF!</v>
      </c>
      <c r="I85" s="15"/>
    </row>
    <row r="86" spans="1:17">
      <c r="D86" s="13"/>
      <c r="I86" s="15"/>
    </row>
    <row r="87" spans="1:17" ht="15.75">
      <c r="A87" s="86">
        <v>3.4</v>
      </c>
      <c r="B87" s="86" t="s">
        <v>405</v>
      </c>
      <c r="C87" s="87"/>
      <c r="D87" s="88"/>
      <c r="E87" s="87"/>
      <c r="F87" s="87"/>
      <c r="G87" s="87"/>
      <c r="H87" s="87"/>
      <c r="I87" s="103"/>
      <c r="J87" s="87"/>
      <c r="K87" s="87"/>
      <c r="L87" s="87"/>
    </row>
    <row r="88" spans="1:17">
      <c r="D88" s="13"/>
      <c r="I88" s="15"/>
    </row>
    <row r="89" spans="1:17" ht="16.899999999999999">
      <c r="D89" s="54" t="s">
        <v>406</v>
      </c>
      <c r="E89" s="55" t="s">
        <v>407</v>
      </c>
      <c r="I89"/>
      <c r="K89" t="s">
        <v>409</v>
      </c>
      <c r="M89" s="109"/>
      <c r="N89" s="64"/>
      <c r="Q89" s="66"/>
    </row>
    <row r="90" spans="1:17" ht="13.9">
      <c r="D90" s="57"/>
      <c r="E90" s="65"/>
      <c r="I90"/>
      <c r="J90" s="15"/>
      <c r="M90" s="109"/>
      <c r="N90" s="64"/>
    </row>
    <row r="91" spans="1:17" ht="15.4">
      <c r="D91" s="54" t="s">
        <v>374</v>
      </c>
      <c r="E91" s="55" t="s">
        <v>408</v>
      </c>
      <c r="I91"/>
      <c r="J91" s="15"/>
      <c r="M91" s="109"/>
      <c r="N91" s="64"/>
    </row>
    <row r="92" spans="1:17">
      <c r="E92" s="13"/>
      <c r="I92"/>
      <c r="J92" s="15"/>
      <c r="M92" s="109"/>
      <c r="N92" s="64"/>
    </row>
    <row r="93" spans="1:17" ht="15">
      <c r="D93" s="54" t="s">
        <v>374</v>
      </c>
      <c r="E93" s="195">
        <f>0.6*4100*M36^3*M31^0.5/M43*4.448</f>
        <v>2981.7175691348943</v>
      </c>
      <c r="F93" s="195"/>
      <c r="I93"/>
      <c r="J93" s="15"/>
      <c r="M93" s="79">
        <f>IF(E93="( need not be checked !)",0.0001,E93/4.448)</f>
        <v>670.35017291701752</v>
      </c>
      <c r="N93" t="s">
        <v>404</v>
      </c>
    </row>
    <row r="94" spans="1:17" ht="16.5">
      <c r="D94" s="11" t="s">
        <v>382</v>
      </c>
      <c r="E94" s="80" t="e">
        <f>I21/E93</f>
        <v>#REF!</v>
      </c>
      <c r="G94" s="67" t="e">
        <f>IF(E94&lt;1,"a pair of stiffener is not required !","a pair of stiffeners is required !")</f>
        <v>#REF!</v>
      </c>
      <c r="I94"/>
      <c r="J94" s="15"/>
      <c r="M94" s="109"/>
      <c r="N94" s="64"/>
    </row>
    <row r="95" spans="1:17">
      <c r="D95" s="13"/>
      <c r="I95" s="15"/>
    </row>
    <row r="96" spans="1:17" ht="15.75">
      <c r="A96" s="86">
        <v>3.4</v>
      </c>
      <c r="B96" s="86" t="s">
        <v>410</v>
      </c>
      <c r="C96" s="87"/>
      <c r="D96" s="88"/>
      <c r="E96" s="87"/>
      <c r="F96" s="87"/>
      <c r="G96" s="87"/>
      <c r="H96" s="87"/>
      <c r="I96" s="103"/>
      <c r="J96" s="87"/>
      <c r="K96" s="87"/>
      <c r="L96" s="87"/>
    </row>
    <row r="97" spans="1:14">
      <c r="D97" s="13"/>
      <c r="I97" s="15"/>
    </row>
    <row r="98" spans="1:14" ht="16.899999999999999">
      <c r="D98" s="54" t="s">
        <v>411</v>
      </c>
      <c r="E98" s="57" t="s">
        <v>412</v>
      </c>
      <c r="F98" s="57"/>
      <c r="I98" s="15"/>
      <c r="K98" t="s">
        <v>419</v>
      </c>
    </row>
    <row r="99" spans="1:14" ht="15">
      <c r="D99" s="54" t="s">
        <v>417</v>
      </c>
      <c r="E99" s="54" t="s">
        <v>418</v>
      </c>
      <c r="I99" s="15"/>
    </row>
    <row r="100" spans="1:14">
      <c r="I100" s="15"/>
    </row>
    <row r="101" spans="1:14" ht="16.899999999999999">
      <c r="D101" s="54" t="s">
        <v>411</v>
      </c>
      <c r="E101" s="68" t="e">
        <f>(5/3*M21-M31*M36*(M35+5*M40))/M107*25.4^2</f>
        <v>#REF!</v>
      </c>
      <c r="F101" t="s">
        <v>65</v>
      </c>
      <c r="G101" s="67" t="e">
        <f>IF(E101&lt;0,"a pair of stiffener is not required !","a pair of stiffeners is required !")</f>
        <v>#REF!</v>
      </c>
      <c r="I101" s="15"/>
      <c r="M101" s="64" t="e">
        <f>E101/25.4^2</f>
        <v>#REF!</v>
      </c>
      <c r="N101" t="s">
        <v>448</v>
      </c>
    </row>
    <row r="102" spans="1:14">
      <c r="I102" s="15"/>
    </row>
    <row r="103" spans="1:14">
      <c r="I103" s="15"/>
    </row>
    <row r="104" spans="1:14" ht="17.649999999999999">
      <c r="A104" s="85">
        <v>4</v>
      </c>
      <c r="B104" s="85" t="s">
        <v>423</v>
      </c>
      <c r="C104" s="87"/>
      <c r="D104" s="87"/>
      <c r="E104" s="87"/>
      <c r="F104" s="87"/>
      <c r="G104" s="87"/>
      <c r="H104" s="87"/>
      <c r="I104" s="103"/>
      <c r="J104" s="87"/>
      <c r="K104" s="87"/>
      <c r="L104" s="87"/>
    </row>
    <row r="105" spans="1:14" ht="15.75">
      <c r="A105" s="87"/>
      <c r="B105" s="86" t="s">
        <v>424</v>
      </c>
      <c r="C105" s="87"/>
      <c r="D105" s="88"/>
      <c r="E105" s="87"/>
      <c r="F105" s="87"/>
      <c r="G105" s="87"/>
      <c r="H105" s="87"/>
      <c r="I105" s="103"/>
      <c r="J105" s="87"/>
      <c r="K105" s="87"/>
      <c r="L105" s="87"/>
    </row>
    <row r="106" spans="1:14" ht="15.75">
      <c r="A106" s="86">
        <v>4.0999999999999996</v>
      </c>
      <c r="B106" s="86" t="s">
        <v>54</v>
      </c>
      <c r="C106" s="87"/>
      <c r="D106" s="88"/>
      <c r="E106" s="87"/>
      <c r="F106" s="87"/>
      <c r="G106" s="87"/>
      <c r="H106" s="87"/>
      <c r="I106" s="103"/>
      <c r="J106" s="87"/>
      <c r="K106" s="87"/>
      <c r="L106" s="87"/>
    </row>
    <row r="107" spans="1:14" ht="16.5">
      <c r="B107" t="s">
        <v>55</v>
      </c>
      <c r="H107" t="s">
        <v>415</v>
      </c>
      <c r="I107" s="3">
        <v>345</v>
      </c>
      <c r="J107" t="s">
        <v>44</v>
      </c>
      <c r="M107" s="64">
        <f t="shared" ref="M107:M109" si="2">I107/6.89</f>
        <v>50.072568940493468</v>
      </c>
      <c r="N107" t="s">
        <v>58</v>
      </c>
    </row>
    <row r="108" spans="1:14" ht="16.5">
      <c r="B108" t="s">
        <v>365</v>
      </c>
      <c r="H108" t="s">
        <v>416</v>
      </c>
      <c r="I108" s="3">
        <v>470</v>
      </c>
      <c r="J108" t="s">
        <v>46</v>
      </c>
      <c r="M108" s="64">
        <f t="shared" si="2"/>
        <v>68.214804063860669</v>
      </c>
      <c r="N108" t="s">
        <v>58</v>
      </c>
    </row>
    <row r="109" spans="1:14" ht="16.5">
      <c r="B109" t="s">
        <v>508</v>
      </c>
      <c r="H109" t="s">
        <v>465</v>
      </c>
      <c r="I109" s="3">
        <v>210000</v>
      </c>
      <c r="J109" t="s">
        <v>46</v>
      </c>
      <c r="M109" s="64">
        <f t="shared" si="2"/>
        <v>30478.955007256896</v>
      </c>
      <c r="N109" t="s">
        <v>58</v>
      </c>
    </row>
    <row r="110" spans="1:14" ht="16.5">
      <c r="B110" t="s">
        <v>509</v>
      </c>
      <c r="H110" s="60" t="s">
        <v>449</v>
      </c>
      <c r="I110" s="30">
        <f>25*I36</f>
        <v>500</v>
      </c>
      <c r="J110" t="s">
        <v>2</v>
      </c>
      <c r="M110" s="64">
        <f>I110/25.4</f>
        <v>19.685039370078741</v>
      </c>
      <c r="N110" t="s">
        <v>403</v>
      </c>
    </row>
    <row r="111" spans="1:14" ht="16.5">
      <c r="B111" t="s">
        <v>507</v>
      </c>
      <c r="D111" s="13"/>
      <c r="H111" t="s">
        <v>510</v>
      </c>
      <c r="I111" s="2">
        <f>CEILING(((I33-I36)/2)-25,1)</f>
        <v>195</v>
      </c>
      <c r="J111" t="s">
        <v>2</v>
      </c>
      <c r="M111" s="64">
        <f t="shared" ref="M111:M112" si="3">I111/25.4</f>
        <v>7.6771653543307092</v>
      </c>
      <c r="N111" t="s">
        <v>403</v>
      </c>
    </row>
    <row r="112" spans="1:14" ht="16.5">
      <c r="D112" s="13"/>
      <c r="H112" t="s">
        <v>511</v>
      </c>
      <c r="I112" s="30">
        <f>CEILING(((I33-I36)/2)-25,1)</f>
        <v>195</v>
      </c>
      <c r="J112" t="s">
        <v>2</v>
      </c>
      <c r="M112" s="64">
        <f t="shared" si="3"/>
        <v>7.6771653543307092</v>
      </c>
      <c r="N112" t="s">
        <v>403</v>
      </c>
    </row>
    <row r="113" spans="1:14">
      <c r="D113" s="13"/>
      <c r="I113" s="15"/>
    </row>
    <row r="114" spans="1:14" ht="13.9">
      <c r="B114" s="57"/>
      <c r="C114" s="57"/>
      <c r="D114" s="70"/>
      <c r="E114" s="57"/>
      <c r="I114" s="15"/>
    </row>
    <row r="115" spans="1:14" ht="15">
      <c r="B115" s="57"/>
      <c r="C115" s="65" t="s">
        <v>428</v>
      </c>
      <c r="D115" s="57"/>
      <c r="E115" s="54"/>
      <c r="I115" s="15"/>
    </row>
    <row r="116" spans="1:14" ht="13.9">
      <c r="B116" s="54" t="s">
        <v>429</v>
      </c>
      <c r="D116" s="71"/>
      <c r="E116" s="65"/>
      <c r="I116" s="15"/>
    </row>
    <row r="117" spans="1:14" ht="13.9">
      <c r="C117" s="57"/>
      <c r="D117" s="54"/>
      <c r="E117" s="57"/>
      <c r="I117" s="15"/>
    </row>
    <row r="118" spans="1:14" ht="13.9">
      <c r="B118" s="57"/>
      <c r="C118" s="57"/>
      <c r="D118" s="71"/>
      <c r="E118" s="54"/>
      <c r="I118" s="15"/>
    </row>
    <row r="119" spans="1:14" ht="13.9">
      <c r="A119" s="57"/>
      <c r="C119" s="57"/>
      <c r="D119" s="70"/>
      <c r="E119" s="196" t="s">
        <v>431</v>
      </c>
      <c r="I119" s="15"/>
    </row>
    <row r="120" spans="1:14" ht="13.9">
      <c r="B120" s="57"/>
      <c r="C120" s="57"/>
      <c r="D120" s="54"/>
      <c r="E120" s="197"/>
      <c r="I120" s="15"/>
    </row>
    <row r="121" spans="1:14" ht="13.9">
      <c r="B121" s="57"/>
      <c r="C121" s="57"/>
      <c r="D121" s="57"/>
      <c r="E121" s="57"/>
      <c r="I121" s="15"/>
    </row>
    <row r="122" spans="1:14" ht="13.9">
      <c r="B122" s="55"/>
      <c r="D122" s="72"/>
      <c r="E122" s="57"/>
      <c r="I122" s="15"/>
    </row>
    <row r="123" spans="1:14" ht="13.9">
      <c r="B123" s="57"/>
      <c r="C123" s="57"/>
      <c r="D123" s="57"/>
      <c r="E123" s="57"/>
      <c r="I123" s="15"/>
    </row>
    <row r="124" spans="1:14" ht="13.9">
      <c r="B124" s="57"/>
      <c r="C124" s="54"/>
      <c r="D124" s="56"/>
      <c r="E124" s="57"/>
      <c r="I124" s="15"/>
    </row>
    <row r="125" spans="1:14" ht="13.9">
      <c r="C125" s="54"/>
      <c r="D125" s="56"/>
      <c r="E125" s="55"/>
      <c r="I125" s="15"/>
    </row>
    <row r="126" spans="1:14" ht="15" customHeight="1">
      <c r="B126" s="57"/>
      <c r="C126" s="55" t="s">
        <v>433</v>
      </c>
      <c r="D126" s="73"/>
      <c r="E126" s="55"/>
      <c r="I126" s="15"/>
    </row>
    <row r="127" spans="1:14" ht="15.75">
      <c r="A127" s="86">
        <v>4.2</v>
      </c>
      <c r="B127" s="86" t="s">
        <v>434</v>
      </c>
      <c r="C127" s="87"/>
      <c r="D127" s="87"/>
      <c r="E127" s="87"/>
      <c r="F127" s="87"/>
      <c r="G127" s="87"/>
      <c r="H127" s="87"/>
      <c r="I127" s="103"/>
      <c r="J127" s="87"/>
      <c r="K127" s="87"/>
      <c r="L127" s="87"/>
    </row>
    <row r="128" spans="1:14" ht="16.5">
      <c r="C128" s="11" t="s">
        <v>435</v>
      </c>
      <c r="D128" t="s">
        <v>436</v>
      </c>
      <c r="I128"/>
      <c r="J128" s="15"/>
      <c r="M128" s="109"/>
      <c r="N128" s="64"/>
    </row>
    <row r="129" spans="1:14">
      <c r="C129" s="11" t="s">
        <v>437</v>
      </c>
      <c r="D129" s="2">
        <f>I33/3-I36/2</f>
        <v>143.33333333333334</v>
      </c>
      <c r="E129" t="s">
        <v>2</v>
      </c>
      <c r="F129" t="s">
        <v>440</v>
      </c>
      <c r="I129"/>
      <c r="J129" s="15"/>
      <c r="M129" s="109"/>
      <c r="N129" s="64"/>
    </row>
    <row r="130" spans="1:14" ht="16.5">
      <c r="C130" s="11" t="s">
        <v>427</v>
      </c>
      <c r="D130" t="s">
        <v>439</v>
      </c>
      <c r="E130" s="13"/>
      <c r="I130"/>
      <c r="J130" s="15"/>
      <c r="M130" s="109"/>
      <c r="N130" s="64"/>
    </row>
    <row r="131" spans="1:14">
      <c r="C131" s="11" t="s">
        <v>437</v>
      </c>
      <c r="D131" s="107">
        <f>(I33-I36)/2-25.4</f>
        <v>194.6</v>
      </c>
      <c r="E131" t="s">
        <v>2</v>
      </c>
      <c r="F131" s="12" t="str">
        <f>IF(D131&gt;D129,"OK","NOT OK")</f>
        <v>OK</v>
      </c>
      <c r="I131"/>
      <c r="J131" s="15"/>
      <c r="M131" s="64">
        <f>D131/25.4</f>
        <v>7.6614173228346463</v>
      </c>
      <c r="N131" t="s">
        <v>403</v>
      </c>
    </row>
    <row r="132" spans="1:14">
      <c r="C132" s="11"/>
      <c r="D132" s="2"/>
      <c r="E132" s="13"/>
      <c r="I132"/>
      <c r="J132" s="15"/>
    </row>
    <row r="133" spans="1:14" ht="15.75">
      <c r="A133" s="86">
        <v>4.3</v>
      </c>
      <c r="B133" s="86" t="s">
        <v>447</v>
      </c>
      <c r="C133" s="87"/>
      <c r="D133" s="88"/>
      <c r="E133" s="87"/>
      <c r="F133" s="87"/>
      <c r="G133" s="87"/>
      <c r="H133" s="87"/>
      <c r="I133" s="103"/>
      <c r="J133" s="87"/>
      <c r="K133" s="87"/>
      <c r="L133" s="87"/>
      <c r="M133" s="109"/>
    </row>
    <row r="134" spans="1:14" ht="14.65">
      <c r="B134" s="1" t="s">
        <v>438</v>
      </c>
      <c r="E134" s="13"/>
      <c r="I134"/>
      <c r="J134" s="15"/>
    </row>
    <row r="135" spans="1:14" ht="16.899999999999999">
      <c r="C135" s="11" t="s">
        <v>442</v>
      </c>
      <c r="D135" t="s">
        <v>426</v>
      </c>
      <c r="E135" s="13"/>
      <c r="I135"/>
      <c r="K135" t="s">
        <v>445</v>
      </c>
      <c r="M135" s="109"/>
    </row>
    <row r="136" spans="1:14" ht="16.899999999999999">
      <c r="C136" s="11" t="s">
        <v>443</v>
      </c>
      <c r="D136" t="s">
        <v>441</v>
      </c>
      <c r="E136" s="13"/>
      <c r="I136"/>
      <c r="J136" s="15"/>
    </row>
    <row r="137" spans="1:14">
      <c r="C137" s="11" t="s">
        <v>437</v>
      </c>
      <c r="D137" s="74">
        <f>M131/(95/M107^0.5)*25.4</f>
        <v>14.495031624944897</v>
      </c>
      <c r="E137" s="17" t="s">
        <v>2</v>
      </c>
      <c r="F137" t="s">
        <v>440</v>
      </c>
      <c r="I137"/>
      <c r="J137" s="15"/>
    </row>
    <row r="138" spans="1:14" ht="16.5">
      <c r="C138" s="11" t="s">
        <v>444</v>
      </c>
      <c r="D138" s="108">
        <v>16</v>
      </c>
      <c r="E138" s="17" t="s">
        <v>2</v>
      </c>
      <c r="F138" s="12" t="str">
        <f>IF(D138&gt;D137,"OK","NOT OK")</f>
        <v>OK</v>
      </c>
      <c r="I138"/>
      <c r="J138" s="15"/>
      <c r="M138" s="64">
        <f>D138/25.4</f>
        <v>0.62992125984251968</v>
      </c>
      <c r="N138" t="s">
        <v>403</v>
      </c>
    </row>
    <row r="139" spans="1:14">
      <c r="E139" s="13"/>
      <c r="I139"/>
      <c r="J139" s="15"/>
    </row>
    <row r="140" spans="1:14" ht="15.75">
      <c r="A140" s="86">
        <v>4.4000000000000004</v>
      </c>
      <c r="B140" s="86" t="s">
        <v>446</v>
      </c>
      <c r="C140" s="87"/>
      <c r="D140" s="88"/>
      <c r="E140" s="87"/>
      <c r="F140" s="87"/>
      <c r="G140" s="87"/>
      <c r="H140" s="87"/>
      <c r="I140" s="103"/>
      <c r="J140" s="87"/>
      <c r="K140" s="87"/>
      <c r="L140" s="87"/>
      <c r="M140" s="109"/>
    </row>
    <row r="141" spans="1:14" ht="12" customHeight="1">
      <c r="D141" s="13"/>
      <c r="M141" s="109"/>
    </row>
    <row r="142" spans="1:14" ht="27">
      <c r="B142" s="95" t="s">
        <v>500</v>
      </c>
      <c r="C142" s="96" t="s">
        <v>505</v>
      </c>
      <c r="D142" s="96" t="s">
        <v>506</v>
      </c>
      <c r="E142" s="95" t="s">
        <v>514</v>
      </c>
      <c r="F142" s="95" t="s">
        <v>512</v>
      </c>
      <c r="G142" s="96" t="s">
        <v>515</v>
      </c>
      <c r="H142" s="95" t="s">
        <v>513</v>
      </c>
      <c r="I142" s="96" t="s">
        <v>516</v>
      </c>
      <c r="J142" s="95" t="s">
        <v>517</v>
      </c>
      <c r="K142" s="95" t="s">
        <v>518</v>
      </c>
      <c r="M142" s="109"/>
    </row>
    <row r="143" spans="1:14" ht="16.5">
      <c r="B143" s="91" t="s">
        <v>504</v>
      </c>
      <c r="C143" s="50">
        <f>I36</f>
        <v>20</v>
      </c>
      <c r="D143" s="92">
        <f>I110</f>
        <v>500</v>
      </c>
      <c r="E143" s="92">
        <f>C143*D143</f>
        <v>10000</v>
      </c>
      <c r="F143" s="92">
        <v>0</v>
      </c>
      <c r="G143" s="93">
        <f>E143*F143^2</f>
        <v>0</v>
      </c>
      <c r="H143" s="92">
        <v>0</v>
      </c>
      <c r="I143" s="93">
        <f>E143*H143^2</f>
        <v>0</v>
      </c>
      <c r="J143" s="93">
        <f>G143+1/12*C143*D143^3</f>
        <v>208333333.33333331</v>
      </c>
      <c r="K143" s="93">
        <f>I143+1/12*D143*C143^3</f>
        <v>333333.33333333331</v>
      </c>
      <c r="L143" s="90"/>
      <c r="M143" s="109"/>
    </row>
    <row r="144" spans="1:14">
      <c r="B144" s="91" t="s">
        <v>501</v>
      </c>
      <c r="C144" s="50">
        <f>IF(I111=0,0,D138)</f>
        <v>16</v>
      </c>
      <c r="D144" s="94">
        <f>IF(C144=0,0,D131)</f>
        <v>194.6</v>
      </c>
      <c r="E144" s="94">
        <f>2*C144*D144</f>
        <v>6227.2</v>
      </c>
      <c r="F144" s="92">
        <f>I111</f>
        <v>195</v>
      </c>
      <c r="G144" s="93">
        <f t="shared" ref="G144:G146" si="4">E144*F144^2</f>
        <v>236789280</v>
      </c>
      <c r="H144" s="92">
        <f>IF(C144=0,0,D144/2+C143/2)</f>
        <v>107.3</v>
      </c>
      <c r="I144" s="93">
        <f t="shared" ref="I144:I146" si="5">E144*H144^2</f>
        <v>71695559.487999991</v>
      </c>
      <c r="J144" s="93">
        <f>G144+2*(1/12*D144*C144^3)</f>
        <v>236922126.93333334</v>
      </c>
      <c r="K144" s="93">
        <f>I144+2*(1/12*C144*D144^3)</f>
        <v>91347128.91733332</v>
      </c>
      <c r="L144" s="90"/>
      <c r="M144" s="109"/>
    </row>
    <row r="145" spans="1:14">
      <c r="B145" s="91" t="s">
        <v>502</v>
      </c>
      <c r="C145" s="50">
        <v>0</v>
      </c>
      <c r="D145" s="94">
        <f>D131</f>
        <v>194.6</v>
      </c>
      <c r="E145" s="92">
        <f t="shared" ref="E145:E146" si="6">2*C145*D145</f>
        <v>0</v>
      </c>
      <c r="F145" s="92">
        <v>0</v>
      </c>
      <c r="G145" s="93">
        <f t="shared" si="4"/>
        <v>0</v>
      </c>
      <c r="H145" s="92">
        <f>D145/2+C143/2</f>
        <v>107.3</v>
      </c>
      <c r="I145" s="93">
        <f t="shared" si="5"/>
        <v>0</v>
      </c>
      <c r="J145" s="93">
        <f t="shared" ref="J145:J146" si="7">G145+2*(1/12*D145*C145^3)</f>
        <v>0</v>
      </c>
      <c r="K145" s="93">
        <f>I145+2*(1/12*C145*D145^3)</f>
        <v>0</v>
      </c>
      <c r="L145" s="90"/>
      <c r="M145" s="109"/>
    </row>
    <row r="146" spans="1:14">
      <c r="B146" s="91" t="s">
        <v>503</v>
      </c>
      <c r="C146" s="50">
        <f>IF(I112=0,0,D138)</f>
        <v>16</v>
      </c>
      <c r="D146" s="94">
        <f>IF(C146=0,0,D131)</f>
        <v>194.6</v>
      </c>
      <c r="E146" s="92">
        <f t="shared" si="6"/>
        <v>6227.2</v>
      </c>
      <c r="F146" s="92">
        <f>I112</f>
        <v>195</v>
      </c>
      <c r="G146" s="93">
        <f t="shared" si="4"/>
        <v>236789280</v>
      </c>
      <c r="H146" s="92">
        <f>IF(C146=0,0,D146/2+C143/2)</f>
        <v>107.3</v>
      </c>
      <c r="I146" s="93">
        <f t="shared" si="5"/>
        <v>71695559.487999991</v>
      </c>
      <c r="J146" s="93">
        <f t="shared" si="7"/>
        <v>236922126.93333334</v>
      </c>
      <c r="K146" s="93">
        <f t="shared" ref="K146" si="8">I146+2*(1/12*C146*D146^3)</f>
        <v>91347128.91733332</v>
      </c>
      <c r="L146" s="90"/>
      <c r="M146" s="109"/>
    </row>
    <row r="147" spans="1:14" ht="16.5">
      <c r="B147" s="91"/>
      <c r="C147" s="91"/>
      <c r="D147" s="97" t="s">
        <v>520</v>
      </c>
      <c r="E147" s="98">
        <f>SUM(E143:E146)</f>
        <v>22454.400000000001</v>
      </c>
      <c r="F147" s="92"/>
      <c r="G147" s="92"/>
      <c r="H147" s="92"/>
      <c r="I147" s="99" t="s">
        <v>523</v>
      </c>
      <c r="J147" s="97">
        <f>SUM(J143:J146)</f>
        <v>682177587.20000005</v>
      </c>
      <c r="K147" s="97">
        <f>SUM(K143:K146)</f>
        <v>183027591.16799998</v>
      </c>
      <c r="L147" s="90"/>
      <c r="M147" s="109"/>
    </row>
    <row r="148" spans="1:14" ht="11.25" customHeight="1">
      <c r="D148" s="13"/>
      <c r="M148" s="109"/>
    </row>
    <row r="149" spans="1:14" ht="16.899999999999999">
      <c r="B149" t="s">
        <v>451</v>
      </c>
      <c r="F149" t="s">
        <v>519</v>
      </c>
      <c r="I149" s="30">
        <f>E147</f>
        <v>22454.400000000001</v>
      </c>
      <c r="J149" t="s">
        <v>65</v>
      </c>
      <c r="M149" s="64">
        <f>I149/25.4^2</f>
        <v>34.804389608779225</v>
      </c>
      <c r="N149" t="s">
        <v>448</v>
      </c>
    </row>
    <row r="150" spans="1:14" ht="16.899999999999999">
      <c r="B150" t="s">
        <v>453</v>
      </c>
      <c r="D150" s="13"/>
      <c r="F150" t="s">
        <v>522</v>
      </c>
      <c r="I150" s="82">
        <f>J147</f>
        <v>682177587.20000005</v>
      </c>
      <c r="J150" t="s">
        <v>66</v>
      </c>
      <c r="M150" s="64">
        <f>I150/25.4^4</f>
        <v>1638.9382089942806</v>
      </c>
      <c r="N150" t="s">
        <v>458</v>
      </c>
    </row>
    <row r="151" spans="1:14" ht="16.899999999999999">
      <c r="B151" t="s">
        <v>454</v>
      </c>
      <c r="F151" t="s">
        <v>455</v>
      </c>
      <c r="I151" s="61">
        <f>(I150/I149)^0.5</f>
        <v>174.3002443330933</v>
      </c>
      <c r="J151" t="s">
        <v>2</v>
      </c>
      <c r="M151" s="64">
        <f>I151/25.4</f>
        <v>6.8622143438225711</v>
      </c>
      <c r="N151" t="s">
        <v>403</v>
      </c>
    </row>
    <row r="152" spans="1:14" ht="16.899999999999999">
      <c r="B152" t="s">
        <v>453</v>
      </c>
      <c r="D152" s="13"/>
      <c r="F152" t="s">
        <v>521</v>
      </c>
      <c r="I152" s="82">
        <f>K147</f>
        <v>183027591.16799998</v>
      </c>
      <c r="J152" t="s">
        <v>66</v>
      </c>
      <c r="M152" s="64">
        <f>I152/25.4^4</f>
        <v>439.72554668154783</v>
      </c>
      <c r="N152" t="s">
        <v>458</v>
      </c>
    </row>
    <row r="153" spans="1:14" ht="16.899999999999999">
      <c r="B153" t="s">
        <v>454</v>
      </c>
      <c r="D153" s="13"/>
      <c r="F153" t="s">
        <v>456</v>
      </c>
      <c r="I153" s="61">
        <f>(I152/I149)^0.5</f>
        <v>90.2833269647968</v>
      </c>
      <c r="J153" t="s">
        <v>2</v>
      </c>
      <c r="M153" s="64">
        <f>I153/25.4</f>
        <v>3.5544616915274334</v>
      </c>
      <c r="N153" t="s">
        <v>403</v>
      </c>
    </row>
    <row r="154" spans="1:14" ht="15.75">
      <c r="A154" s="86">
        <v>4.5</v>
      </c>
      <c r="B154" s="86" t="s">
        <v>461</v>
      </c>
      <c r="C154" s="87"/>
      <c r="D154" s="88"/>
      <c r="E154" s="87"/>
      <c r="F154" s="87"/>
      <c r="G154" s="87"/>
      <c r="H154" s="87"/>
      <c r="I154" s="103"/>
      <c r="J154" s="87"/>
      <c r="K154" s="87"/>
      <c r="L154" s="87"/>
    </row>
    <row r="155" spans="1:14">
      <c r="B155" s="81" t="s">
        <v>476</v>
      </c>
      <c r="D155" s="13"/>
      <c r="I155" s="15"/>
    </row>
    <row r="156" spans="1:14">
      <c r="B156" s="25"/>
      <c r="D156" s="13"/>
      <c r="I156" s="15"/>
    </row>
    <row r="157" spans="1:14">
      <c r="C157" t="s">
        <v>466</v>
      </c>
      <c r="D157" s="7">
        <f>D175*D176/D177</f>
        <v>3.876684785181562</v>
      </c>
      <c r="E157" s="7" t="str">
        <f>IF(D157&lt;F157,"&lt;","&gt;")</f>
        <v>&lt;</v>
      </c>
      <c r="F157" s="7">
        <f>D174</f>
        <v>109.61373351564674</v>
      </c>
      <c r="I157" s="15"/>
      <c r="M157" s="64">
        <f>D157/25.4</f>
        <v>0.15262538524336861</v>
      </c>
      <c r="N157" t="s">
        <v>403</v>
      </c>
    </row>
    <row r="158" spans="1:14">
      <c r="D158" s="7"/>
      <c r="E158" s="7"/>
      <c r="F158" s="7"/>
      <c r="I158" s="15"/>
    </row>
    <row r="159" spans="1:14" ht="15.4">
      <c r="B159" t="s">
        <v>372</v>
      </c>
      <c r="C159" t="s">
        <v>462</v>
      </c>
      <c r="K159" t="s">
        <v>482</v>
      </c>
    </row>
    <row r="160" spans="1:14" ht="13.9">
      <c r="C160" s="54"/>
      <c r="D160" s="13"/>
      <c r="F160" s="54"/>
      <c r="I160"/>
    </row>
    <row r="161" spans="2:14" ht="15.4">
      <c r="C161" s="11" t="s">
        <v>470</v>
      </c>
      <c r="D161" s="191" t="s">
        <v>471</v>
      </c>
      <c r="E161" s="191"/>
      <c r="F161" s="191"/>
      <c r="I161"/>
    </row>
    <row r="162" spans="2:14" ht="15.4">
      <c r="D162" s="190" t="s">
        <v>472</v>
      </c>
      <c r="E162" s="190"/>
      <c r="F162" s="190"/>
      <c r="I162"/>
    </row>
    <row r="163" spans="2:14">
      <c r="D163" s="13"/>
    </row>
    <row r="164" spans="2:14">
      <c r="C164" s="11" t="s">
        <v>437</v>
      </c>
      <c r="D164" s="78">
        <f>IF(D157&lt;F157,(((1-M157^2/(2*D174^2))*M107)/(5/3+3/8*(M157/D174)-(M157^3)/(8*D174^3)))*6.89476,"N/A")</f>
        <v>207.07793138401559</v>
      </c>
      <c r="M164" s="79">
        <f>IF(D164="N/A","N/A",D164/6.89)</f>
        <v>30.054852160234486</v>
      </c>
      <c r="N164" t="s">
        <v>58</v>
      </c>
    </row>
    <row r="165" spans="2:14">
      <c r="D165" s="13"/>
      <c r="M165" s="79"/>
    </row>
    <row r="166" spans="2:14" ht="15.4">
      <c r="B166" t="s">
        <v>372</v>
      </c>
      <c r="C166" t="s">
        <v>468</v>
      </c>
      <c r="D166" s="13"/>
      <c r="I166"/>
      <c r="K166" t="s">
        <v>483</v>
      </c>
      <c r="M166" s="79"/>
    </row>
    <row r="167" spans="2:14">
      <c r="D167" s="13"/>
      <c r="I167"/>
      <c r="M167" s="79"/>
    </row>
    <row r="168" spans="2:14" ht="16.149999999999999">
      <c r="C168" s="11" t="s">
        <v>470</v>
      </c>
      <c r="D168" s="77" t="s">
        <v>473</v>
      </c>
      <c r="I168"/>
      <c r="M168" s="79"/>
    </row>
    <row r="169" spans="2:14" ht="15.4">
      <c r="D169" s="30" t="s">
        <v>474</v>
      </c>
      <c r="I169"/>
      <c r="M169" s="79"/>
    </row>
    <row r="170" spans="2:14">
      <c r="C170" s="11" t="s">
        <v>437</v>
      </c>
      <c r="D170" s="78" t="str">
        <f>IF(D157&lt;F157,"N/A",12*PI()^2*M109/(23*M157^2)*6.89476)</f>
        <v>N/A</v>
      </c>
      <c r="I170" s="15"/>
      <c r="M170" s="79" t="str">
        <f>IF(D170="N/A","N/A",D170/6.89)</f>
        <v>N/A</v>
      </c>
      <c r="N170" t="s">
        <v>58</v>
      </c>
    </row>
    <row r="171" spans="2:14">
      <c r="D171" s="13"/>
      <c r="I171" s="15"/>
      <c r="M171" s="79"/>
    </row>
    <row r="172" spans="2:14">
      <c r="B172" t="s">
        <v>469</v>
      </c>
      <c r="D172" s="13"/>
      <c r="I172" s="15"/>
      <c r="M172" s="79"/>
    </row>
    <row r="173" spans="2:14">
      <c r="C173" s="11" t="s">
        <v>463</v>
      </c>
      <c r="D173" s="30">
        <v>1</v>
      </c>
    </row>
    <row r="174" spans="2:14" ht="16.5">
      <c r="C174" s="11" t="s">
        <v>475</v>
      </c>
      <c r="D174" s="7">
        <f>(2*PI()^2*M109/(D173*M107))^0.5</f>
        <v>109.61373351564674</v>
      </c>
      <c r="E174" s="60" t="s">
        <v>481</v>
      </c>
    </row>
    <row r="175" spans="2:14">
      <c r="C175" s="11" t="s">
        <v>93</v>
      </c>
      <c r="D175" s="120">
        <v>1</v>
      </c>
    </row>
    <row r="176" spans="2:14">
      <c r="C176" s="11" t="s">
        <v>467</v>
      </c>
      <c r="D176" s="74">
        <f>I42</f>
        <v>350</v>
      </c>
      <c r="E176" t="s">
        <v>2</v>
      </c>
      <c r="M176" s="64">
        <f>D176/25.4</f>
        <v>13.779527559055119</v>
      </c>
      <c r="N176" t="s">
        <v>403</v>
      </c>
    </row>
    <row r="177" spans="1:14">
      <c r="C177" s="11" t="s">
        <v>134</v>
      </c>
      <c r="D177" s="7">
        <f>IF(I151&lt;I153,I151,I153)</f>
        <v>90.2833269647968</v>
      </c>
      <c r="E177" t="s">
        <v>2</v>
      </c>
      <c r="M177" s="64">
        <f>D177/25.4</f>
        <v>3.5544616915274334</v>
      </c>
      <c r="N177" t="s">
        <v>403</v>
      </c>
    </row>
    <row r="178" spans="1:14">
      <c r="D178" s="13"/>
      <c r="I178" s="15"/>
    </row>
    <row r="179" spans="1:14">
      <c r="B179" s="81" t="s">
        <v>480</v>
      </c>
      <c r="D179" s="13"/>
      <c r="I179" s="15"/>
    </row>
    <row r="180" spans="1:14" ht="16.5">
      <c r="C180" s="11" t="s">
        <v>477</v>
      </c>
      <c r="D180" s="2" t="s">
        <v>478</v>
      </c>
      <c r="I180"/>
      <c r="M180" s="109"/>
    </row>
    <row r="181" spans="1:14">
      <c r="C181" s="11" t="s">
        <v>437</v>
      </c>
      <c r="D181" s="7" t="e">
        <f>I21/I149*1000</f>
        <v>#REF!</v>
      </c>
      <c r="E181" t="s">
        <v>46</v>
      </c>
      <c r="I181"/>
      <c r="M181" s="109"/>
    </row>
    <row r="182" spans="1:14">
      <c r="I182"/>
      <c r="M182" s="109"/>
    </row>
    <row r="183" spans="1:14" ht="16.5">
      <c r="C183" s="11" t="s">
        <v>479</v>
      </c>
      <c r="D183" s="80" t="e">
        <f>D181/D164</f>
        <v>#REF!</v>
      </c>
      <c r="F183" s="12" t="e">
        <f>IF(D183&lt;1,"OK","NOT OK")</f>
        <v>#REF!</v>
      </c>
      <c r="I183"/>
      <c r="M183" s="109"/>
    </row>
    <row r="184" spans="1:14">
      <c r="C184" s="11"/>
      <c r="D184" s="80"/>
      <c r="F184" s="12"/>
      <c r="I184"/>
      <c r="M184" s="109"/>
    </row>
    <row r="185" spans="1:14" ht="15.75">
      <c r="A185" s="86">
        <v>4.5999999999999996</v>
      </c>
      <c r="B185" s="86" t="s">
        <v>485</v>
      </c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109"/>
    </row>
    <row r="186" spans="1:14">
      <c r="A186" s="89"/>
      <c r="B186" s="89" t="s">
        <v>524</v>
      </c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109"/>
    </row>
    <row r="187" spans="1:14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109"/>
    </row>
    <row r="188" spans="1:14" ht="16.5">
      <c r="B188" s="1" t="s">
        <v>110</v>
      </c>
      <c r="H188" t="s">
        <v>486</v>
      </c>
      <c r="I188" s="120">
        <v>11</v>
      </c>
      <c r="J188" t="s">
        <v>2</v>
      </c>
      <c r="K188" s="17" t="s">
        <v>111</v>
      </c>
      <c r="M188" s="64">
        <f t="shared" ref="M188:M189" si="9">I188/25.4</f>
        <v>0.43307086614173229</v>
      </c>
      <c r="N188" t="s">
        <v>403</v>
      </c>
    </row>
    <row r="189" spans="1:14" ht="16.5">
      <c r="B189" s="1"/>
      <c r="H189" t="s">
        <v>567</v>
      </c>
      <c r="I189" s="120">
        <v>6</v>
      </c>
      <c r="J189" t="s">
        <v>2</v>
      </c>
      <c r="K189" s="17" t="s">
        <v>568</v>
      </c>
      <c r="M189" s="64">
        <f t="shared" si="9"/>
        <v>0.23622047244094491</v>
      </c>
      <c r="N189" t="s">
        <v>403</v>
      </c>
    </row>
    <row r="190" spans="1:14" ht="16.5">
      <c r="B190" s="1" t="s">
        <v>56</v>
      </c>
      <c r="H190" t="s">
        <v>487</v>
      </c>
      <c r="I190" s="120">
        <v>11</v>
      </c>
      <c r="J190" t="s">
        <v>2</v>
      </c>
      <c r="K190" s="17" t="s">
        <v>111</v>
      </c>
      <c r="M190" s="64">
        <f>I190/25.4</f>
        <v>0.43307086614173229</v>
      </c>
      <c r="N190" t="s">
        <v>403</v>
      </c>
    </row>
    <row r="191" spans="1:14" ht="15.75">
      <c r="B191" s="1" t="s">
        <v>57</v>
      </c>
      <c r="H191" s="1" t="s">
        <v>366</v>
      </c>
      <c r="I191" s="120">
        <v>483</v>
      </c>
      <c r="J191" t="s">
        <v>46</v>
      </c>
      <c r="L191" s="17"/>
      <c r="M191" s="64">
        <f t="shared" ref="M191:M192" si="10">I191/6.89</f>
        <v>70.101596516690861</v>
      </c>
      <c r="N191" t="s">
        <v>58</v>
      </c>
    </row>
    <row r="192" spans="1:14" ht="15.75">
      <c r="B192" s="1" t="s">
        <v>488</v>
      </c>
      <c r="H192" s="100" t="s">
        <v>493</v>
      </c>
      <c r="I192" s="7">
        <f>0.3*I191</f>
        <v>144.9</v>
      </c>
      <c r="J192" t="s">
        <v>46</v>
      </c>
      <c r="M192" s="64">
        <f t="shared" si="10"/>
        <v>21.030478955007258</v>
      </c>
      <c r="N192" t="s">
        <v>58</v>
      </c>
    </row>
    <row r="193" spans="1:14">
      <c r="I193"/>
      <c r="M193" s="109"/>
    </row>
    <row r="194" spans="1:14">
      <c r="A194" s="89" t="s">
        <v>498</v>
      </c>
      <c r="B194" s="89" t="s">
        <v>612</v>
      </c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109"/>
    </row>
    <row r="195" spans="1:14">
      <c r="I195"/>
      <c r="M195" s="109"/>
    </row>
    <row r="196" spans="1:14" ht="16.899999999999999">
      <c r="B196" t="s">
        <v>613</v>
      </c>
      <c r="G196" t="s">
        <v>489</v>
      </c>
      <c r="I196" s="7">
        <f>(2*4*0.707*I188*D131)+(2*4*I189*D131)</f>
        <v>21448.033599999995</v>
      </c>
      <c r="J196" t="s">
        <v>65</v>
      </c>
      <c r="M196" s="64">
        <f>I196/25.4^2</f>
        <v>33.244518569037133</v>
      </c>
      <c r="N196" t="s">
        <v>448</v>
      </c>
    </row>
    <row r="197" spans="1:14" ht="16.5">
      <c r="B197" s="22"/>
      <c r="G197" t="s">
        <v>611</v>
      </c>
      <c r="I197" s="7" t="e">
        <f>I22/I196*1000</f>
        <v>#REF!</v>
      </c>
      <c r="J197" t="s">
        <v>46</v>
      </c>
      <c r="M197" s="64" t="e">
        <f t="shared" ref="M197" si="11">I197/6.89</f>
        <v>#REF!</v>
      </c>
      <c r="N197" t="s">
        <v>58</v>
      </c>
    </row>
    <row r="198" spans="1:14" ht="15.75">
      <c r="G198" s="1" t="s">
        <v>494</v>
      </c>
      <c r="I198" s="80" t="e">
        <f>I197/I192</f>
        <v>#REF!</v>
      </c>
      <c r="K198" s="12" t="e">
        <f>IF(I198&lt;1,"OK","NOT OK")</f>
        <v>#REF!</v>
      </c>
      <c r="M198" s="109"/>
    </row>
    <row r="199" spans="1:14">
      <c r="M199" s="109"/>
    </row>
    <row r="200" spans="1:14">
      <c r="A200" s="89" t="s">
        <v>499</v>
      </c>
      <c r="B200" s="89" t="s">
        <v>78</v>
      </c>
      <c r="C200" s="87"/>
      <c r="D200" s="87"/>
      <c r="E200" s="87"/>
      <c r="F200" s="87"/>
      <c r="G200" s="87"/>
      <c r="H200" s="87"/>
      <c r="I200" s="101"/>
      <c r="J200" s="87"/>
      <c r="K200" s="87"/>
      <c r="L200" s="87"/>
      <c r="M200" s="109"/>
    </row>
    <row r="201" spans="1:14" ht="16.5">
      <c r="A201" s="10"/>
      <c r="B201" t="s">
        <v>614</v>
      </c>
      <c r="G201" t="s">
        <v>615</v>
      </c>
      <c r="I201" s="74" t="e">
        <f>I21-((MIN(M54,M63,M74,M84,M93))*4.448)</f>
        <v>#REF!</v>
      </c>
      <c r="M201" s="109"/>
    </row>
    <row r="202" spans="1:14" ht="16.899999999999999">
      <c r="B202" t="s">
        <v>497</v>
      </c>
      <c r="G202" t="s">
        <v>490</v>
      </c>
      <c r="I202" s="7">
        <f>2*2*0.707*I190*I42</f>
        <v>10887.8</v>
      </c>
      <c r="J202" t="s">
        <v>65</v>
      </c>
      <c r="M202" s="64">
        <f>I202/25.4^2</f>
        <v>16.876123752247505</v>
      </c>
      <c r="N202" t="s">
        <v>448</v>
      </c>
    </row>
    <row r="203" spans="1:14" ht="16.5">
      <c r="G203" t="s">
        <v>616</v>
      </c>
      <c r="I203" s="7" t="e">
        <f>I201/I202*1000</f>
        <v>#REF!</v>
      </c>
      <c r="J203" t="s">
        <v>46</v>
      </c>
      <c r="M203" s="64" t="e">
        <f t="shared" ref="M203" si="12">I203/6.89</f>
        <v>#REF!</v>
      </c>
      <c r="N203" t="s">
        <v>58</v>
      </c>
    </row>
    <row r="204" spans="1:14" ht="15.75">
      <c r="G204" s="1" t="s">
        <v>495</v>
      </c>
      <c r="I204" s="80" t="e">
        <f>I203/I192</f>
        <v>#REF!</v>
      </c>
      <c r="K204" s="12" t="e">
        <f>IF(I204&lt;1,"OK","NOT OK")</f>
        <v>#REF!</v>
      </c>
      <c r="M204" s="109"/>
    </row>
    <row r="205" spans="1:14">
      <c r="I205"/>
      <c r="M205"/>
    </row>
    <row r="206" spans="1:14">
      <c r="I206"/>
      <c r="M206"/>
    </row>
  </sheetData>
  <mergeCells count="7">
    <mergeCell ref="D162:F162"/>
    <mergeCell ref="E72:H72"/>
    <mergeCell ref="E74:F74"/>
    <mergeCell ref="E84:F84"/>
    <mergeCell ref="E93:F93"/>
    <mergeCell ref="E119:E120"/>
    <mergeCell ref="D161:F161"/>
  </mergeCells>
  <phoneticPr fontId="62" type="noConversion"/>
  <conditionalFormatting sqref="D183:D184">
    <cfRule type="cellIs" dxfId="102" priority="12" operator="greaterThan">
      <formula>1</formula>
    </cfRule>
  </conditionalFormatting>
  <conditionalFormatting sqref="E55">
    <cfRule type="cellIs" dxfId="101" priority="21" operator="greaterThan">
      <formula>1</formula>
    </cfRule>
  </conditionalFormatting>
  <conditionalFormatting sqref="E64">
    <cfRule type="cellIs" dxfId="100" priority="22" operator="greaterThan">
      <formula>1</formula>
    </cfRule>
  </conditionalFormatting>
  <conditionalFormatting sqref="E75">
    <cfRule type="containsText" dxfId="99" priority="5" operator="containsText" text="N/A">
      <formula>NOT(ISERROR(SEARCH("N/A",E75)))</formula>
    </cfRule>
    <cfRule type="cellIs" dxfId="98" priority="6" operator="greaterThan">
      <formula>1</formula>
    </cfRule>
  </conditionalFormatting>
  <conditionalFormatting sqref="E85">
    <cfRule type="containsText" dxfId="97" priority="7" operator="containsText" text="N/A">
      <formula>NOT(ISERROR(SEARCH("N/A",E85)))</formula>
    </cfRule>
    <cfRule type="cellIs" dxfId="96" priority="23" operator="greaterThan">
      <formula>1</formula>
    </cfRule>
  </conditionalFormatting>
  <conditionalFormatting sqref="E94">
    <cfRule type="cellIs" dxfId="95" priority="20" operator="greaterThan">
      <formula>1</formula>
    </cfRule>
  </conditionalFormatting>
  <conditionalFormatting sqref="F131">
    <cfRule type="containsText" dxfId="94" priority="15" operator="containsText" text="NOT OK">
      <formula>NOT(ISERROR(SEARCH("NOT OK",F131)))</formula>
    </cfRule>
  </conditionalFormatting>
  <conditionalFormatting sqref="F138">
    <cfRule type="containsText" dxfId="93" priority="14" operator="containsText" text="NOT OK">
      <formula>NOT(ISERROR(SEARCH("NOT OK",F138)))</formula>
    </cfRule>
  </conditionalFormatting>
  <conditionalFormatting sqref="F183:F184">
    <cfRule type="containsText" dxfId="92" priority="13" operator="containsText" text="NOT OK">
      <formula>NOT(ISERROR(SEARCH("NOT OK",F183)))</formula>
    </cfRule>
  </conditionalFormatting>
  <conditionalFormatting sqref="G55">
    <cfRule type="containsText" dxfId="91" priority="3" operator="containsText" text="a pair of stiffeners is required !">
      <formula>NOT(ISERROR(SEARCH("a pair of stiffeners is required !",G55)))</formula>
    </cfRule>
    <cfRule type="containsText" priority="4" operator="containsText" text="a pair of stiffeners is required !">
      <formula>NOT(ISERROR(SEARCH("a pair of stiffeners is required !",G55)))</formula>
    </cfRule>
  </conditionalFormatting>
  <conditionalFormatting sqref="G64">
    <cfRule type="containsText" dxfId="90" priority="1" operator="containsText" text="a pair of stiffeners is required !">
      <formula>NOT(ISERROR(SEARCH("a pair of stiffeners is required !",G64)))</formula>
    </cfRule>
    <cfRule type="containsText" priority="2" operator="containsText" text="a pair of stiffeners is required !">
      <formula>NOT(ISERROR(SEARCH("a pair of stiffeners is required !",G64)))</formula>
    </cfRule>
  </conditionalFormatting>
  <conditionalFormatting sqref="G75">
    <cfRule type="containsText" dxfId="89" priority="24" operator="containsText" text="a pair of stiffeners is required !">
      <formula>NOT(ISERROR(SEARCH("a pair of stiffeners is required !",G75)))</formula>
    </cfRule>
    <cfRule type="containsText" priority="25" operator="containsText" text="a pair of stiffeners is required !">
      <formula>NOT(ISERROR(SEARCH("a pair of stiffeners is required !",G75)))</formula>
    </cfRule>
  </conditionalFormatting>
  <conditionalFormatting sqref="G85">
    <cfRule type="containsText" dxfId="88" priority="26" operator="containsText" text="a pair of stiffeners is required !">
      <formula>NOT(ISERROR(SEARCH("a pair of stiffeners is required !",G85)))</formula>
    </cfRule>
    <cfRule type="containsText" priority="27" operator="containsText" text="a pair of stiffeners is required !">
      <formula>NOT(ISERROR(SEARCH("a pair of stiffeners is required !",G85)))</formula>
    </cfRule>
  </conditionalFormatting>
  <conditionalFormatting sqref="G94">
    <cfRule type="containsText" dxfId="87" priority="18" operator="containsText" text="a pair of stiffeners is required !">
      <formula>NOT(ISERROR(SEARCH("a pair of stiffeners is required !",G94)))</formula>
    </cfRule>
    <cfRule type="containsText" priority="19" operator="containsText" text="a pair of stiffeners is required !">
      <formula>NOT(ISERROR(SEARCH("a pair of stiffeners is required !",G94)))</formula>
    </cfRule>
  </conditionalFormatting>
  <conditionalFormatting sqref="G101">
    <cfRule type="containsText" dxfId="86" priority="16" operator="containsText" text="a pair of stiffeners is required !">
      <formula>NOT(ISERROR(SEARCH("a pair of stiffeners is required !",G101)))</formula>
    </cfRule>
    <cfRule type="containsText" priority="17" operator="containsText" text="a pair of stiffeners is required !">
      <formula>NOT(ISERROR(SEARCH("a pair of stiffeners is required !",G101)))</formula>
    </cfRule>
  </conditionalFormatting>
  <conditionalFormatting sqref="I198">
    <cfRule type="cellIs" dxfId="85" priority="11" operator="greaterThan">
      <formula>1</formula>
    </cfRule>
  </conditionalFormatting>
  <conditionalFormatting sqref="I204">
    <cfRule type="cellIs" dxfId="84" priority="10" operator="greaterThan">
      <formula>1</formula>
    </cfRule>
  </conditionalFormatting>
  <conditionalFormatting sqref="K198">
    <cfRule type="containsText" dxfId="83" priority="9" operator="containsText" text="NOT OK">
      <formula>NOT(ISERROR(SEARCH("NOT OK",K198)))</formula>
    </cfRule>
  </conditionalFormatting>
  <conditionalFormatting sqref="K204">
    <cfRule type="containsText" dxfId="82" priority="8" operator="containsText" text="NOT OK">
      <formula>NOT(ISERROR(SEARCH("NOT OK",K204)))</formula>
    </cfRule>
  </conditionalFormatting>
  <pageMargins left="0.7" right="0.7" top="0.75" bottom="0.75" header="0.3" footer="0.3"/>
  <pageSetup paperSize="9" scale="70" orientation="portrait" horizontalDpi="300" verticalDpi="300" r:id="rId1"/>
  <rowBreaks count="2" manualBreakCount="2">
    <brk id="65" max="11" man="1"/>
    <brk id="103" max="11" man="1"/>
  </rowBreaks>
  <colBreaks count="1" manualBreakCount="1">
    <brk id="1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08"/>
  <sheetViews>
    <sheetView view="pageBreakPreview" topLeftCell="A106" zoomScaleNormal="85" zoomScaleSheetLayoutView="100" zoomScalePageLayoutView="40" workbookViewId="0">
      <selection activeCell="K19" sqref="K19"/>
    </sheetView>
  </sheetViews>
  <sheetFormatPr defaultRowHeight="13.5"/>
  <cols>
    <col min="1" max="1" width="5.1328125" customWidth="1"/>
    <col min="2" max="2" width="5.3984375" customWidth="1"/>
    <col min="3" max="3" width="8.1328125" customWidth="1"/>
    <col min="4" max="4" width="13.3984375" customWidth="1"/>
    <col min="5" max="5" width="10.3984375" customWidth="1"/>
    <col min="6" max="6" width="12.73046875" customWidth="1"/>
    <col min="7" max="7" width="12" customWidth="1"/>
    <col min="8" max="8" width="11.1328125" customWidth="1"/>
    <col min="9" max="9" width="11.265625" style="2" customWidth="1"/>
    <col min="10" max="11" width="11.265625" customWidth="1"/>
    <col min="12" max="12" width="11.86328125" customWidth="1"/>
    <col min="13" max="13" width="9.73046875" style="64" bestFit="1" customWidth="1"/>
  </cols>
  <sheetData>
    <row r="1" spans="1:13">
      <c r="A1" s="104"/>
      <c r="B1" s="105"/>
      <c r="C1" s="105"/>
      <c r="D1" s="105"/>
      <c r="E1" s="105"/>
      <c r="F1" s="105"/>
      <c r="G1" s="105"/>
      <c r="H1" s="105"/>
      <c r="I1" s="105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</row>
    <row r="3" spans="1:13">
      <c r="A3" s="104"/>
      <c r="B3" s="104"/>
      <c r="C3" s="104"/>
      <c r="D3" s="104"/>
      <c r="E3" s="104"/>
      <c r="F3" s="104"/>
      <c r="G3" s="104"/>
      <c r="H3" s="104"/>
      <c r="I3" s="104"/>
    </row>
    <row r="4" spans="1:13">
      <c r="A4" s="104"/>
      <c r="B4" s="104"/>
      <c r="C4" s="104"/>
      <c r="D4" s="104"/>
      <c r="E4" s="104"/>
      <c r="F4" s="104"/>
      <c r="G4" s="104"/>
      <c r="H4" s="104"/>
      <c r="I4" s="104"/>
    </row>
    <row r="5" spans="1:13">
      <c r="A5" s="104"/>
      <c r="B5" s="104"/>
      <c r="C5" s="104"/>
      <c r="D5" s="104"/>
      <c r="E5" s="104"/>
      <c r="F5" s="104"/>
      <c r="G5" s="104"/>
      <c r="H5" s="104"/>
      <c r="I5" s="104"/>
    </row>
    <row r="6" spans="1:13" s="106" customFormat="1">
      <c r="A6" s="110" t="s">
        <v>525</v>
      </c>
      <c r="B6" s="111"/>
      <c r="C6" s="111"/>
      <c r="D6" s="112" t="s">
        <v>526</v>
      </c>
      <c r="E6" s="111"/>
      <c r="F6" s="113"/>
      <c r="G6" s="113"/>
      <c r="H6" s="110" t="s">
        <v>527</v>
      </c>
      <c r="I6" s="113"/>
      <c r="J6" s="112" t="s">
        <v>549</v>
      </c>
      <c r="K6" s="113"/>
      <c r="L6" s="113"/>
      <c r="M6" s="64"/>
    </row>
    <row r="7" spans="1:13" s="106" customFormat="1">
      <c r="A7" s="110" t="s">
        <v>528</v>
      </c>
      <c r="B7" s="111"/>
      <c r="C7" s="111"/>
      <c r="D7" s="112" t="s">
        <v>605</v>
      </c>
      <c r="E7" s="111"/>
      <c r="F7" s="113"/>
      <c r="G7" s="113"/>
      <c r="H7" s="110" t="s">
        <v>529</v>
      </c>
      <c r="I7" s="113"/>
      <c r="J7" s="112" t="s">
        <v>608</v>
      </c>
      <c r="K7" s="113"/>
      <c r="L7" s="113"/>
      <c r="M7" s="64"/>
    </row>
    <row r="8" spans="1:13" s="106" customFormat="1">
      <c r="A8" s="110" t="s">
        <v>530</v>
      </c>
      <c r="B8" s="111"/>
      <c r="C8" s="111"/>
      <c r="D8" s="112" t="s">
        <v>531</v>
      </c>
      <c r="E8" s="111"/>
      <c r="F8" s="113"/>
      <c r="G8" s="113"/>
      <c r="H8" s="110" t="s">
        <v>532</v>
      </c>
      <c r="I8" s="113"/>
      <c r="J8" s="112">
        <v>1</v>
      </c>
      <c r="K8" s="113"/>
      <c r="L8" s="113"/>
      <c r="M8" s="64"/>
    </row>
    <row r="9" spans="1:13" s="106" customFormat="1">
      <c r="A9" s="110" t="s">
        <v>533</v>
      </c>
      <c r="B9" s="111"/>
      <c r="C9" s="111"/>
      <c r="D9" s="112" t="s">
        <v>569</v>
      </c>
      <c r="E9" s="111"/>
      <c r="F9" s="113"/>
      <c r="G9" s="113"/>
      <c r="H9" s="110" t="s">
        <v>534</v>
      </c>
      <c r="I9" s="113"/>
      <c r="J9" s="112" t="s">
        <v>570</v>
      </c>
      <c r="K9" s="113"/>
      <c r="L9" s="113"/>
      <c r="M9" s="64"/>
    </row>
    <row r="10" spans="1:13" s="106" customFormat="1">
      <c r="A10" s="110" t="s">
        <v>535</v>
      </c>
      <c r="B10" s="111"/>
      <c r="C10" s="111"/>
      <c r="D10" s="114"/>
      <c r="E10" s="111"/>
      <c r="F10" s="113"/>
      <c r="G10" s="113"/>
      <c r="H10" s="110" t="s">
        <v>536</v>
      </c>
      <c r="I10" s="113"/>
      <c r="J10" s="112" t="s">
        <v>571</v>
      </c>
      <c r="K10" s="113"/>
      <c r="L10" s="113"/>
      <c r="M10" s="64"/>
    </row>
    <row r="11" spans="1:13" s="106" customFormat="1">
      <c r="A11" s="110"/>
      <c r="B11" s="111"/>
      <c r="C11" s="111"/>
      <c r="D11" s="111"/>
      <c r="E11" s="111"/>
      <c r="F11" s="113"/>
      <c r="G11" s="113"/>
      <c r="H11" s="110" t="s">
        <v>537</v>
      </c>
      <c r="I11" s="113"/>
      <c r="J11" s="112" t="s">
        <v>538</v>
      </c>
      <c r="K11" s="113"/>
      <c r="L11" s="113"/>
      <c r="M11" s="64"/>
    </row>
    <row r="12" spans="1:13" s="106" customFormat="1">
      <c r="A12" s="110"/>
      <c r="B12" s="111"/>
      <c r="C12" s="111"/>
      <c r="D12" s="111"/>
      <c r="E12" s="111"/>
      <c r="F12" s="113"/>
      <c r="G12" s="110"/>
      <c r="H12" s="113"/>
      <c r="I12" s="112"/>
      <c r="J12" s="115"/>
      <c r="K12" s="113"/>
      <c r="L12" s="113"/>
      <c r="M12" s="64"/>
    </row>
    <row r="13" spans="1:13" s="106" customFormat="1">
      <c r="A13" s="117" t="s">
        <v>539</v>
      </c>
      <c r="B13" s="104"/>
      <c r="C13" s="104"/>
      <c r="D13" s="104" t="s">
        <v>540</v>
      </c>
      <c r="E13" s="104"/>
      <c r="F13" s="117"/>
      <c r="G13" s="104"/>
      <c r="H13" s="118"/>
      <c r="I13" s="104"/>
      <c r="J13" s="116"/>
      <c r="K13" s="116"/>
      <c r="L13" s="116"/>
      <c r="M13" s="64"/>
    </row>
    <row r="14" spans="1:13" s="106" customFormat="1">
      <c r="A14" s="117" t="s">
        <v>541</v>
      </c>
      <c r="B14" s="104"/>
      <c r="C14" s="104"/>
      <c r="D14" s="104" t="s">
        <v>542</v>
      </c>
      <c r="E14" s="104"/>
      <c r="F14" s="117"/>
      <c r="G14" s="104"/>
      <c r="H14" s="118"/>
      <c r="I14" s="104"/>
      <c r="J14" s="116"/>
      <c r="K14" s="116"/>
      <c r="L14" s="116"/>
      <c r="M14" s="64"/>
    </row>
    <row r="15" spans="1:13" s="106" customFormat="1">
      <c r="A15" s="117"/>
      <c r="B15" s="104"/>
      <c r="C15" s="104"/>
      <c r="D15" s="104" t="s">
        <v>543</v>
      </c>
      <c r="E15" s="104"/>
      <c r="F15" s="117"/>
      <c r="G15" s="104"/>
      <c r="H15" s="118"/>
      <c r="I15" s="104"/>
      <c r="J15" s="116"/>
      <c r="K15" s="116"/>
      <c r="L15" s="116"/>
      <c r="M15" s="64"/>
    </row>
    <row r="16" spans="1:13" s="106" customFormat="1">
      <c r="A16" s="117"/>
      <c r="B16" s="104"/>
      <c r="C16" s="104"/>
      <c r="D16" s="104" t="s">
        <v>555</v>
      </c>
      <c r="E16" s="104"/>
      <c r="F16" s="117"/>
      <c r="G16" s="104"/>
      <c r="H16" s="118"/>
      <c r="I16" s="104"/>
      <c r="J16" s="116"/>
      <c r="K16" s="116"/>
      <c r="L16" s="116"/>
      <c r="M16" s="64"/>
    </row>
    <row r="17" spans="1:14" ht="13.5" customHeight="1">
      <c r="B17" s="28"/>
    </row>
    <row r="18" spans="1:14" ht="17.649999999999999">
      <c r="A18" s="85">
        <v>1</v>
      </c>
      <c r="B18" s="85" t="s">
        <v>35</v>
      </c>
      <c r="C18" s="86"/>
      <c r="D18" s="86"/>
      <c r="E18" s="86"/>
      <c r="F18" s="86"/>
      <c r="G18" s="86"/>
      <c r="H18" s="87"/>
      <c r="I18" s="101"/>
      <c r="J18" s="87"/>
      <c r="K18" s="87"/>
      <c r="L18" s="87"/>
    </row>
    <row r="19" spans="1:14" ht="18.399999999999999">
      <c r="A19" s="9"/>
      <c r="B19" s="1" t="s">
        <v>594</v>
      </c>
      <c r="C19" s="10"/>
      <c r="D19" s="10"/>
      <c r="E19" s="10"/>
      <c r="F19" s="10"/>
      <c r="G19" s="10"/>
      <c r="H19" t="s">
        <v>596</v>
      </c>
      <c r="I19" s="119" t="e">
        <f>MAX((ABS(MIN(#REF!))),(MAX(#REF!)))</f>
        <v>#REF!</v>
      </c>
      <c r="J19" s="1" t="s">
        <v>37</v>
      </c>
      <c r="K19" s="22" t="s">
        <v>618</v>
      </c>
    </row>
    <row r="20" spans="1:14" ht="18.399999999999999">
      <c r="A20" s="9"/>
      <c r="B20" s="1" t="s">
        <v>595</v>
      </c>
      <c r="C20" s="10"/>
      <c r="D20" s="10"/>
      <c r="E20" s="10"/>
      <c r="F20" s="10"/>
      <c r="G20" s="10"/>
      <c r="H20" s="129" t="s">
        <v>597</v>
      </c>
      <c r="I20" s="119">
        <v>40</v>
      </c>
      <c r="J20" t="s">
        <v>583</v>
      </c>
    </row>
    <row r="21" spans="1:14" ht="18.399999999999999">
      <c r="A21" s="9"/>
      <c r="B21" s="1" t="s">
        <v>588</v>
      </c>
      <c r="C21" s="10"/>
      <c r="D21" s="10"/>
      <c r="E21" s="10"/>
      <c r="F21" s="10"/>
      <c r="G21" s="10"/>
      <c r="H21" t="s">
        <v>591</v>
      </c>
      <c r="I21" s="119" t="e">
        <f>MAX((ABS(MIN(#REF!))),(MAX(#REF!)))</f>
        <v>#REF!</v>
      </c>
      <c r="J21" s="1" t="s">
        <v>37</v>
      </c>
      <c r="K21" s="22" t="s">
        <v>618</v>
      </c>
    </row>
    <row r="22" spans="1:14" ht="18.399999999999999">
      <c r="A22" s="9"/>
      <c r="B22" s="1" t="s">
        <v>589</v>
      </c>
      <c r="C22" s="10"/>
      <c r="D22" s="10"/>
      <c r="E22" s="10"/>
      <c r="F22" s="10"/>
      <c r="G22" s="10"/>
      <c r="H22" s="129" t="s">
        <v>592</v>
      </c>
      <c r="I22" s="119">
        <v>34</v>
      </c>
      <c r="J22" t="s">
        <v>583</v>
      </c>
    </row>
    <row r="23" spans="1:14" ht="13.9" customHeight="1">
      <c r="A23" s="9"/>
      <c r="B23" s="1" t="s">
        <v>425</v>
      </c>
      <c r="C23" s="1"/>
      <c r="D23" s="1"/>
      <c r="E23" s="1"/>
      <c r="F23" s="1"/>
      <c r="G23" s="1"/>
      <c r="H23" s="127" t="s">
        <v>36</v>
      </c>
      <c r="I23" s="130" t="e">
        <f>(I19*COS(I20*(PI()/180)))+(I21*COS(I22*(PI()/180)))</f>
        <v>#REF!</v>
      </c>
      <c r="J23" s="1" t="s">
        <v>37</v>
      </c>
      <c r="K23" s="124"/>
      <c r="L23" s="126"/>
      <c r="M23" s="64" t="e">
        <f>I23*0.2248</f>
        <v>#REF!</v>
      </c>
      <c r="N23" t="s">
        <v>404</v>
      </c>
    </row>
    <row r="24" spans="1:14" ht="13.9" customHeight="1">
      <c r="A24" s="9"/>
      <c r="B24" s="1"/>
      <c r="C24" s="1"/>
      <c r="D24" s="1"/>
      <c r="E24" s="1"/>
      <c r="F24" s="1"/>
      <c r="G24" s="1"/>
      <c r="H24" s="127" t="s">
        <v>610</v>
      </c>
      <c r="I24" s="130" t="e">
        <f>(I19*SIN(I20*(PI()/180)))+(I21*SIN(I22*(PI()/180)))</f>
        <v>#REF!</v>
      </c>
      <c r="J24" s="1" t="s">
        <v>37</v>
      </c>
      <c r="K24" s="124"/>
      <c r="L24" s="126"/>
    </row>
    <row r="25" spans="1:14" ht="14.65">
      <c r="B25" s="1" t="s">
        <v>547</v>
      </c>
      <c r="H25" s="1" t="s">
        <v>39</v>
      </c>
      <c r="I25" s="120">
        <v>424</v>
      </c>
      <c r="J25" t="s">
        <v>2</v>
      </c>
      <c r="M25" s="64">
        <f>I25/25.4</f>
        <v>16.692913385826774</v>
      </c>
      <c r="N25" t="s">
        <v>403</v>
      </c>
    </row>
    <row r="26" spans="1:14" ht="15.4">
      <c r="B26" t="s">
        <v>546</v>
      </c>
      <c r="H26" s="63" t="s">
        <v>398</v>
      </c>
      <c r="I26" s="120">
        <v>5120</v>
      </c>
      <c r="J26" t="s">
        <v>2</v>
      </c>
      <c r="M26" s="64">
        <f>I26/25.4</f>
        <v>201.57480314960631</v>
      </c>
      <c r="N26" t="s">
        <v>403</v>
      </c>
    </row>
    <row r="27" spans="1:14" ht="15.4">
      <c r="B27" t="s">
        <v>545</v>
      </c>
      <c r="H27" s="63"/>
      <c r="I27" s="30"/>
    </row>
    <row r="28" spans="1:14">
      <c r="B28" s="126" t="s">
        <v>593</v>
      </c>
      <c r="G28" s="11" t="s">
        <v>557</v>
      </c>
      <c r="H28" t="s">
        <v>565</v>
      </c>
      <c r="I28" s="120">
        <v>457</v>
      </c>
      <c r="J28" t="s">
        <v>2</v>
      </c>
      <c r="K28" s="128" t="s">
        <v>604</v>
      </c>
      <c r="L28" s="59"/>
    </row>
    <row r="29" spans="1:14">
      <c r="B29" s="126" t="s">
        <v>576</v>
      </c>
      <c r="G29" s="11" t="s">
        <v>558</v>
      </c>
      <c r="H29" t="s">
        <v>564</v>
      </c>
      <c r="I29" s="120">
        <v>23.8</v>
      </c>
      <c r="J29" t="s">
        <v>2</v>
      </c>
    </row>
    <row r="30" spans="1:14">
      <c r="B30" s="126" t="s">
        <v>578</v>
      </c>
      <c r="G30" s="11" t="s">
        <v>559</v>
      </c>
      <c r="H30" s="126" t="s">
        <v>563</v>
      </c>
      <c r="I30" s="125">
        <f>I33*0.6*PI()*(I28^2-(I28-2*I29)^2)/4/1000</f>
        <v>6704.7968430604169</v>
      </c>
      <c r="J30" t="s">
        <v>37</v>
      </c>
      <c r="K30" s="124" t="e">
        <f>IF(I23&lt;I30,"Okay","Not Okay")</f>
        <v>#REF!</v>
      </c>
      <c r="L30" s="126" t="s">
        <v>566</v>
      </c>
    </row>
    <row r="31" spans="1:14" ht="17.649999999999999">
      <c r="A31" s="85">
        <v>2</v>
      </c>
      <c r="B31" s="85" t="s">
        <v>40</v>
      </c>
      <c r="C31" s="86"/>
      <c r="D31" s="85"/>
      <c r="E31" s="85"/>
      <c r="F31" s="87"/>
      <c r="G31" s="87"/>
      <c r="H31" s="87"/>
      <c r="I31" s="101"/>
      <c r="J31" s="87"/>
      <c r="K31" s="87"/>
      <c r="L31" s="87"/>
    </row>
    <row r="32" spans="1:14" ht="15.75">
      <c r="A32" s="86">
        <v>2.1</v>
      </c>
      <c r="B32" s="86" t="s">
        <v>41</v>
      </c>
      <c r="C32" s="86"/>
      <c r="D32" s="87"/>
      <c r="E32" s="87"/>
      <c r="F32" s="87"/>
      <c r="G32" s="87"/>
      <c r="H32" s="87"/>
      <c r="I32" s="101"/>
      <c r="J32" s="87"/>
      <c r="K32" s="87"/>
      <c r="L32" s="87"/>
    </row>
    <row r="33" spans="1:14" ht="16.5">
      <c r="B33" t="s">
        <v>42</v>
      </c>
      <c r="H33" t="s">
        <v>413</v>
      </c>
      <c r="I33" s="120">
        <v>345</v>
      </c>
      <c r="J33" t="s">
        <v>44</v>
      </c>
      <c r="M33" s="64">
        <f>I33/6.89</f>
        <v>50.072568940493468</v>
      </c>
      <c r="N33" t="s">
        <v>58</v>
      </c>
    </row>
    <row r="34" spans="1:14" ht="16.5">
      <c r="B34" t="s">
        <v>365</v>
      </c>
      <c r="H34" t="s">
        <v>414</v>
      </c>
      <c r="I34" s="120">
        <v>470</v>
      </c>
      <c r="J34" t="s">
        <v>46</v>
      </c>
      <c r="M34" s="64">
        <f>I34/6.89</f>
        <v>68.214804063860669</v>
      </c>
      <c r="N34" t="s">
        <v>58</v>
      </c>
    </row>
    <row r="35" spans="1:14" ht="15.75">
      <c r="B35" t="s">
        <v>47</v>
      </c>
      <c r="H35" s="1" t="s">
        <v>367</v>
      </c>
      <c r="I35" s="120">
        <v>300</v>
      </c>
      <c r="J35" t="s">
        <v>2</v>
      </c>
      <c r="K35" s="59" t="s">
        <v>577</v>
      </c>
      <c r="M35" s="64">
        <f t="shared" ref="M35:M42" si="0">I35/25.4</f>
        <v>11.811023622047244</v>
      </c>
      <c r="N35" t="s">
        <v>403</v>
      </c>
    </row>
    <row r="36" spans="1:14" ht="14.65">
      <c r="B36" t="s">
        <v>48</v>
      </c>
      <c r="H36" s="1" t="s">
        <v>380</v>
      </c>
      <c r="I36" s="120">
        <v>390</v>
      </c>
      <c r="J36" t="s">
        <v>2</v>
      </c>
      <c r="M36" s="64">
        <f t="shared" si="0"/>
        <v>15.354330708661418</v>
      </c>
      <c r="N36" t="s">
        <v>403</v>
      </c>
    </row>
    <row r="37" spans="1:14" ht="15.75">
      <c r="B37" s="1" t="s">
        <v>49</v>
      </c>
      <c r="H37" s="1" t="s">
        <v>368</v>
      </c>
      <c r="I37" s="120">
        <v>25</v>
      </c>
      <c r="J37" t="s">
        <v>2</v>
      </c>
      <c r="L37" s="60"/>
      <c r="M37" s="64">
        <f t="shared" si="0"/>
        <v>0.98425196850393704</v>
      </c>
      <c r="N37" t="s">
        <v>403</v>
      </c>
    </row>
    <row r="38" spans="1:14" ht="15.75">
      <c r="B38" s="1" t="s">
        <v>50</v>
      </c>
      <c r="H38" s="1" t="s">
        <v>369</v>
      </c>
      <c r="I38" s="120">
        <v>20</v>
      </c>
      <c r="J38" t="s">
        <v>2</v>
      </c>
      <c r="L38" s="60"/>
      <c r="M38" s="64">
        <f t="shared" si="0"/>
        <v>0.78740157480314965</v>
      </c>
      <c r="N38" t="s">
        <v>403</v>
      </c>
    </row>
    <row r="39" spans="1:14" ht="14.65">
      <c r="B39" s="1" t="s">
        <v>550</v>
      </c>
      <c r="H39" s="1" t="s">
        <v>553</v>
      </c>
      <c r="I39" s="74">
        <f>(((I35*I37^3/12)+((I35*I37)*((I36/2)-(I37/2))^2))*2+(I38*(I36-I37-I37)^3/12))/(10)^4</f>
        <v>56588.166666666664</v>
      </c>
      <c r="J39" t="s">
        <v>551</v>
      </c>
      <c r="K39" s="122"/>
    </row>
    <row r="40" spans="1:14" ht="14.65">
      <c r="B40" s="1" t="s">
        <v>552</v>
      </c>
      <c r="H40" s="1" t="s">
        <v>554</v>
      </c>
      <c r="I40" s="74">
        <f>(((I37*I35^3/12)*2)+((I36-(2*I37))*I38^3/12))/(10)^4</f>
        <v>11272.666666666668</v>
      </c>
      <c r="J40" t="s">
        <v>551</v>
      </c>
      <c r="K40" s="122"/>
    </row>
    <row r="41" spans="1:14" ht="14.65">
      <c r="B41" s="1" t="s">
        <v>556</v>
      </c>
      <c r="H41" s="1"/>
      <c r="I41" s="120">
        <v>14</v>
      </c>
      <c r="J41" t="s">
        <v>2</v>
      </c>
    </row>
    <row r="42" spans="1:14" ht="14.65">
      <c r="B42" s="1" t="s">
        <v>381</v>
      </c>
      <c r="H42" s="1" t="s">
        <v>93</v>
      </c>
      <c r="I42" s="30">
        <f>I41+I37</f>
        <v>39</v>
      </c>
      <c r="J42" t="s">
        <v>2</v>
      </c>
      <c r="M42" s="64">
        <f t="shared" si="0"/>
        <v>1.5354330708661419</v>
      </c>
      <c r="N42" t="s">
        <v>403</v>
      </c>
    </row>
    <row r="43" spans="1:14" ht="16.5">
      <c r="B43" s="1" t="s">
        <v>544</v>
      </c>
      <c r="H43" s="1" t="s">
        <v>51</v>
      </c>
      <c r="I43" s="61">
        <f>I39/(I36/20)</f>
        <v>2901.9572649572647</v>
      </c>
      <c r="J43" t="s">
        <v>52</v>
      </c>
    </row>
    <row r="44" spans="1:14" ht="14.65">
      <c r="B44" s="1" t="s">
        <v>394</v>
      </c>
      <c r="H44" s="1" t="s">
        <v>392</v>
      </c>
      <c r="I44" s="61">
        <f>I36-2*I37</f>
        <v>340</v>
      </c>
      <c r="J44" t="s">
        <v>2</v>
      </c>
      <c r="M44" s="64">
        <f t="shared" ref="M44:M45" si="1">I44/25.4</f>
        <v>13.385826771653544</v>
      </c>
      <c r="N44" t="s">
        <v>403</v>
      </c>
    </row>
    <row r="45" spans="1:14" ht="15.75">
      <c r="B45" s="31" t="s">
        <v>393</v>
      </c>
      <c r="H45" s="1" t="s">
        <v>391</v>
      </c>
      <c r="I45" s="2">
        <f>I36-2*I42</f>
        <v>312</v>
      </c>
      <c r="J45" t="s">
        <v>2</v>
      </c>
      <c r="M45" s="64">
        <f t="shared" si="1"/>
        <v>12.283464566929135</v>
      </c>
      <c r="N45" t="s">
        <v>403</v>
      </c>
    </row>
    <row r="46" spans="1:14" ht="14.65">
      <c r="B46" s="1"/>
      <c r="H46" s="1"/>
      <c r="I46" s="61"/>
    </row>
    <row r="47" spans="1:14" ht="18">
      <c r="A47" s="85">
        <v>3</v>
      </c>
      <c r="B47" s="85" t="s">
        <v>112</v>
      </c>
      <c r="C47" s="86"/>
      <c r="D47" s="85"/>
      <c r="E47" s="85"/>
      <c r="F47" s="87"/>
      <c r="G47" s="87"/>
      <c r="H47" s="102"/>
      <c r="I47" s="101"/>
      <c r="J47" s="87"/>
      <c r="K47" s="87"/>
      <c r="L47" s="87"/>
    </row>
    <row r="48" spans="1:14" ht="15.75">
      <c r="A48" s="86">
        <v>3.1</v>
      </c>
      <c r="B48" s="86" t="s">
        <v>59</v>
      </c>
      <c r="C48" s="86"/>
      <c r="D48" s="86"/>
      <c r="E48" s="86"/>
      <c r="F48" s="86"/>
      <c r="G48" s="87"/>
      <c r="H48" s="87"/>
      <c r="I48" s="101"/>
      <c r="J48" s="87"/>
      <c r="K48" s="87"/>
      <c r="L48" s="87"/>
    </row>
    <row r="50" spans="1:14" ht="13.9">
      <c r="B50" s="54" t="s">
        <v>370</v>
      </c>
      <c r="C50" s="121">
        <v>465</v>
      </c>
      <c r="D50" s="55" t="s">
        <v>548</v>
      </c>
      <c r="H50" s="11" t="s">
        <v>560</v>
      </c>
      <c r="I50" s="123">
        <v>457</v>
      </c>
      <c r="J50" t="s">
        <v>2</v>
      </c>
      <c r="M50" s="64">
        <f>C50/25.4</f>
        <v>18.30708661417323</v>
      </c>
      <c r="N50" t="s">
        <v>403</v>
      </c>
    </row>
    <row r="51" spans="1:14" ht="13.9">
      <c r="B51" s="54"/>
      <c r="C51" s="56"/>
      <c r="D51" s="55"/>
      <c r="H51" s="11" t="s">
        <v>561</v>
      </c>
      <c r="I51" s="123">
        <v>75</v>
      </c>
      <c r="J51" t="s">
        <v>2</v>
      </c>
    </row>
    <row r="52" spans="1:14" ht="16.899999999999999">
      <c r="B52" s="11" t="s">
        <v>372</v>
      </c>
      <c r="C52" t="s">
        <v>373</v>
      </c>
      <c r="D52" s="11" t="s">
        <v>374</v>
      </c>
      <c r="E52" t="s">
        <v>375</v>
      </c>
      <c r="H52" s="11" t="s">
        <v>562</v>
      </c>
      <c r="I52" s="60">
        <f>I25</f>
        <v>424</v>
      </c>
      <c r="J52" t="s">
        <v>2</v>
      </c>
      <c r="K52" s="60" t="s">
        <v>383</v>
      </c>
    </row>
    <row r="53" spans="1:14">
      <c r="B53" s="11"/>
      <c r="D53" s="11"/>
      <c r="K53" s="2"/>
    </row>
    <row r="54" spans="1:14" ht="16.899999999999999">
      <c r="B54" s="11" t="s">
        <v>376</v>
      </c>
      <c r="C54" t="s">
        <v>377</v>
      </c>
      <c r="D54" s="11" t="s">
        <v>374</v>
      </c>
      <c r="E54" t="s">
        <v>378</v>
      </c>
      <c r="K54" s="60" t="s">
        <v>384</v>
      </c>
    </row>
    <row r="55" spans="1:14">
      <c r="D55" s="11"/>
    </row>
    <row r="56" spans="1:14" ht="15">
      <c r="D56" s="11" t="s">
        <v>379</v>
      </c>
      <c r="E56" s="66">
        <f>IF(C50&gt;I36,I38*(I25+5*I42)*0.66*I33/1000,I38*(I25+2.5*I42)*0.66*I33/1000)</f>
        <v>2818.9259999999999</v>
      </c>
      <c r="F56" t="s">
        <v>37</v>
      </c>
      <c r="M56" s="64">
        <f>E56/4.448</f>
        <v>633.75134892086328</v>
      </c>
      <c r="N56" t="s">
        <v>404</v>
      </c>
    </row>
    <row r="57" spans="1:14" ht="16.5">
      <c r="D57" s="11" t="s">
        <v>382</v>
      </c>
      <c r="E57" s="80" t="e">
        <f>I23/E56</f>
        <v>#REF!</v>
      </c>
      <c r="G57" s="67" t="e">
        <f>IF(E57&lt;1,"a pair of stiffener is not required !","a pair of stiffeners is required !")</f>
        <v>#REF!</v>
      </c>
      <c r="H57" s="59"/>
    </row>
    <row r="58" spans="1:14">
      <c r="D58" s="12"/>
      <c r="I58" s="15"/>
    </row>
    <row r="59" spans="1:14" ht="15.75">
      <c r="A59" s="86">
        <v>3.2</v>
      </c>
      <c r="B59" s="86" t="s">
        <v>61</v>
      </c>
      <c r="C59" s="86"/>
      <c r="D59" s="86"/>
      <c r="E59" s="86"/>
      <c r="F59" s="86"/>
      <c r="G59" s="87"/>
      <c r="H59" s="87"/>
      <c r="I59" s="101"/>
      <c r="J59" s="87"/>
      <c r="K59" s="87"/>
      <c r="L59" s="87"/>
    </row>
    <row r="60" spans="1:14">
      <c r="D60" s="13"/>
    </row>
    <row r="61" spans="1:14" ht="16.899999999999999">
      <c r="B61" s="11" t="s">
        <v>372</v>
      </c>
      <c r="C61" t="s">
        <v>385</v>
      </c>
      <c r="D61" s="11" t="s">
        <v>374</v>
      </c>
      <c r="E61" t="s">
        <v>386</v>
      </c>
      <c r="I61"/>
      <c r="K61" t="s">
        <v>390</v>
      </c>
    </row>
    <row r="62" spans="1:14">
      <c r="B62" s="11"/>
      <c r="D62" s="11"/>
      <c r="I62"/>
    </row>
    <row r="63" spans="1:14" ht="16.899999999999999">
      <c r="B63" s="11" t="s">
        <v>376</v>
      </c>
      <c r="C63" t="s">
        <v>387</v>
      </c>
      <c r="D63" s="11" t="s">
        <v>374</v>
      </c>
      <c r="E63" t="s">
        <v>388</v>
      </c>
      <c r="I63"/>
      <c r="K63" t="s">
        <v>389</v>
      </c>
    </row>
    <row r="64" spans="1:14">
      <c r="D64" s="13"/>
    </row>
    <row r="65" spans="1:14" ht="15">
      <c r="D65" s="11" t="s">
        <v>379</v>
      </c>
      <c r="E65" s="66">
        <f>IF(M50&gt;0.5*M36,67.5*M38^2*(1+3*(M25/M36)*(M38/M37)^1.5)*(M33*M37/M38)^0.5*4.448,34*M38^2*(1+3*(M25/M36)*(M38/M37)^1.5)*(M33*M37/M38)^0.5*4.448)</f>
        <v>4909.6585454372871</v>
      </c>
      <c r="F65" t="s">
        <v>37</v>
      </c>
      <c r="M65" s="64">
        <f>E65/4.448</f>
        <v>1103.7901406109008</v>
      </c>
      <c r="N65" t="s">
        <v>404</v>
      </c>
    </row>
    <row r="66" spans="1:14" ht="16.5">
      <c r="D66" s="11" t="s">
        <v>382</v>
      </c>
      <c r="E66" s="80" t="e">
        <f>I23/E65</f>
        <v>#REF!</v>
      </c>
      <c r="G66" s="67" t="e">
        <f>IF(E66&lt;1,"a pair of stiffener is not required !","a pair of stiffeners is required !")</f>
        <v>#REF!</v>
      </c>
    </row>
    <row r="67" spans="1:14">
      <c r="D67" s="13"/>
    </row>
    <row r="68" spans="1:14" ht="15.75">
      <c r="A68" s="86">
        <v>3.3</v>
      </c>
      <c r="B68" s="86" t="s">
        <v>62</v>
      </c>
      <c r="C68" s="86"/>
      <c r="D68" s="86"/>
      <c r="E68" s="86"/>
      <c r="F68" s="86"/>
      <c r="G68" s="87"/>
      <c r="H68" s="87"/>
      <c r="I68" s="101"/>
      <c r="J68" s="87"/>
      <c r="K68" s="87"/>
      <c r="L68" s="87"/>
    </row>
    <row r="69" spans="1:14" ht="15" customHeight="1">
      <c r="D69" s="13"/>
      <c r="I69" s="15"/>
    </row>
    <row r="70" spans="1:14" ht="15" customHeight="1">
      <c r="B70" s="54" t="s">
        <v>372</v>
      </c>
      <c r="C70" s="57" t="s">
        <v>395</v>
      </c>
      <c r="D70" s="57"/>
      <c r="E70" s="57"/>
      <c r="F70" s="57"/>
      <c r="I70" s="15"/>
    </row>
    <row r="71" spans="1:14" ht="15" customHeight="1">
      <c r="D71" s="13"/>
      <c r="I71" s="15"/>
    </row>
    <row r="72" spans="1:14" ht="15" customHeight="1">
      <c r="C72" s="57"/>
      <c r="D72" s="54" t="s">
        <v>402</v>
      </c>
      <c r="E72" s="16">
        <f>(I45/I38)/(I26/I35)</f>
        <v>0.9140625</v>
      </c>
      <c r="F72" s="2" t="str">
        <f>IF(E72&gt;G72,"&gt;","&lt;")</f>
        <v>&lt;</v>
      </c>
      <c r="G72" s="2">
        <v>2.2999999999999998</v>
      </c>
      <c r="I72" s="15"/>
    </row>
    <row r="73" spans="1:14" ht="15" customHeight="1">
      <c r="D73" s="13"/>
      <c r="I73" s="15"/>
    </row>
    <row r="74" spans="1:14" ht="15" customHeight="1">
      <c r="D74" s="54" t="s">
        <v>374</v>
      </c>
      <c r="E74" s="192" t="s">
        <v>396</v>
      </c>
      <c r="F74" s="193"/>
      <c r="G74" s="193"/>
      <c r="H74" s="193"/>
      <c r="I74" s="62"/>
      <c r="K74" t="s">
        <v>400</v>
      </c>
    </row>
    <row r="75" spans="1:14">
      <c r="E75" s="13"/>
      <c r="I75"/>
    </row>
    <row r="76" spans="1:14" ht="15">
      <c r="D76" s="54" t="s">
        <v>374</v>
      </c>
      <c r="E76" s="194">
        <f>IF(E72&lt;2.3,6800*M38^3*(1+0.4*E72^3)/M44*4.448,"( need not be checked !)")</f>
        <v>1440.0868810038403</v>
      </c>
      <c r="F76" s="194"/>
      <c r="I76"/>
      <c r="M76" s="79">
        <f>IF(E76="( need not be checked !)",0.0001,E76/4.448)</f>
        <v>323.76053979402883</v>
      </c>
      <c r="N76" t="s">
        <v>404</v>
      </c>
    </row>
    <row r="77" spans="1:14" ht="16.5">
      <c r="D77" s="11" t="s">
        <v>382</v>
      </c>
      <c r="E77" s="80" t="e">
        <f>IF(E76="( need not be checked !)","N/A",I23/E76)</f>
        <v>#REF!</v>
      </c>
      <c r="G77" s="67" t="e">
        <f>IF(E72&gt;2.3,"a pair of stiffener is not required !",IF(E76&gt;I23,"a pair of stiffener is not required !","a pair of stiffeners is required !"))</f>
        <v>#REF!</v>
      </c>
      <c r="I77" s="15"/>
    </row>
    <row r="78" spans="1:14">
      <c r="D78" s="13"/>
      <c r="I78" s="15"/>
    </row>
    <row r="79" spans="1:14">
      <c r="D79" s="13"/>
      <c r="I79" s="15"/>
    </row>
    <row r="80" spans="1:14" ht="15.4">
      <c r="B80" s="54" t="s">
        <v>376</v>
      </c>
      <c r="C80" s="57" t="s">
        <v>397</v>
      </c>
      <c r="D80" s="13"/>
      <c r="I80" s="15"/>
    </row>
    <row r="81" spans="1:17">
      <c r="D81" s="13"/>
      <c r="I81" s="15"/>
    </row>
    <row r="82" spans="1:17" ht="15.4">
      <c r="C82" s="57"/>
      <c r="D82" s="54" t="s">
        <v>402</v>
      </c>
      <c r="E82" s="16">
        <f>(I45/I38)/(I26/I35)</f>
        <v>0.9140625</v>
      </c>
      <c r="F82" s="2" t="str">
        <f>IF(E82&gt;G82,"&gt;","&lt;")</f>
        <v>&lt;</v>
      </c>
      <c r="G82" s="2">
        <v>1.7</v>
      </c>
      <c r="I82" s="15"/>
    </row>
    <row r="83" spans="1:17">
      <c r="D83" s="13"/>
      <c r="I83" s="15"/>
    </row>
    <row r="84" spans="1:17" ht="17.25">
      <c r="D84" s="54" t="s">
        <v>374</v>
      </c>
      <c r="E84" s="55" t="s">
        <v>399</v>
      </c>
      <c r="F84" s="55"/>
      <c r="G84" s="55"/>
      <c r="H84" s="60"/>
      <c r="I84" s="60"/>
      <c r="K84" t="s">
        <v>401</v>
      </c>
    </row>
    <row r="85" spans="1:17">
      <c r="D85" s="13"/>
      <c r="I85" s="15"/>
    </row>
    <row r="86" spans="1:17" ht="15">
      <c r="D86" s="54" t="s">
        <v>374</v>
      </c>
      <c r="E86" s="194">
        <f>IF(E82&lt;1.7,6800*M38^3*(0.4*E82^3)/M44*4.448,"( need not be checked !)")</f>
        <v>336.98067479142776</v>
      </c>
      <c r="F86" s="194"/>
      <c r="I86" s="15"/>
      <c r="M86" s="79">
        <f>IF(E86="( need not be checked !)",0.0001,E86/4.448)</f>
        <v>75.760043793036814</v>
      </c>
      <c r="N86" t="s">
        <v>404</v>
      </c>
    </row>
    <row r="87" spans="1:17" ht="16.5">
      <c r="D87" s="11" t="s">
        <v>382</v>
      </c>
      <c r="E87" s="80" t="e">
        <f>IF(E86="( need not be checked !)","N/A",I23/E86)</f>
        <v>#REF!</v>
      </c>
      <c r="G87" s="67" t="e">
        <f>IF(E82&gt;1.7,"a pair of stiffener is not required !",IF(E86&gt;I23,"a pair of stiffener is not required !","a pair of stiffeners is required !"))</f>
        <v>#REF!</v>
      </c>
      <c r="I87" s="15"/>
    </row>
    <row r="88" spans="1:17">
      <c r="D88" s="13"/>
      <c r="I88" s="15"/>
    </row>
    <row r="89" spans="1:17" ht="15.75">
      <c r="A89" s="86">
        <v>3.4</v>
      </c>
      <c r="B89" s="86" t="s">
        <v>405</v>
      </c>
      <c r="C89" s="87"/>
      <c r="D89" s="88"/>
      <c r="E89" s="87"/>
      <c r="F89" s="87"/>
      <c r="G89" s="87"/>
      <c r="H89" s="87"/>
      <c r="I89" s="103"/>
      <c r="J89" s="87"/>
      <c r="K89" s="87"/>
      <c r="L89" s="87"/>
    </row>
    <row r="90" spans="1:17">
      <c r="D90" s="13"/>
      <c r="I90" s="15"/>
    </row>
    <row r="91" spans="1:17" ht="16.899999999999999">
      <c r="D91" s="54" t="s">
        <v>406</v>
      </c>
      <c r="E91" s="55" t="s">
        <v>407</v>
      </c>
      <c r="I91"/>
      <c r="K91" t="s">
        <v>409</v>
      </c>
      <c r="M91" s="109"/>
      <c r="N91" s="64"/>
      <c r="Q91" s="66"/>
    </row>
    <row r="92" spans="1:17" ht="13.9">
      <c r="D92" s="57"/>
      <c r="E92" s="65"/>
      <c r="I92"/>
      <c r="J92" s="15"/>
      <c r="M92" s="109"/>
      <c r="N92" s="64"/>
    </row>
    <row r="93" spans="1:17" ht="15.4">
      <c r="D93" s="54" t="s">
        <v>374</v>
      </c>
      <c r="E93" s="55" t="s">
        <v>408</v>
      </c>
      <c r="I93"/>
      <c r="J93" s="15"/>
      <c r="M93" s="109"/>
      <c r="N93" s="64"/>
    </row>
    <row r="94" spans="1:17">
      <c r="E94" s="13"/>
      <c r="I94"/>
      <c r="J94" s="15"/>
      <c r="M94" s="109"/>
      <c r="N94" s="64"/>
    </row>
    <row r="95" spans="1:17" ht="15">
      <c r="D95" s="54" t="s">
        <v>374</v>
      </c>
      <c r="E95" s="195">
        <f>0.6*4100*M38^3*M33^0.5/M45*4.448</f>
        <v>3077.2854399404996</v>
      </c>
      <c r="F95" s="195"/>
      <c r="I95"/>
      <c r="J95" s="15"/>
      <c r="M95" s="79">
        <f>IF(E95="( need not be checked !)",0.0001,E95/4.448)</f>
        <v>691.8357553823065</v>
      </c>
      <c r="N95" t="s">
        <v>404</v>
      </c>
    </row>
    <row r="96" spans="1:17" ht="16.5">
      <c r="D96" s="11" t="s">
        <v>382</v>
      </c>
      <c r="E96" s="80" t="e">
        <f>I23/E95</f>
        <v>#REF!</v>
      </c>
      <c r="G96" s="67" t="e">
        <f>IF(E96&lt;1,"a pair of stiffener is not required !","a pair of stiffeners is required !")</f>
        <v>#REF!</v>
      </c>
      <c r="I96"/>
      <c r="J96" s="15"/>
      <c r="M96" s="109"/>
      <c r="N96" s="64"/>
    </row>
    <row r="97" spans="1:14">
      <c r="D97" s="13"/>
      <c r="I97" s="15"/>
    </row>
    <row r="98" spans="1:14" ht="15.75">
      <c r="A98" s="86">
        <v>3.4</v>
      </c>
      <c r="B98" s="86" t="s">
        <v>410</v>
      </c>
      <c r="C98" s="87"/>
      <c r="D98" s="88"/>
      <c r="E98" s="87"/>
      <c r="F98" s="87"/>
      <c r="G98" s="87"/>
      <c r="H98" s="87"/>
      <c r="I98" s="103"/>
      <c r="J98" s="87"/>
      <c r="K98" s="87"/>
      <c r="L98" s="87"/>
    </row>
    <row r="99" spans="1:14">
      <c r="D99" s="13"/>
      <c r="I99" s="15"/>
    </row>
    <row r="100" spans="1:14" ht="16.899999999999999">
      <c r="D100" s="54" t="s">
        <v>411</v>
      </c>
      <c r="E100" s="57" t="s">
        <v>412</v>
      </c>
      <c r="F100" s="57"/>
      <c r="I100" s="15"/>
      <c r="K100" t="s">
        <v>419</v>
      </c>
    </row>
    <row r="101" spans="1:14" ht="15">
      <c r="D101" s="54" t="s">
        <v>417</v>
      </c>
      <c r="E101" s="54" t="s">
        <v>418</v>
      </c>
      <c r="I101" s="15"/>
    </row>
    <row r="102" spans="1:14">
      <c r="I102" s="15"/>
    </row>
    <row r="103" spans="1:14" ht="16.899999999999999">
      <c r="D103" s="54" t="s">
        <v>411</v>
      </c>
      <c r="E103" s="68" t="e">
        <f>(5/3*M23-M33*M38*(M37+5*M42))/M109*25.4^2</f>
        <v>#REF!</v>
      </c>
      <c r="F103" t="s">
        <v>65</v>
      </c>
      <c r="G103" s="67" t="e">
        <f>IF(E103&lt;0,"a pair of stiffener is not required !","a pair of stiffeners is required !")</f>
        <v>#REF!</v>
      </c>
      <c r="I103" s="15"/>
      <c r="M103" s="64" t="e">
        <f>E103/25.4^2</f>
        <v>#REF!</v>
      </c>
      <c r="N103" t="s">
        <v>448</v>
      </c>
    </row>
    <row r="104" spans="1:14">
      <c r="I104" s="15"/>
    </row>
    <row r="105" spans="1:14">
      <c r="I105" s="15"/>
    </row>
    <row r="106" spans="1:14" ht="17.649999999999999">
      <c r="A106" s="85">
        <v>4</v>
      </c>
      <c r="B106" s="85" t="s">
        <v>423</v>
      </c>
      <c r="C106" s="87"/>
      <c r="D106" s="87"/>
      <c r="E106" s="87"/>
      <c r="F106" s="87"/>
      <c r="G106" s="87"/>
      <c r="H106" s="87"/>
      <c r="I106" s="103"/>
      <c r="J106" s="87"/>
      <c r="K106" s="87"/>
      <c r="L106" s="87"/>
    </row>
    <row r="107" spans="1:14" ht="15.75">
      <c r="A107" s="87"/>
      <c r="B107" s="86" t="s">
        <v>424</v>
      </c>
      <c r="C107" s="87"/>
      <c r="D107" s="88"/>
      <c r="E107" s="87"/>
      <c r="F107" s="87"/>
      <c r="G107" s="87"/>
      <c r="H107" s="87"/>
      <c r="I107" s="103"/>
      <c r="J107" s="87"/>
      <c r="K107" s="87"/>
      <c r="L107" s="87"/>
    </row>
    <row r="108" spans="1:14" ht="15.75">
      <c r="A108" s="86">
        <v>4.0999999999999996</v>
      </c>
      <c r="B108" s="86" t="s">
        <v>54</v>
      </c>
      <c r="C108" s="87"/>
      <c r="D108" s="88"/>
      <c r="E108" s="87"/>
      <c r="F108" s="87"/>
      <c r="G108" s="87"/>
      <c r="H108" s="87"/>
      <c r="I108" s="103"/>
      <c r="J108" s="87"/>
      <c r="K108" s="87"/>
      <c r="L108" s="87"/>
    </row>
    <row r="109" spans="1:14" ht="16.5">
      <c r="B109" t="s">
        <v>55</v>
      </c>
      <c r="H109" t="s">
        <v>415</v>
      </c>
      <c r="I109" s="3">
        <v>345</v>
      </c>
      <c r="J109" t="s">
        <v>44</v>
      </c>
      <c r="M109" s="64">
        <f t="shared" ref="M109:M111" si="2">I109/6.89</f>
        <v>50.072568940493468</v>
      </c>
      <c r="N109" t="s">
        <v>58</v>
      </c>
    </row>
    <row r="110" spans="1:14" ht="16.5">
      <c r="B110" t="s">
        <v>365</v>
      </c>
      <c r="H110" t="s">
        <v>416</v>
      </c>
      <c r="I110" s="3">
        <v>470</v>
      </c>
      <c r="J110" t="s">
        <v>46</v>
      </c>
      <c r="M110" s="64">
        <f t="shared" si="2"/>
        <v>68.214804063860669</v>
      </c>
      <c r="N110" t="s">
        <v>58</v>
      </c>
    </row>
    <row r="111" spans="1:14" ht="16.5">
      <c r="B111" t="s">
        <v>508</v>
      </c>
      <c r="H111" t="s">
        <v>465</v>
      </c>
      <c r="I111" s="3">
        <v>210000</v>
      </c>
      <c r="J111" t="s">
        <v>46</v>
      </c>
      <c r="M111" s="64">
        <f t="shared" si="2"/>
        <v>30478.955007256896</v>
      </c>
      <c r="N111" t="s">
        <v>58</v>
      </c>
    </row>
    <row r="112" spans="1:14" ht="16.5">
      <c r="B112" t="s">
        <v>509</v>
      </c>
      <c r="H112" s="60" t="s">
        <v>449</v>
      </c>
      <c r="I112" s="30">
        <f>25*I38</f>
        <v>500</v>
      </c>
      <c r="J112" t="s">
        <v>2</v>
      </c>
      <c r="M112" s="64">
        <f>I112/25.4</f>
        <v>19.685039370078741</v>
      </c>
      <c r="N112" t="s">
        <v>403</v>
      </c>
    </row>
    <row r="113" spans="1:14" ht="16.5">
      <c r="B113" t="s">
        <v>507</v>
      </c>
      <c r="D113" s="13"/>
      <c r="H113" t="s">
        <v>510</v>
      </c>
      <c r="I113" s="2">
        <f>CEILING(((I35-I38)/2)-25,1)</f>
        <v>115</v>
      </c>
      <c r="J113" t="s">
        <v>2</v>
      </c>
      <c r="M113" s="64">
        <f t="shared" ref="M113:M114" si="3">I113/25.4</f>
        <v>4.5275590551181102</v>
      </c>
      <c r="N113" t="s">
        <v>403</v>
      </c>
    </row>
    <row r="114" spans="1:14" ht="16.5">
      <c r="D114" s="13"/>
      <c r="H114" t="s">
        <v>511</v>
      </c>
      <c r="I114" s="30">
        <f>CEILING(((I35-I38)/2)-25,1)</f>
        <v>115</v>
      </c>
      <c r="J114" t="s">
        <v>2</v>
      </c>
      <c r="M114" s="64">
        <f t="shared" si="3"/>
        <v>4.5275590551181102</v>
      </c>
      <c r="N114" t="s">
        <v>403</v>
      </c>
    </row>
    <row r="115" spans="1:14">
      <c r="D115" s="13"/>
      <c r="I115" s="15"/>
    </row>
    <row r="116" spans="1:14" ht="13.9">
      <c r="B116" s="57"/>
      <c r="C116" s="57"/>
      <c r="D116" s="70"/>
      <c r="E116" s="57"/>
      <c r="I116" s="15"/>
    </row>
    <row r="117" spans="1:14" ht="15">
      <c r="B117" s="57"/>
      <c r="C117" s="65" t="s">
        <v>428</v>
      </c>
      <c r="D117" s="57"/>
      <c r="E117" s="54"/>
      <c r="I117" s="15"/>
    </row>
    <row r="118" spans="1:14" ht="13.9">
      <c r="B118" s="54" t="s">
        <v>429</v>
      </c>
      <c r="D118" s="71"/>
      <c r="E118" s="65"/>
      <c r="I118" s="15"/>
    </row>
    <row r="119" spans="1:14" ht="13.9">
      <c r="C119" s="57"/>
      <c r="D119" s="54"/>
      <c r="E119" s="57"/>
      <c r="I119" s="15"/>
    </row>
    <row r="120" spans="1:14" ht="13.9">
      <c r="B120" s="57"/>
      <c r="C120" s="57"/>
      <c r="D120" s="71"/>
      <c r="E120" s="54"/>
      <c r="I120" s="15"/>
    </row>
    <row r="121" spans="1:14" ht="13.9">
      <c r="A121" s="57"/>
      <c r="C121" s="57"/>
      <c r="D121" s="70"/>
      <c r="E121" s="196" t="s">
        <v>431</v>
      </c>
      <c r="I121" s="15"/>
    </row>
    <row r="122" spans="1:14" ht="13.9">
      <c r="B122" s="57"/>
      <c r="C122" s="57"/>
      <c r="D122" s="54"/>
      <c r="E122" s="197"/>
      <c r="I122" s="15"/>
    </row>
    <row r="123" spans="1:14" ht="13.9">
      <c r="B123" s="57"/>
      <c r="C123" s="57"/>
      <c r="D123" s="57"/>
      <c r="E123" s="57"/>
      <c r="I123" s="15"/>
    </row>
    <row r="124" spans="1:14" ht="13.9">
      <c r="B124" s="55"/>
      <c r="D124" s="72"/>
      <c r="E124" s="57"/>
      <c r="I124" s="15"/>
    </row>
    <row r="125" spans="1:14" ht="13.9">
      <c r="B125" s="57"/>
      <c r="C125" s="57"/>
      <c r="D125" s="57"/>
      <c r="E125" s="57"/>
      <c r="I125" s="15"/>
    </row>
    <row r="126" spans="1:14" ht="13.9">
      <c r="B126" s="57"/>
      <c r="C126" s="54"/>
      <c r="D126" s="56"/>
      <c r="E126" s="57"/>
      <c r="I126" s="15"/>
    </row>
    <row r="127" spans="1:14" ht="13.9">
      <c r="C127" s="54"/>
      <c r="D127" s="56"/>
      <c r="E127" s="55"/>
      <c r="I127" s="15"/>
    </row>
    <row r="128" spans="1:14" ht="15" customHeight="1">
      <c r="B128" s="57"/>
      <c r="C128" s="55" t="s">
        <v>433</v>
      </c>
      <c r="D128" s="73"/>
      <c r="E128" s="55"/>
      <c r="I128" s="15"/>
    </row>
    <row r="129" spans="1:14" ht="15.75">
      <c r="A129" s="86">
        <v>4.2</v>
      </c>
      <c r="B129" s="86" t="s">
        <v>434</v>
      </c>
      <c r="C129" s="87"/>
      <c r="D129" s="87"/>
      <c r="E129" s="87"/>
      <c r="F129" s="87"/>
      <c r="G129" s="87"/>
      <c r="H129" s="87"/>
      <c r="I129" s="103"/>
      <c r="J129" s="87"/>
      <c r="K129" s="87"/>
      <c r="L129" s="87"/>
    </row>
    <row r="130" spans="1:14" ht="16.5">
      <c r="C130" s="11" t="s">
        <v>435</v>
      </c>
      <c r="D130" t="s">
        <v>436</v>
      </c>
      <c r="I130"/>
      <c r="J130" s="15"/>
      <c r="M130" s="109"/>
      <c r="N130" s="64"/>
    </row>
    <row r="131" spans="1:14">
      <c r="C131" s="11" t="s">
        <v>437</v>
      </c>
      <c r="D131" s="2">
        <f>I35/3-I38/2</f>
        <v>90</v>
      </c>
      <c r="E131" t="s">
        <v>2</v>
      </c>
      <c r="F131" t="s">
        <v>440</v>
      </c>
      <c r="I131"/>
      <c r="J131" s="15"/>
      <c r="M131" s="109"/>
      <c r="N131" s="64"/>
    </row>
    <row r="132" spans="1:14" ht="16.5">
      <c r="C132" s="11" t="s">
        <v>427</v>
      </c>
      <c r="D132" t="s">
        <v>439</v>
      </c>
      <c r="E132" s="13"/>
      <c r="I132"/>
      <c r="J132" s="15"/>
      <c r="M132" s="109"/>
      <c r="N132" s="64"/>
    </row>
    <row r="133" spans="1:14">
      <c r="C133" s="11" t="s">
        <v>437</v>
      </c>
      <c r="D133" s="107">
        <f>(I35-I38)/2-25.4</f>
        <v>114.6</v>
      </c>
      <c r="E133" t="s">
        <v>2</v>
      </c>
      <c r="F133" s="12" t="str">
        <f>IF(D133&gt;D131,"OK","NOT OK")</f>
        <v>OK</v>
      </c>
      <c r="I133"/>
      <c r="J133" s="15"/>
      <c r="M133" s="64">
        <f>D133/25.4</f>
        <v>4.5118110236220472</v>
      </c>
      <c r="N133" t="s">
        <v>403</v>
      </c>
    </row>
    <row r="134" spans="1:14">
      <c r="C134" s="11"/>
      <c r="D134" s="2"/>
      <c r="E134" s="13"/>
      <c r="I134"/>
      <c r="J134" s="15"/>
    </row>
    <row r="135" spans="1:14" ht="15.75">
      <c r="A135" s="86">
        <v>4.3</v>
      </c>
      <c r="B135" s="86" t="s">
        <v>447</v>
      </c>
      <c r="C135" s="87"/>
      <c r="D135" s="88"/>
      <c r="E135" s="87"/>
      <c r="F135" s="87"/>
      <c r="G135" s="87"/>
      <c r="H135" s="87"/>
      <c r="I135" s="103"/>
      <c r="J135" s="87"/>
      <c r="K135" s="87"/>
      <c r="L135" s="87"/>
      <c r="M135" s="109"/>
    </row>
    <row r="136" spans="1:14" ht="14.65">
      <c r="B136" s="1" t="s">
        <v>438</v>
      </c>
      <c r="E136" s="13"/>
      <c r="I136"/>
      <c r="J136" s="15"/>
    </row>
    <row r="137" spans="1:14" ht="16.899999999999999">
      <c r="C137" s="11" t="s">
        <v>442</v>
      </c>
      <c r="D137" t="s">
        <v>426</v>
      </c>
      <c r="E137" s="13"/>
      <c r="I137"/>
      <c r="K137" t="s">
        <v>445</v>
      </c>
      <c r="M137" s="109"/>
    </row>
    <row r="138" spans="1:14" ht="16.899999999999999">
      <c r="C138" s="11" t="s">
        <v>443</v>
      </c>
      <c r="D138" t="s">
        <v>441</v>
      </c>
      <c r="E138" s="13"/>
      <c r="I138"/>
      <c r="J138" s="15"/>
    </row>
    <row r="139" spans="1:14">
      <c r="C139" s="11" t="s">
        <v>437</v>
      </c>
      <c r="D139" s="74">
        <f>M133/(95/M109^0.5)*25.4</f>
        <v>8.5361285931073212</v>
      </c>
      <c r="E139" s="17" t="s">
        <v>2</v>
      </c>
      <c r="F139" t="s">
        <v>440</v>
      </c>
      <c r="I139"/>
      <c r="J139" s="15"/>
    </row>
    <row r="140" spans="1:14" ht="16.5">
      <c r="C140" s="11" t="s">
        <v>444</v>
      </c>
      <c r="D140" s="108">
        <v>16</v>
      </c>
      <c r="E140" s="17" t="s">
        <v>2</v>
      </c>
      <c r="F140" s="12" t="str">
        <f>IF(D140&gt;D139,"OK","NOT OK")</f>
        <v>OK</v>
      </c>
      <c r="I140"/>
      <c r="J140" s="15"/>
      <c r="M140" s="64">
        <f>D140/25.4</f>
        <v>0.62992125984251968</v>
      </c>
      <c r="N140" t="s">
        <v>403</v>
      </c>
    </row>
    <row r="141" spans="1:14">
      <c r="E141" s="13"/>
      <c r="I141"/>
      <c r="J141" s="15"/>
    </row>
    <row r="142" spans="1:14" ht="15.75">
      <c r="A142" s="86">
        <v>4.4000000000000004</v>
      </c>
      <c r="B142" s="86" t="s">
        <v>446</v>
      </c>
      <c r="C142" s="87"/>
      <c r="D142" s="88"/>
      <c r="E142" s="87"/>
      <c r="F142" s="87"/>
      <c r="G142" s="87"/>
      <c r="H142" s="87"/>
      <c r="I142" s="103"/>
      <c r="J142" s="87"/>
      <c r="K142" s="87"/>
      <c r="L142" s="87"/>
      <c r="M142" s="109"/>
    </row>
    <row r="143" spans="1:14" ht="12" customHeight="1">
      <c r="D143" s="13"/>
      <c r="M143" s="109"/>
    </row>
    <row r="144" spans="1:14" ht="27">
      <c r="B144" s="95" t="s">
        <v>500</v>
      </c>
      <c r="C144" s="96" t="s">
        <v>505</v>
      </c>
      <c r="D144" s="96" t="s">
        <v>506</v>
      </c>
      <c r="E144" s="95" t="s">
        <v>514</v>
      </c>
      <c r="F144" s="95" t="s">
        <v>512</v>
      </c>
      <c r="G144" s="96" t="s">
        <v>515</v>
      </c>
      <c r="H144" s="95" t="s">
        <v>513</v>
      </c>
      <c r="I144" s="96" t="s">
        <v>516</v>
      </c>
      <c r="J144" s="95" t="s">
        <v>517</v>
      </c>
      <c r="K144" s="95" t="s">
        <v>518</v>
      </c>
      <c r="M144" s="109"/>
    </row>
    <row r="145" spans="1:14" ht="16.5">
      <c r="B145" s="91" t="s">
        <v>504</v>
      </c>
      <c r="C145" s="50">
        <f>I38</f>
        <v>20</v>
      </c>
      <c r="D145" s="92">
        <f>I112</f>
        <v>500</v>
      </c>
      <c r="E145" s="92">
        <f>C145*D145</f>
        <v>10000</v>
      </c>
      <c r="F145" s="92">
        <v>0</v>
      </c>
      <c r="G145" s="93">
        <f>E145*F145^2</f>
        <v>0</v>
      </c>
      <c r="H145" s="92">
        <v>0</v>
      </c>
      <c r="I145" s="93">
        <f>E145*H145^2</f>
        <v>0</v>
      </c>
      <c r="J145" s="93">
        <f>G145+1/12*C145*D145^3</f>
        <v>208333333.33333331</v>
      </c>
      <c r="K145" s="93">
        <f>I145+1/12*D145*C145^3</f>
        <v>333333.33333333331</v>
      </c>
      <c r="L145" s="90"/>
      <c r="M145" s="109"/>
    </row>
    <row r="146" spans="1:14">
      <c r="B146" s="91" t="s">
        <v>501</v>
      </c>
      <c r="C146" s="50">
        <f>IF(I113=0,0,D140)</f>
        <v>16</v>
      </c>
      <c r="D146" s="94">
        <f>IF(C146=0,0,D133)</f>
        <v>114.6</v>
      </c>
      <c r="E146" s="94">
        <f>2*C146*D146</f>
        <v>3667.2</v>
      </c>
      <c r="F146" s="92">
        <f>I113</f>
        <v>115</v>
      </c>
      <c r="G146" s="93">
        <f t="shared" ref="G146:G148" si="4">E146*F146^2</f>
        <v>48498720</v>
      </c>
      <c r="H146" s="92">
        <f>IF(C146=0,0,D146/2+C145/2)</f>
        <v>67.3</v>
      </c>
      <c r="I146" s="93">
        <f t="shared" ref="I146:I148" si="5">E146*H146^2</f>
        <v>16609812.287999999</v>
      </c>
      <c r="J146" s="93">
        <f>G146+2*(1/12*D146*C146^3)</f>
        <v>48576953.600000001</v>
      </c>
      <c r="K146" s="93">
        <f>I146+2*(1/12*C146*D146^3)</f>
        <v>20623305.983999997</v>
      </c>
      <c r="L146" s="90"/>
      <c r="M146" s="109"/>
    </row>
    <row r="147" spans="1:14">
      <c r="B147" s="91" t="s">
        <v>502</v>
      </c>
      <c r="C147" s="50">
        <v>0</v>
      </c>
      <c r="D147" s="94">
        <f>D133</f>
        <v>114.6</v>
      </c>
      <c r="E147" s="92">
        <f t="shared" ref="E147:E148" si="6">2*C147*D147</f>
        <v>0</v>
      </c>
      <c r="F147" s="92">
        <v>0</v>
      </c>
      <c r="G147" s="93">
        <f t="shared" si="4"/>
        <v>0</v>
      </c>
      <c r="H147" s="92">
        <f>D147/2+C145/2</f>
        <v>67.3</v>
      </c>
      <c r="I147" s="93">
        <f t="shared" si="5"/>
        <v>0</v>
      </c>
      <c r="J147" s="93">
        <f t="shared" ref="J147:J148" si="7">G147+2*(1/12*D147*C147^3)</f>
        <v>0</v>
      </c>
      <c r="K147" s="93">
        <f>I147+2*(1/12*C147*D147^3)</f>
        <v>0</v>
      </c>
      <c r="L147" s="90"/>
      <c r="M147" s="109"/>
    </row>
    <row r="148" spans="1:14">
      <c r="B148" s="91" t="s">
        <v>503</v>
      </c>
      <c r="C148" s="50">
        <f>IF(I114=0,0,D140)</f>
        <v>16</v>
      </c>
      <c r="D148" s="94">
        <f>IF(C148=0,0,D133)</f>
        <v>114.6</v>
      </c>
      <c r="E148" s="92">
        <f t="shared" si="6"/>
        <v>3667.2</v>
      </c>
      <c r="F148" s="92">
        <f>I114</f>
        <v>115</v>
      </c>
      <c r="G148" s="93">
        <f t="shared" si="4"/>
        <v>48498720</v>
      </c>
      <c r="H148" s="92">
        <f>IF(C148=0,0,D148/2+C145/2)</f>
        <v>67.3</v>
      </c>
      <c r="I148" s="93">
        <f t="shared" si="5"/>
        <v>16609812.287999999</v>
      </c>
      <c r="J148" s="93">
        <f t="shared" si="7"/>
        <v>48576953.600000001</v>
      </c>
      <c r="K148" s="93">
        <f t="shared" ref="K148" si="8">I148+2*(1/12*C148*D148^3)</f>
        <v>20623305.983999997</v>
      </c>
      <c r="L148" s="90"/>
      <c r="M148" s="109"/>
    </row>
    <row r="149" spans="1:14" ht="16.5">
      <c r="B149" s="91"/>
      <c r="C149" s="91"/>
      <c r="D149" s="97" t="s">
        <v>520</v>
      </c>
      <c r="E149" s="98">
        <f>SUM(E145:E148)</f>
        <v>17334.400000000001</v>
      </c>
      <c r="F149" s="92"/>
      <c r="G149" s="92"/>
      <c r="H149" s="92"/>
      <c r="I149" s="99" t="s">
        <v>523</v>
      </c>
      <c r="J149" s="97">
        <f>SUM(J145:J148)</f>
        <v>305487240.5333333</v>
      </c>
      <c r="K149" s="97">
        <f>SUM(K145:K148)</f>
        <v>41579945.301333323</v>
      </c>
      <c r="L149" s="90"/>
      <c r="M149" s="109"/>
    </row>
    <row r="150" spans="1:14" ht="11.25" customHeight="1">
      <c r="D150" s="13"/>
      <c r="M150" s="109"/>
    </row>
    <row r="151" spans="1:14" ht="16.899999999999999">
      <c r="B151" t="s">
        <v>451</v>
      </c>
      <c r="F151" t="s">
        <v>519</v>
      </c>
      <c r="I151" s="30">
        <f>E149</f>
        <v>17334.400000000001</v>
      </c>
      <c r="J151" t="s">
        <v>65</v>
      </c>
      <c r="M151" s="64">
        <f>I151/25.4^2</f>
        <v>26.868373736747476</v>
      </c>
      <c r="N151" t="s">
        <v>448</v>
      </c>
    </row>
    <row r="152" spans="1:14" ht="16.899999999999999">
      <c r="B152" t="s">
        <v>453</v>
      </c>
      <c r="D152" s="13"/>
      <c r="F152" t="s">
        <v>522</v>
      </c>
      <c r="I152" s="82">
        <f>J149</f>
        <v>305487240.5333333</v>
      </c>
      <c r="J152" t="s">
        <v>66</v>
      </c>
      <c r="M152" s="64">
        <f>I152/25.4^4</f>
        <v>733.93603112252208</v>
      </c>
      <c r="N152" t="s">
        <v>458</v>
      </c>
    </row>
    <row r="153" spans="1:14" ht="16.899999999999999">
      <c r="B153" t="s">
        <v>454</v>
      </c>
      <c r="F153" t="s">
        <v>455</v>
      </c>
      <c r="I153" s="61">
        <f>(I152/I151)^0.5</f>
        <v>132.75232342063549</v>
      </c>
      <c r="J153" t="s">
        <v>2</v>
      </c>
      <c r="M153" s="64">
        <f>I153/25.4</f>
        <v>5.2264694260092712</v>
      </c>
      <c r="N153" t="s">
        <v>403</v>
      </c>
    </row>
    <row r="154" spans="1:14" ht="16.899999999999999">
      <c r="B154" t="s">
        <v>453</v>
      </c>
      <c r="D154" s="13"/>
      <c r="F154" t="s">
        <v>521</v>
      </c>
      <c r="I154" s="82">
        <f>K149</f>
        <v>41579945.301333323</v>
      </c>
      <c r="J154" t="s">
        <v>66</v>
      </c>
      <c r="M154" s="64">
        <f>I154/25.4^4</f>
        <v>99.896218170926417</v>
      </c>
      <c r="N154" t="s">
        <v>458</v>
      </c>
    </row>
    <row r="155" spans="1:14" ht="16.899999999999999">
      <c r="B155" t="s">
        <v>454</v>
      </c>
      <c r="D155" s="13"/>
      <c r="F155" t="s">
        <v>456</v>
      </c>
      <c r="I155" s="61">
        <f>(I154/I151)^0.5</f>
        <v>48.976477886124925</v>
      </c>
      <c r="J155" t="s">
        <v>2</v>
      </c>
      <c r="M155" s="64">
        <f>I155/25.4</f>
        <v>1.9282077907923201</v>
      </c>
      <c r="N155" t="s">
        <v>403</v>
      </c>
    </row>
    <row r="156" spans="1:14" ht="15.75">
      <c r="A156" s="86">
        <v>4.5</v>
      </c>
      <c r="B156" s="86" t="s">
        <v>461</v>
      </c>
      <c r="C156" s="87"/>
      <c r="D156" s="88"/>
      <c r="E156" s="87"/>
      <c r="F156" s="87"/>
      <c r="G156" s="87"/>
      <c r="H156" s="87"/>
      <c r="I156" s="103"/>
      <c r="J156" s="87"/>
      <c r="K156" s="87"/>
      <c r="L156" s="87"/>
    </row>
    <row r="157" spans="1:14">
      <c r="B157" s="81" t="s">
        <v>476</v>
      </c>
      <c r="D157" s="13"/>
      <c r="I157" s="15"/>
    </row>
    <row r="158" spans="1:14">
      <c r="B158" s="25"/>
      <c r="D158" s="13"/>
      <c r="I158" s="15"/>
    </row>
    <row r="159" spans="1:14">
      <c r="C159" t="s">
        <v>466</v>
      </c>
      <c r="D159" s="7">
        <f>D177*D178/D179</f>
        <v>6.942108021539096</v>
      </c>
      <c r="E159" s="7" t="str">
        <f>IF(D159&lt;F159,"&lt;","&gt;")</f>
        <v>&lt;</v>
      </c>
      <c r="F159" s="7">
        <f>D176</f>
        <v>109.61373351564674</v>
      </c>
      <c r="I159" s="15"/>
      <c r="M159" s="64">
        <f>D159/25.4</f>
        <v>0.27331133943067309</v>
      </c>
      <c r="N159" t="s">
        <v>403</v>
      </c>
    </row>
    <row r="160" spans="1:14">
      <c r="D160" s="7"/>
      <c r="E160" s="7"/>
      <c r="F160" s="7"/>
      <c r="I160" s="15"/>
    </row>
    <row r="161" spans="2:14" ht="15.4">
      <c r="B161" t="s">
        <v>372</v>
      </c>
      <c r="C161" t="s">
        <v>462</v>
      </c>
      <c r="K161" t="s">
        <v>482</v>
      </c>
    </row>
    <row r="162" spans="2:14" ht="13.9">
      <c r="C162" s="54"/>
      <c r="D162" s="13"/>
      <c r="F162" s="54"/>
      <c r="I162"/>
    </row>
    <row r="163" spans="2:14" ht="15.4">
      <c r="C163" s="11" t="s">
        <v>470</v>
      </c>
      <c r="D163" s="191" t="s">
        <v>471</v>
      </c>
      <c r="E163" s="191"/>
      <c r="F163" s="191"/>
      <c r="I163"/>
    </row>
    <row r="164" spans="2:14" ht="15.4">
      <c r="D164" s="190" t="s">
        <v>472</v>
      </c>
      <c r="E164" s="190"/>
      <c r="F164" s="190"/>
      <c r="I164"/>
    </row>
    <row r="165" spans="2:14">
      <c r="D165" s="13"/>
    </row>
    <row r="166" spans="2:14">
      <c r="C166" s="11" t="s">
        <v>437</v>
      </c>
      <c r="D166" s="78">
        <f>IF(D159&lt;F159,(((1-M159^2/(2*D176^2))*M109)/(5/3+3/8*(M159/D176)-(M159^3)/(8*D176^3)))*6.89476,"N/A")</f>
        <v>207.02621857897236</v>
      </c>
      <c r="M166" s="79">
        <f>IF(D166="N/A","N/A",D166/6.89)</f>
        <v>30.047346673290619</v>
      </c>
      <c r="N166" t="s">
        <v>58</v>
      </c>
    </row>
    <row r="167" spans="2:14">
      <c r="D167" s="13"/>
      <c r="M167" s="79"/>
    </row>
    <row r="168" spans="2:14" ht="15.4">
      <c r="B168" t="s">
        <v>372</v>
      </c>
      <c r="C168" t="s">
        <v>468</v>
      </c>
      <c r="D168" s="13"/>
      <c r="I168"/>
      <c r="K168" t="s">
        <v>483</v>
      </c>
      <c r="M168" s="79"/>
    </row>
    <row r="169" spans="2:14">
      <c r="D169" s="13"/>
      <c r="I169"/>
      <c r="M169" s="79"/>
    </row>
    <row r="170" spans="2:14" ht="16.149999999999999">
      <c r="C170" s="11" t="s">
        <v>470</v>
      </c>
      <c r="D170" s="77" t="s">
        <v>473</v>
      </c>
      <c r="I170"/>
      <c r="M170" s="79"/>
    </row>
    <row r="171" spans="2:14" ht="15.4">
      <c r="D171" s="30" t="s">
        <v>474</v>
      </c>
      <c r="I171"/>
      <c r="M171" s="79"/>
    </row>
    <row r="172" spans="2:14">
      <c r="C172" s="11" t="s">
        <v>437</v>
      </c>
      <c r="D172" s="78" t="str">
        <f>IF(D159&lt;F159,"N/A",12*PI()^2*M111/(23*M159^2)*6.89476)</f>
        <v>N/A</v>
      </c>
      <c r="I172" s="15"/>
      <c r="M172" s="79" t="str">
        <f>IF(D172="N/A","N/A",D172/6.89)</f>
        <v>N/A</v>
      </c>
      <c r="N172" t="s">
        <v>58</v>
      </c>
    </row>
    <row r="173" spans="2:14">
      <c r="D173" s="13"/>
      <c r="I173" s="15"/>
      <c r="M173" s="79"/>
    </row>
    <row r="174" spans="2:14">
      <c r="B174" t="s">
        <v>469</v>
      </c>
      <c r="D174" s="13"/>
      <c r="I174" s="15"/>
      <c r="M174" s="79"/>
    </row>
    <row r="175" spans="2:14">
      <c r="C175" s="11" t="s">
        <v>463</v>
      </c>
      <c r="D175" s="30">
        <v>1</v>
      </c>
    </row>
    <row r="176" spans="2:14" ht="16.5">
      <c r="C176" s="11" t="s">
        <v>475</v>
      </c>
      <c r="D176" s="7">
        <f>(2*PI()^2*M111/(D175*M109))^0.5</f>
        <v>109.61373351564674</v>
      </c>
      <c r="E176" s="60" t="s">
        <v>481</v>
      </c>
    </row>
    <row r="177" spans="1:14">
      <c r="C177" s="11" t="s">
        <v>93</v>
      </c>
      <c r="D177" s="120">
        <v>1</v>
      </c>
    </row>
    <row r="178" spans="1:14">
      <c r="C178" s="11" t="s">
        <v>467</v>
      </c>
      <c r="D178" s="74">
        <f>I44</f>
        <v>340</v>
      </c>
      <c r="E178" t="s">
        <v>2</v>
      </c>
      <c r="M178" s="64">
        <f>D178/25.4</f>
        <v>13.385826771653544</v>
      </c>
      <c r="N178" t="s">
        <v>403</v>
      </c>
    </row>
    <row r="179" spans="1:14">
      <c r="C179" s="11" t="s">
        <v>134</v>
      </c>
      <c r="D179" s="7">
        <f>IF(I153&lt;I155,I153,I155)</f>
        <v>48.976477886124925</v>
      </c>
      <c r="E179" t="s">
        <v>2</v>
      </c>
      <c r="M179" s="64">
        <f>D179/25.4</f>
        <v>1.9282077907923201</v>
      </c>
      <c r="N179" t="s">
        <v>403</v>
      </c>
    </row>
    <row r="180" spans="1:14">
      <c r="D180" s="13"/>
      <c r="I180" s="15"/>
    </row>
    <row r="181" spans="1:14">
      <c r="B181" s="81" t="s">
        <v>480</v>
      </c>
      <c r="D181" s="13"/>
      <c r="I181" s="15"/>
    </row>
    <row r="182" spans="1:14" ht="16.5">
      <c r="C182" s="11" t="s">
        <v>477</v>
      </c>
      <c r="D182" s="2" t="s">
        <v>478</v>
      </c>
      <c r="I182"/>
      <c r="M182" s="109"/>
    </row>
    <row r="183" spans="1:14">
      <c r="C183" s="11" t="s">
        <v>437</v>
      </c>
      <c r="D183" s="7" t="e">
        <f>I23/I151*1000</f>
        <v>#REF!</v>
      </c>
      <c r="E183" t="s">
        <v>46</v>
      </c>
      <c r="I183"/>
      <c r="M183" s="109"/>
    </row>
    <row r="184" spans="1:14">
      <c r="I184"/>
      <c r="M184" s="109"/>
    </row>
    <row r="185" spans="1:14" ht="16.5">
      <c r="C185" s="11" t="s">
        <v>479</v>
      </c>
      <c r="D185" s="80" t="e">
        <f>D183/D166</f>
        <v>#REF!</v>
      </c>
      <c r="F185" s="12" t="e">
        <f>IF(D185&lt;1,"OK","NOT OK")</f>
        <v>#REF!</v>
      </c>
      <c r="I185"/>
      <c r="M185" s="109"/>
    </row>
    <row r="186" spans="1:14">
      <c r="C186" s="11"/>
      <c r="D186" s="80"/>
      <c r="F186" s="12"/>
      <c r="I186"/>
      <c r="M186" s="109"/>
    </row>
    <row r="187" spans="1:14" ht="15.75">
      <c r="A187" s="86">
        <v>4.5999999999999996</v>
      </c>
      <c r="B187" s="86" t="s">
        <v>485</v>
      </c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109"/>
    </row>
    <row r="188" spans="1:14">
      <c r="A188" s="89"/>
      <c r="B188" s="89" t="s">
        <v>524</v>
      </c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109"/>
    </row>
    <row r="189" spans="1:14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109"/>
    </row>
    <row r="190" spans="1:14" ht="16.5">
      <c r="B190" s="1" t="s">
        <v>110</v>
      </c>
      <c r="H190" t="s">
        <v>486</v>
      </c>
      <c r="I190" s="120">
        <v>14</v>
      </c>
      <c r="J190" t="s">
        <v>2</v>
      </c>
      <c r="K190" s="17" t="s">
        <v>111</v>
      </c>
      <c r="M190" s="64">
        <f t="shared" ref="M190:M191" si="9">I190/25.4</f>
        <v>0.55118110236220474</v>
      </c>
      <c r="N190" t="s">
        <v>403</v>
      </c>
    </row>
    <row r="191" spans="1:14" ht="16.5">
      <c r="B191" s="1"/>
      <c r="H191" t="s">
        <v>567</v>
      </c>
      <c r="I191" s="120">
        <v>8</v>
      </c>
      <c r="J191" t="s">
        <v>2</v>
      </c>
      <c r="K191" s="17" t="s">
        <v>568</v>
      </c>
      <c r="M191" s="64">
        <f t="shared" si="9"/>
        <v>0.31496062992125984</v>
      </c>
      <c r="N191" t="s">
        <v>403</v>
      </c>
    </row>
    <row r="192" spans="1:14" ht="16.5">
      <c r="B192" s="1" t="s">
        <v>56</v>
      </c>
      <c r="H192" t="s">
        <v>487</v>
      </c>
      <c r="I192" s="120">
        <v>14</v>
      </c>
      <c r="J192" t="s">
        <v>2</v>
      </c>
      <c r="K192" s="17" t="s">
        <v>111</v>
      </c>
      <c r="M192" s="64">
        <f>I192/25.4</f>
        <v>0.55118110236220474</v>
      </c>
      <c r="N192" t="s">
        <v>403</v>
      </c>
    </row>
    <row r="193" spans="1:14" ht="15.75">
      <c r="B193" s="1" t="s">
        <v>57</v>
      </c>
      <c r="H193" s="1" t="s">
        <v>366</v>
      </c>
      <c r="I193" s="120">
        <v>483</v>
      </c>
      <c r="J193" t="s">
        <v>46</v>
      </c>
      <c r="L193" s="17"/>
      <c r="M193" s="64">
        <f t="shared" ref="M193:M194" si="10">I193/6.89</f>
        <v>70.101596516690861</v>
      </c>
      <c r="N193" t="s">
        <v>58</v>
      </c>
    </row>
    <row r="194" spans="1:14" ht="15.75">
      <c r="B194" s="1" t="s">
        <v>488</v>
      </c>
      <c r="H194" s="100" t="s">
        <v>493</v>
      </c>
      <c r="I194" s="7">
        <f>0.3*I193</f>
        <v>144.9</v>
      </c>
      <c r="J194" t="s">
        <v>46</v>
      </c>
      <c r="M194" s="64">
        <f t="shared" si="10"/>
        <v>21.030478955007258</v>
      </c>
      <c r="N194" t="s">
        <v>58</v>
      </c>
    </row>
    <row r="195" spans="1:14">
      <c r="I195"/>
      <c r="M195" s="109"/>
    </row>
    <row r="196" spans="1:14">
      <c r="A196" s="89" t="s">
        <v>498</v>
      </c>
      <c r="B196" s="89" t="s">
        <v>612</v>
      </c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109"/>
    </row>
    <row r="197" spans="1:14">
      <c r="I197"/>
      <c r="M197" s="109"/>
    </row>
    <row r="198" spans="1:14" ht="16.899999999999999">
      <c r="B198" t="s">
        <v>613</v>
      </c>
      <c r="G198" t="s">
        <v>489</v>
      </c>
      <c r="I198" s="7">
        <f>(2*4*0.707*I190*D133)+(2*4*I191*D133)</f>
        <v>16408.886399999999</v>
      </c>
      <c r="J198" t="s">
        <v>65</v>
      </c>
      <c r="M198" s="64">
        <f>I198/25.4^2</f>
        <v>25.433824787649577</v>
      </c>
      <c r="N198" t="s">
        <v>448</v>
      </c>
    </row>
    <row r="199" spans="1:14" ht="16.5">
      <c r="B199" s="22"/>
      <c r="G199" t="s">
        <v>611</v>
      </c>
      <c r="I199" s="7" t="e">
        <f>I24/I198*1000</f>
        <v>#REF!</v>
      </c>
      <c r="J199" t="s">
        <v>46</v>
      </c>
      <c r="M199" s="64" t="e">
        <f t="shared" ref="M199" si="11">I199/6.89</f>
        <v>#REF!</v>
      </c>
      <c r="N199" t="s">
        <v>58</v>
      </c>
    </row>
    <row r="200" spans="1:14" ht="15.75">
      <c r="G200" s="1" t="s">
        <v>494</v>
      </c>
      <c r="I200" s="80" t="e">
        <f>I199/I194</f>
        <v>#REF!</v>
      </c>
      <c r="K200" s="12" t="e">
        <f>IF(I200&lt;1,"OK","NOT OK")</f>
        <v>#REF!</v>
      </c>
      <c r="M200" s="109"/>
    </row>
    <row r="201" spans="1:14">
      <c r="M201" s="109"/>
    </row>
    <row r="202" spans="1:14">
      <c r="A202" s="89" t="s">
        <v>499</v>
      </c>
      <c r="B202" s="89" t="s">
        <v>78</v>
      </c>
      <c r="C202" s="87"/>
      <c r="D202" s="87"/>
      <c r="E202" s="87"/>
      <c r="F202" s="87"/>
      <c r="G202" s="87"/>
      <c r="H202" s="87"/>
      <c r="I202" s="101"/>
      <c r="J202" s="87"/>
      <c r="K202" s="87"/>
      <c r="L202" s="87"/>
      <c r="M202" s="109"/>
    </row>
    <row r="203" spans="1:14" ht="16.5">
      <c r="A203" s="10"/>
      <c r="B203" t="s">
        <v>614</v>
      </c>
      <c r="G203" t="s">
        <v>615</v>
      </c>
      <c r="I203" s="74" t="e">
        <f>I23-((MIN(M56,M65,M76,M86,M95))*4.448)</f>
        <v>#REF!</v>
      </c>
      <c r="M203" s="109"/>
    </row>
    <row r="204" spans="1:14" ht="16.899999999999999">
      <c r="B204" t="s">
        <v>497</v>
      </c>
      <c r="G204" t="s">
        <v>490</v>
      </c>
      <c r="I204" s="7">
        <f>2*2*0.707*I192*I44</f>
        <v>13461.279999999999</v>
      </c>
      <c r="J204" t="s">
        <v>65</v>
      </c>
      <c r="M204" s="64">
        <f>I204/25.4^2</f>
        <v>20.86502573005146</v>
      </c>
      <c r="N204" t="s">
        <v>448</v>
      </c>
    </row>
    <row r="205" spans="1:14" ht="16.5">
      <c r="G205" t="s">
        <v>616</v>
      </c>
      <c r="I205" s="7" t="e">
        <f>I203/I204*1000</f>
        <v>#REF!</v>
      </c>
      <c r="J205" t="s">
        <v>46</v>
      </c>
      <c r="M205" s="64" t="e">
        <f t="shared" ref="M205" si="12">I205/6.89</f>
        <v>#REF!</v>
      </c>
      <c r="N205" t="s">
        <v>58</v>
      </c>
    </row>
    <row r="206" spans="1:14" ht="15.75">
      <c r="G206" s="1" t="s">
        <v>495</v>
      </c>
      <c r="I206" s="80" t="e">
        <f>I205/I194</f>
        <v>#REF!</v>
      </c>
      <c r="K206" s="12" t="e">
        <f>IF(I206&lt;1,"OK","NOT OK")</f>
        <v>#REF!</v>
      </c>
      <c r="M206" s="109"/>
    </row>
    <row r="207" spans="1:14">
      <c r="I207"/>
      <c r="M207"/>
    </row>
    <row r="208" spans="1:14">
      <c r="I208"/>
      <c r="M208"/>
    </row>
  </sheetData>
  <mergeCells count="7">
    <mergeCell ref="D164:F164"/>
    <mergeCell ref="E74:H74"/>
    <mergeCell ref="E76:F76"/>
    <mergeCell ref="E86:F86"/>
    <mergeCell ref="E95:F95"/>
    <mergeCell ref="E121:E122"/>
    <mergeCell ref="D163:F163"/>
  </mergeCells>
  <phoneticPr fontId="62" type="noConversion"/>
  <conditionalFormatting sqref="D185:D186">
    <cfRule type="cellIs" dxfId="81" priority="12" operator="greaterThan">
      <formula>1</formula>
    </cfRule>
  </conditionalFormatting>
  <conditionalFormatting sqref="E57">
    <cfRule type="cellIs" dxfId="80" priority="21" operator="greaterThan">
      <formula>1</formula>
    </cfRule>
  </conditionalFormatting>
  <conditionalFormatting sqref="E66">
    <cfRule type="cellIs" dxfId="79" priority="22" operator="greaterThan">
      <formula>1</formula>
    </cfRule>
  </conditionalFormatting>
  <conditionalFormatting sqref="E77">
    <cfRule type="containsText" dxfId="78" priority="5" operator="containsText" text="N/A">
      <formula>NOT(ISERROR(SEARCH("N/A",E77)))</formula>
    </cfRule>
    <cfRule type="cellIs" dxfId="77" priority="6" operator="greaterThan">
      <formula>1</formula>
    </cfRule>
  </conditionalFormatting>
  <conditionalFormatting sqref="E87">
    <cfRule type="containsText" dxfId="76" priority="7" operator="containsText" text="N/A">
      <formula>NOT(ISERROR(SEARCH("N/A",E87)))</formula>
    </cfRule>
    <cfRule type="cellIs" dxfId="75" priority="23" operator="greaterThan">
      <formula>1</formula>
    </cfRule>
  </conditionalFormatting>
  <conditionalFormatting sqref="E96">
    <cfRule type="cellIs" dxfId="74" priority="20" operator="greaterThan">
      <formula>1</formula>
    </cfRule>
  </conditionalFormatting>
  <conditionalFormatting sqref="F133">
    <cfRule type="containsText" dxfId="73" priority="15" operator="containsText" text="NOT OK">
      <formula>NOT(ISERROR(SEARCH("NOT OK",F133)))</formula>
    </cfRule>
  </conditionalFormatting>
  <conditionalFormatting sqref="F140">
    <cfRule type="containsText" dxfId="72" priority="14" operator="containsText" text="NOT OK">
      <formula>NOT(ISERROR(SEARCH("NOT OK",F140)))</formula>
    </cfRule>
  </conditionalFormatting>
  <conditionalFormatting sqref="F185:F186">
    <cfRule type="containsText" dxfId="71" priority="13" operator="containsText" text="NOT OK">
      <formula>NOT(ISERROR(SEARCH("NOT OK",F185)))</formula>
    </cfRule>
  </conditionalFormatting>
  <conditionalFormatting sqref="G57">
    <cfRule type="containsText" dxfId="70" priority="3" operator="containsText" text="a pair of stiffeners is required !">
      <formula>NOT(ISERROR(SEARCH("a pair of stiffeners is required !",G57)))</formula>
    </cfRule>
    <cfRule type="containsText" priority="4" operator="containsText" text="a pair of stiffeners is required !">
      <formula>NOT(ISERROR(SEARCH("a pair of stiffeners is required !",G57)))</formula>
    </cfRule>
  </conditionalFormatting>
  <conditionalFormatting sqref="G66">
    <cfRule type="containsText" dxfId="69" priority="1" operator="containsText" text="a pair of stiffeners is required !">
      <formula>NOT(ISERROR(SEARCH("a pair of stiffeners is required !",G66)))</formula>
    </cfRule>
    <cfRule type="containsText" priority="2" operator="containsText" text="a pair of stiffeners is required !">
      <formula>NOT(ISERROR(SEARCH("a pair of stiffeners is required !",G66)))</formula>
    </cfRule>
  </conditionalFormatting>
  <conditionalFormatting sqref="G77">
    <cfRule type="containsText" dxfId="68" priority="24" operator="containsText" text="a pair of stiffeners is required !">
      <formula>NOT(ISERROR(SEARCH("a pair of stiffeners is required !",G77)))</formula>
    </cfRule>
    <cfRule type="containsText" priority="25" operator="containsText" text="a pair of stiffeners is required !">
      <formula>NOT(ISERROR(SEARCH("a pair of stiffeners is required !",G77)))</formula>
    </cfRule>
  </conditionalFormatting>
  <conditionalFormatting sqref="G87">
    <cfRule type="containsText" dxfId="67" priority="26" operator="containsText" text="a pair of stiffeners is required !">
      <formula>NOT(ISERROR(SEARCH("a pair of stiffeners is required !",G87)))</formula>
    </cfRule>
    <cfRule type="containsText" priority="27" operator="containsText" text="a pair of stiffeners is required !">
      <formula>NOT(ISERROR(SEARCH("a pair of stiffeners is required !",G87)))</formula>
    </cfRule>
  </conditionalFormatting>
  <conditionalFormatting sqref="G96">
    <cfRule type="containsText" dxfId="66" priority="18" operator="containsText" text="a pair of stiffeners is required !">
      <formula>NOT(ISERROR(SEARCH("a pair of stiffeners is required !",G96)))</formula>
    </cfRule>
    <cfRule type="containsText" priority="19" operator="containsText" text="a pair of stiffeners is required !">
      <formula>NOT(ISERROR(SEARCH("a pair of stiffeners is required !",G96)))</formula>
    </cfRule>
  </conditionalFormatting>
  <conditionalFormatting sqref="G103">
    <cfRule type="containsText" dxfId="65" priority="16" operator="containsText" text="a pair of stiffeners is required !">
      <formula>NOT(ISERROR(SEARCH("a pair of stiffeners is required !",G103)))</formula>
    </cfRule>
    <cfRule type="containsText" priority="17" operator="containsText" text="a pair of stiffeners is required !">
      <formula>NOT(ISERROR(SEARCH("a pair of stiffeners is required !",G103)))</formula>
    </cfRule>
  </conditionalFormatting>
  <conditionalFormatting sqref="I200">
    <cfRule type="cellIs" dxfId="64" priority="11" operator="greaterThan">
      <formula>1</formula>
    </cfRule>
  </conditionalFormatting>
  <conditionalFormatting sqref="I206">
    <cfRule type="cellIs" dxfId="63" priority="10" operator="greaterThan">
      <formula>1</formula>
    </cfRule>
  </conditionalFormatting>
  <conditionalFormatting sqref="K200">
    <cfRule type="containsText" dxfId="62" priority="9" operator="containsText" text="NOT OK">
      <formula>NOT(ISERROR(SEARCH("NOT OK",K200)))</formula>
    </cfRule>
  </conditionalFormatting>
  <conditionalFormatting sqref="K206">
    <cfRule type="containsText" dxfId="61" priority="8" operator="containsText" text="NOT OK">
      <formula>NOT(ISERROR(SEARCH("NOT OK",K206)))</formula>
    </cfRule>
  </conditionalFormatting>
  <pageMargins left="0.7" right="0.7" top="0.75" bottom="0.75" header="0.3" footer="0.3"/>
  <pageSetup paperSize="9" scale="70" orientation="portrait" horizontalDpi="300" verticalDpi="300" r:id="rId1"/>
  <rowBreaks count="2" manualBreakCount="2">
    <brk id="67" max="11" man="1"/>
    <brk id="105" max="11" man="1"/>
  </rowBreaks>
  <colBreaks count="1" manualBreakCount="1">
    <brk id="1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8"/>
  <sheetViews>
    <sheetView view="pageBreakPreview" topLeftCell="A109" zoomScaleNormal="85" zoomScaleSheetLayoutView="100" zoomScalePageLayoutView="40" workbookViewId="0">
      <selection activeCell="K19" sqref="K19"/>
    </sheetView>
  </sheetViews>
  <sheetFormatPr defaultRowHeight="13.5"/>
  <cols>
    <col min="1" max="1" width="5.1328125" customWidth="1"/>
    <col min="2" max="2" width="5.3984375" customWidth="1"/>
    <col min="3" max="3" width="8.1328125" customWidth="1"/>
    <col min="4" max="4" width="13.3984375" customWidth="1"/>
    <col min="5" max="5" width="10.3984375" customWidth="1"/>
    <col min="6" max="6" width="12.73046875" customWidth="1"/>
    <col min="7" max="7" width="12" customWidth="1"/>
    <col min="8" max="8" width="11.1328125" customWidth="1"/>
    <col min="9" max="9" width="11.265625" style="2" customWidth="1"/>
    <col min="10" max="11" width="11.265625" customWidth="1"/>
    <col min="12" max="12" width="11.86328125" customWidth="1"/>
    <col min="13" max="13" width="9.73046875" style="64" bestFit="1" customWidth="1"/>
  </cols>
  <sheetData>
    <row r="1" spans="1:13">
      <c r="A1" s="104"/>
      <c r="B1" s="105"/>
      <c r="C1" s="105"/>
      <c r="D1" s="105"/>
      <c r="E1" s="105"/>
      <c r="F1" s="105"/>
      <c r="G1" s="105"/>
      <c r="H1" s="105"/>
      <c r="I1" s="105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</row>
    <row r="3" spans="1:13">
      <c r="A3" s="104"/>
      <c r="B3" s="104"/>
      <c r="C3" s="104"/>
      <c r="D3" s="104"/>
      <c r="E3" s="104"/>
      <c r="F3" s="104"/>
      <c r="G3" s="104"/>
      <c r="H3" s="104"/>
      <c r="I3" s="104"/>
    </row>
    <row r="4" spans="1:13">
      <c r="A4" s="104"/>
      <c r="B4" s="104"/>
      <c r="C4" s="104"/>
      <c r="D4" s="104"/>
      <c r="E4" s="104"/>
      <c r="F4" s="104"/>
      <c r="G4" s="104"/>
      <c r="H4" s="104"/>
      <c r="I4" s="104"/>
    </row>
    <row r="5" spans="1:13">
      <c r="A5" s="104"/>
      <c r="B5" s="104"/>
      <c r="C5" s="104"/>
      <c r="D5" s="104"/>
      <c r="E5" s="104"/>
      <c r="F5" s="104"/>
      <c r="G5" s="104"/>
      <c r="H5" s="104"/>
      <c r="I5" s="104"/>
    </row>
    <row r="6" spans="1:13" s="106" customFormat="1">
      <c r="A6" s="110" t="s">
        <v>525</v>
      </c>
      <c r="B6" s="111"/>
      <c r="C6" s="111"/>
      <c r="D6" s="112" t="s">
        <v>526</v>
      </c>
      <c r="E6" s="111"/>
      <c r="F6" s="113"/>
      <c r="G6" s="113"/>
      <c r="H6" s="110" t="s">
        <v>527</v>
      </c>
      <c r="I6" s="113"/>
      <c r="J6" s="112" t="s">
        <v>549</v>
      </c>
      <c r="K6" s="113"/>
      <c r="L6" s="113"/>
      <c r="M6" s="64"/>
    </row>
    <row r="7" spans="1:13" s="106" customFormat="1">
      <c r="A7" s="110" t="s">
        <v>528</v>
      </c>
      <c r="B7" s="111"/>
      <c r="C7" s="111"/>
      <c r="D7" s="112" t="s">
        <v>605</v>
      </c>
      <c r="E7" s="111"/>
      <c r="F7" s="113"/>
      <c r="G7" s="113"/>
      <c r="H7" s="110" t="s">
        <v>529</v>
      </c>
      <c r="I7" s="113"/>
      <c r="J7" s="112" t="s">
        <v>608</v>
      </c>
      <c r="K7" s="113"/>
      <c r="L7" s="113"/>
      <c r="M7" s="64"/>
    </row>
    <row r="8" spans="1:13" s="106" customFormat="1">
      <c r="A8" s="110" t="s">
        <v>530</v>
      </c>
      <c r="B8" s="111"/>
      <c r="C8" s="111"/>
      <c r="D8" s="112" t="s">
        <v>531</v>
      </c>
      <c r="E8" s="111"/>
      <c r="F8" s="113"/>
      <c r="G8" s="113"/>
      <c r="H8" s="110" t="s">
        <v>532</v>
      </c>
      <c r="I8" s="113"/>
      <c r="J8" s="112">
        <v>1</v>
      </c>
      <c r="K8" s="113"/>
      <c r="L8" s="113"/>
      <c r="M8" s="64"/>
    </row>
    <row r="9" spans="1:13" s="106" customFormat="1">
      <c r="A9" s="110" t="s">
        <v>533</v>
      </c>
      <c r="B9" s="111"/>
      <c r="C9" s="111"/>
      <c r="D9" s="112" t="s">
        <v>569</v>
      </c>
      <c r="E9" s="111"/>
      <c r="F9" s="113"/>
      <c r="G9" s="113"/>
      <c r="H9" s="110" t="s">
        <v>534</v>
      </c>
      <c r="I9" s="113"/>
      <c r="J9" s="112" t="s">
        <v>570</v>
      </c>
      <c r="K9" s="113"/>
      <c r="L9" s="113"/>
      <c r="M9" s="64"/>
    </row>
    <row r="10" spans="1:13" s="106" customFormat="1">
      <c r="A10" s="110" t="s">
        <v>535</v>
      </c>
      <c r="B10" s="111"/>
      <c r="C10" s="111"/>
      <c r="D10" s="114"/>
      <c r="E10" s="111"/>
      <c r="F10" s="113"/>
      <c r="G10" s="113"/>
      <c r="H10" s="110" t="s">
        <v>536</v>
      </c>
      <c r="I10" s="113"/>
      <c r="J10" s="112" t="s">
        <v>571</v>
      </c>
      <c r="K10" s="113"/>
      <c r="L10" s="113"/>
      <c r="M10" s="64"/>
    </row>
    <row r="11" spans="1:13" s="106" customFormat="1">
      <c r="A11" s="110"/>
      <c r="B11" s="111"/>
      <c r="C11" s="111"/>
      <c r="D11" s="111"/>
      <c r="E11" s="111"/>
      <c r="F11" s="113"/>
      <c r="G11" s="113"/>
      <c r="H11" s="110" t="s">
        <v>537</v>
      </c>
      <c r="I11" s="113"/>
      <c r="J11" s="112" t="s">
        <v>538</v>
      </c>
      <c r="K11" s="113"/>
      <c r="L11" s="113"/>
      <c r="M11" s="64"/>
    </row>
    <row r="12" spans="1:13" s="106" customFormat="1">
      <c r="A12" s="110"/>
      <c r="B12" s="111"/>
      <c r="C12" s="111"/>
      <c r="D12" s="111"/>
      <c r="E12" s="111"/>
      <c r="F12" s="113"/>
      <c r="G12" s="110"/>
      <c r="H12" s="113"/>
      <c r="I12" s="112"/>
      <c r="J12" s="115"/>
      <c r="K12" s="113"/>
      <c r="L12" s="113"/>
      <c r="M12" s="64"/>
    </row>
    <row r="13" spans="1:13" s="106" customFormat="1">
      <c r="A13" s="117" t="s">
        <v>539</v>
      </c>
      <c r="B13" s="104"/>
      <c r="C13" s="104"/>
      <c r="D13" s="104" t="s">
        <v>540</v>
      </c>
      <c r="E13" s="104"/>
      <c r="F13" s="117"/>
      <c r="G13" s="104"/>
      <c r="H13" s="118"/>
      <c r="I13" s="104"/>
      <c r="J13" s="116"/>
      <c r="K13" s="116"/>
      <c r="L13" s="116"/>
      <c r="M13" s="64"/>
    </row>
    <row r="14" spans="1:13" s="106" customFormat="1">
      <c r="A14" s="117" t="s">
        <v>541</v>
      </c>
      <c r="B14" s="104"/>
      <c r="C14" s="104"/>
      <c r="D14" s="104" t="s">
        <v>542</v>
      </c>
      <c r="E14" s="104"/>
      <c r="F14" s="117"/>
      <c r="G14" s="104"/>
      <c r="H14" s="118"/>
      <c r="I14" s="104"/>
      <c r="J14" s="116"/>
      <c r="K14" s="116"/>
      <c r="L14" s="116"/>
      <c r="M14" s="64"/>
    </row>
    <row r="15" spans="1:13" s="106" customFormat="1">
      <c r="A15" s="117"/>
      <c r="B15" s="104"/>
      <c r="C15" s="104"/>
      <c r="D15" s="104" t="s">
        <v>543</v>
      </c>
      <c r="E15" s="104"/>
      <c r="F15" s="117"/>
      <c r="G15" s="104"/>
      <c r="H15" s="118"/>
      <c r="I15" s="104"/>
      <c r="J15" s="116"/>
      <c r="K15" s="116"/>
      <c r="L15" s="116"/>
      <c r="M15" s="64"/>
    </row>
    <row r="16" spans="1:13" s="106" customFormat="1">
      <c r="A16" s="117"/>
      <c r="B16" s="104"/>
      <c r="C16" s="104"/>
      <c r="D16" s="104" t="s">
        <v>555</v>
      </c>
      <c r="E16" s="104"/>
      <c r="F16" s="117"/>
      <c r="G16" s="104"/>
      <c r="H16" s="118"/>
      <c r="I16" s="104"/>
      <c r="J16" s="116"/>
      <c r="K16" s="116"/>
      <c r="L16" s="116"/>
      <c r="M16" s="64"/>
    </row>
    <row r="17" spans="1:14" ht="13.5" customHeight="1">
      <c r="B17" s="28"/>
    </row>
    <row r="18" spans="1:14" ht="17.649999999999999">
      <c r="A18" s="85">
        <v>1</v>
      </c>
      <c r="B18" s="85" t="s">
        <v>35</v>
      </c>
      <c r="C18" s="86"/>
      <c r="D18" s="86"/>
      <c r="E18" s="86"/>
      <c r="F18" s="86"/>
      <c r="G18" s="86"/>
      <c r="H18" s="87"/>
      <c r="I18" s="101"/>
      <c r="J18" s="87"/>
      <c r="K18" s="87"/>
      <c r="L18" s="87"/>
    </row>
    <row r="19" spans="1:14" ht="18.399999999999999">
      <c r="A19" s="9"/>
      <c r="B19" s="1" t="s">
        <v>598</v>
      </c>
      <c r="C19" s="10"/>
      <c r="D19" s="10"/>
      <c r="E19" s="10"/>
      <c r="F19" s="10"/>
      <c r="G19" s="10"/>
      <c r="H19" t="s">
        <v>600</v>
      </c>
      <c r="I19" s="119" t="e">
        <f>MAX((ABS(MIN(#REF!))),(MAX(#REF!)))</f>
        <v>#REF!</v>
      </c>
      <c r="J19" s="1" t="s">
        <v>37</v>
      </c>
      <c r="K19" s="22" t="s">
        <v>618</v>
      </c>
    </row>
    <row r="20" spans="1:14" ht="18.399999999999999">
      <c r="A20" s="9"/>
      <c r="B20" s="1" t="s">
        <v>599</v>
      </c>
      <c r="C20" s="10"/>
      <c r="D20" s="10"/>
      <c r="E20" s="10"/>
      <c r="F20" s="10"/>
      <c r="G20" s="10"/>
      <c r="H20" s="129" t="s">
        <v>601</v>
      </c>
      <c r="I20" s="119">
        <v>40</v>
      </c>
      <c r="J20" t="s">
        <v>583</v>
      </c>
    </row>
    <row r="21" spans="1:14" ht="18.399999999999999">
      <c r="A21" s="9"/>
      <c r="B21" s="1" t="s">
        <v>588</v>
      </c>
      <c r="C21" s="10"/>
      <c r="D21" s="10"/>
      <c r="E21" s="10"/>
      <c r="F21" s="10"/>
      <c r="G21" s="10"/>
      <c r="H21" t="s">
        <v>591</v>
      </c>
      <c r="I21" s="119" t="e">
        <f>MAX((ABS(MIN(#REF!))),(MAX(#REF!)))</f>
        <v>#REF!</v>
      </c>
      <c r="K21" s="22" t="s">
        <v>618</v>
      </c>
    </row>
    <row r="22" spans="1:14" ht="18.399999999999999">
      <c r="A22" s="9"/>
      <c r="B22" s="1" t="s">
        <v>589</v>
      </c>
      <c r="C22" s="10"/>
      <c r="D22" s="10"/>
      <c r="E22" s="10"/>
      <c r="F22" s="10"/>
      <c r="G22" s="10"/>
      <c r="H22" s="129" t="s">
        <v>592</v>
      </c>
      <c r="I22" s="119">
        <v>34</v>
      </c>
      <c r="J22" t="s">
        <v>583</v>
      </c>
    </row>
    <row r="23" spans="1:14" ht="13.9" customHeight="1">
      <c r="A23" s="9"/>
      <c r="B23" s="1" t="s">
        <v>425</v>
      </c>
      <c r="C23" s="1"/>
      <c r="D23" s="1"/>
      <c r="E23" s="1"/>
      <c r="F23" s="1"/>
      <c r="G23" s="1"/>
      <c r="H23" s="127" t="s">
        <v>36</v>
      </c>
      <c r="I23" s="130" t="e">
        <f>(I19*COS(I20*(PI()/180)))+(I21*COS(I22*(PI()/180)))</f>
        <v>#REF!</v>
      </c>
      <c r="J23" s="1" t="s">
        <v>37</v>
      </c>
      <c r="K23" s="124"/>
      <c r="L23" s="126"/>
      <c r="M23" s="64" t="e">
        <f>I23*0.2248</f>
        <v>#REF!</v>
      </c>
      <c r="N23" t="s">
        <v>404</v>
      </c>
    </row>
    <row r="24" spans="1:14" ht="13.9" customHeight="1">
      <c r="A24" s="9"/>
      <c r="B24" s="1"/>
      <c r="C24" s="1"/>
      <c r="D24" s="1"/>
      <c r="E24" s="1"/>
      <c r="F24" s="1"/>
      <c r="G24" s="1"/>
      <c r="H24" s="127" t="s">
        <v>610</v>
      </c>
      <c r="I24" s="130" t="e">
        <f>(I19*SIN(I20*(PI()/180)))+(I21*SIN(I22*(PI()/180)))</f>
        <v>#REF!</v>
      </c>
      <c r="J24" s="1" t="s">
        <v>37</v>
      </c>
      <c r="K24" s="124"/>
      <c r="L24" s="126"/>
    </row>
    <row r="25" spans="1:14" ht="14.65">
      <c r="B25" s="1" t="s">
        <v>547</v>
      </c>
      <c r="H25" s="1" t="s">
        <v>39</v>
      </c>
      <c r="I25" s="120">
        <v>424</v>
      </c>
      <c r="J25" t="s">
        <v>2</v>
      </c>
      <c r="M25" s="64">
        <f>I25/25.4</f>
        <v>16.692913385826774</v>
      </c>
      <c r="N25" t="s">
        <v>403</v>
      </c>
    </row>
    <row r="26" spans="1:14" ht="15.4">
      <c r="B26" t="s">
        <v>546</v>
      </c>
      <c r="H26" s="63" t="s">
        <v>398</v>
      </c>
      <c r="I26" s="120">
        <v>5120</v>
      </c>
      <c r="J26" t="s">
        <v>2</v>
      </c>
      <c r="M26" s="64">
        <f>I26/25.4</f>
        <v>201.57480314960631</v>
      </c>
      <c r="N26" t="s">
        <v>403</v>
      </c>
    </row>
    <row r="27" spans="1:14" ht="15.4">
      <c r="B27" t="s">
        <v>545</v>
      </c>
      <c r="H27" s="63"/>
      <c r="I27" s="30"/>
    </row>
    <row r="28" spans="1:14">
      <c r="B28" s="126" t="s">
        <v>593</v>
      </c>
      <c r="G28" s="11" t="s">
        <v>557</v>
      </c>
      <c r="H28" t="s">
        <v>565</v>
      </c>
      <c r="I28" s="120">
        <v>323</v>
      </c>
      <c r="J28" t="s">
        <v>2</v>
      </c>
      <c r="K28" s="128" t="s">
        <v>606</v>
      </c>
      <c r="L28" s="59"/>
    </row>
    <row r="29" spans="1:14">
      <c r="B29" s="126" t="s">
        <v>607</v>
      </c>
      <c r="G29" s="11" t="s">
        <v>558</v>
      </c>
      <c r="H29" t="s">
        <v>564</v>
      </c>
      <c r="I29" s="120">
        <v>16</v>
      </c>
      <c r="J29" t="s">
        <v>2</v>
      </c>
    </row>
    <row r="30" spans="1:14">
      <c r="B30" s="126" t="s">
        <v>578</v>
      </c>
      <c r="G30" s="11" t="s">
        <v>559</v>
      </c>
      <c r="H30" s="126" t="s">
        <v>563</v>
      </c>
      <c r="I30" s="125">
        <f>I33*0.6*PI()*(I28^2-(I28-2*I29)^2)/4/1000</f>
        <v>3194.3211446876444</v>
      </c>
      <c r="J30" t="s">
        <v>37</v>
      </c>
      <c r="K30" s="124" t="e">
        <f>IF(I23&lt;I30,"Okay","Not Okay")</f>
        <v>#REF!</v>
      </c>
      <c r="L30" s="126" t="s">
        <v>566</v>
      </c>
    </row>
    <row r="31" spans="1:14" ht="17.649999999999999">
      <c r="A31" s="85">
        <v>2</v>
      </c>
      <c r="B31" s="85" t="s">
        <v>40</v>
      </c>
      <c r="C31" s="86"/>
      <c r="D31" s="85"/>
      <c r="E31" s="85"/>
      <c r="F31" s="87"/>
      <c r="G31" s="87"/>
      <c r="H31" s="87"/>
      <c r="I31" s="101"/>
      <c r="J31" s="87"/>
      <c r="K31" s="87"/>
      <c r="L31" s="87"/>
    </row>
    <row r="32" spans="1:14" ht="15.75">
      <c r="A32" s="86">
        <v>2.1</v>
      </c>
      <c r="B32" s="86" t="s">
        <v>41</v>
      </c>
      <c r="C32" s="86"/>
      <c r="D32" s="87"/>
      <c r="E32" s="87"/>
      <c r="F32" s="87"/>
      <c r="G32" s="87"/>
      <c r="H32" s="87"/>
      <c r="I32" s="101"/>
      <c r="J32" s="87"/>
      <c r="K32" s="87"/>
      <c r="L32" s="87"/>
    </row>
    <row r="33" spans="1:14" ht="16.5">
      <c r="B33" t="s">
        <v>42</v>
      </c>
      <c r="H33" t="s">
        <v>413</v>
      </c>
      <c r="I33" s="120">
        <v>345</v>
      </c>
      <c r="J33" t="s">
        <v>44</v>
      </c>
      <c r="M33" s="64">
        <f>I33/6.89</f>
        <v>50.072568940493468</v>
      </c>
      <c r="N33" t="s">
        <v>58</v>
      </c>
    </row>
    <row r="34" spans="1:14" ht="16.5">
      <c r="B34" t="s">
        <v>365</v>
      </c>
      <c r="H34" t="s">
        <v>414</v>
      </c>
      <c r="I34" s="120">
        <v>470</v>
      </c>
      <c r="J34" t="s">
        <v>46</v>
      </c>
      <c r="M34" s="64">
        <f>I34/6.89</f>
        <v>68.214804063860669</v>
      </c>
      <c r="N34" t="s">
        <v>58</v>
      </c>
    </row>
    <row r="35" spans="1:14" ht="15.75">
      <c r="B35" t="s">
        <v>47</v>
      </c>
      <c r="H35" s="1" t="s">
        <v>367</v>
      </c>
      <c r="I35" s="120">
        <v>300</v>
      </c>
      <c r="J35" t="s">
        <v>2</v>
      </c>
      <c r="K35" s="59" t="s">
        <v>577</v>
      </c>
      <c r="M35" s="64">
        <f t="shared" ref="M35:M42" si="0">I35/25.4</f>
        <v>11.811023622047244</v>
      </c>
      <c r="N35" t="s">
        <v>403</v>
      </c>
    </row>
    <row r="36" spans="1:14" ht="14.65">
      <c r="B36" t="s">
        <v>48</v>
      </c>
      <c r="H36" s="1" t="s">
        <v>380</v>
      </c>
      <c r="I36" s="120">
        <v>600</v>
      </c>
      <c r="J36" t="s">
        <v>2</v>
      </c>
      <c r="M36" s="64">
        <f t="shared" si="0"/>
        <v>23.622047244094489</v>
      </c>
      <c r="N36" t="s">
        <v>403</v>
      </c>
    </row>
    <row r="37" spans="1:14" ht="15.75">
      <c r="B37" s="1" t="s">
        <v>49</v>
      </c>
      <c r="H37" s="1" t="s">
        <v>368</v>
      </c>
      <c r="I37" s="120">
        <v>25</v>
      </c>
      <c r="J37" t="s">
        <v>2</v>
      </c>
      <c r="L37" s="60"/>
      <c r="M37" s="64">
        <f t="shared" si="0"/>
        <v>0.98425196850393704</v>
      </c>
      <c r="N37" t="s">
        <v>403</v>
      </c>
    </row>
    <row r="38" spans="1:14" ht="15.75">
      <c r="B38" s="1" t="s">
        <v>50</v>
      </c>
      <c r="H38" s="1" t="s">
        <v>369</v>
      </c>
      <c r="I38" s="120">
        <v>20</v>
      </c>
      <c r="J38" t="s">
        <v>2</v>
      </c>
      <c r="L38" s="60"/>
      <c r="M38" s="64">
        <f t="shared" si="0"/>
        <v>0.78740157480314965</v>
      </c>
      <c r="N38" t="s">
        <v>403</v>
      </c>
    </row>
    <row r="39" spans="1:14" ht="14.65">
      <c r="B39" s="1" t="s">
        <v>550</v>
      </c>
      <c r="H39" s="1" t="s">
        <v>553</v>
      </c>
      <c r="I39" s="74">
        <f>(((I35*I37^3/12)+((I35*I37)*((I36/2)-(I37/2))^2))*2+(I38*(I36-I37-I37)^3/12))/(10)^4</f>
        <v>151791.66666666669</v>
      </c>
      <c r="J39" t="s">
        <v>551</v>
      </c>
      <c r="K39" s="122"/>
    </row>
    <row r="40" spans="1:14" ht="14.65">
      <c r="B40" s="1" t="s">
        <v>552</v>
      </c>
      <c r="H40" s="1" t="s">
        <v>554</v>
      </c>
      <c r="I40" s="74">
        <f>(((I37*I35^3/12)*2)+((I36-(2*I37))*I38^3/12))/(10)^4</f>
        <v>11286.666666666668</v>
      </c>
      <c r="J40" t="s">
        <v>551</v>
      </c>
      <c r="K40" s="122"/>
    </row>
    <row r="41" spans="1:14" ht="14.65">
      <c r="B41" s="1" t="s">
        <v>556</v>
      </c>
      <c r="H41" s="1"/>
      <c r="I41" s="120">
        <v>14</v>
      </c>
      <c r="J41" t="s">
        <v>2</v>
      </c>
    </row>
    <row r="42" spans="1:14" ht="14.65">
      <c r="B42" s="1" t="s">
        <v>381</v>
      </c>
      <c r="H42" s="1" t="s">
        <v>93</v>
      </c>
      <c r="I42" s="30">
        <f>I41+I37</f>
        <v>39</v>
      </c>
      <c r="J42" t="s">
        <v>2</v>
      </c>
      <c r="M42" s="64">
        <f t="shared" si="0"/>
        <v>1.5354330708661419</v>
      </c>
      <c r="N42" t="s">
        <v>403</v>
      </c>
    </row>
    <row r="43" spans="1:14" ht="16.5">
      <c r="B43" s="1" t="s">
        <v>544</v>
      </c>
      <c r="H43" s="1" t="s">
        <v>51</v>
      </c>
      <c r="I43" s="61">
        <f>I39/(I36/20)</f>
        <v>5059.7222222222226</v>
      </c>
      <c r="J43" t="s">
        <v>52</v>
      </c>
    </row>
    <row r="44" spans="1:14" ht="14.65">
      <c r="B44" s="1" t="s">
        <v>394</v>
      </c>
      <c r="H44" s="1" t="s">
        <v>392</v>
      </c>
      <c r="I44" s="61">
        <f>I36-2*I37</f>
        <v>550</v>
      </c>
      <c r="J44" t="s">
        <v>2</v>
      </c>
      <c r="M44" s="64">
        <f t="shared" ref="M44:M45" si="1">I44/25.4</f>
        <v>21.653543307086615</v>
      </c>
      <c r="N44" t="s">
        <v>403</v>
      </c>
    </row>
    <row r="45" spans="1:14" ht="15.75">
      <c r="B45" s="31" t="s">
        <v>393</v>
      </c>
      <c r="H45" s="1" t="s">
        <v>391</v>
      </c>
      <c r="I45" s="2">
        <f>I36-2*I42</f>
        <v>522</v>
      </c>
      <c r="J45" t="s">
        <v>2</v>
      </c>
      <c r="M45" s="64">
        <f t="shared" si="1"/>
        <v>20.551181102362207</v>
      </c>
      <c r="N45" t="s">
        <v>403</v>
      </c>
    </row>
    <row r="46" spans="1:14" ht="14.65">
      <c r="B46" s="1"/>
      <c r="H46" s="1"/>
      <c r="I46" s="61"/>
    </row>
    <row r="47" spans="1:14" ht="18">
      <c r="A47" s="85">
        <v>3</v>
      </c>
      <c r="B47" s="85" t="s">
        <v>112</v>
      </c>
      <c r="C47" s="86"/>
      <c r="D47" s="85"/>
      <c r="E47" s="85"/>
      <c r="F47" s="87"/>
      <c r="G47" s="87"/>
      <c r="H47" s="102"/>
      <c r="I47" s="101"/>
      <c r="J47" s="87"/>
      <c r="K47" s="87"/>
      <c r="L47" s="87"/>
    </row>
    <row r="48" spans="1:14" ht="15.75">
      <c r="A48" s="86">
        <v>3.1</v>
      </c>
      <c r="B48" s="86" t="s">
        <v>59</v>
      </c>
      <c r="C48" s="86"/>
      <c r="D48" s="86"/>
      <c r="E48" s="86"/>
      <c r="F48" s="86"/>
      <c r="G48" s="87"/>
      <c r="H48" s="87"/>
      <c r="I48" s="101"/>
      <c r="J48" s="87"/>
      <c r="K48" s="87"/>
      <c r="L48" s="87"/>
    </row>
    <row r="50" spans="1:14" ht="13.9">
      <c r="B50" s="54" t="s">
        <v>370</v>
      </c>
      <c r="C50" s="121">
        <v>643</v>
      </c>
      <c r="D50" s="55" t="s">
        <v>548</v>
      </c>
      <c r="H50" s="11" t="s">
        <v>560</v>
      </c>
      <c r="I50" s="123">
        <v>457</v>
      </c>
      <c r="J50" t="s">
        <v>2</v>
      </c>
      <c r="M50" s="64">
        <f>C50/25.4</f>
        <v>25.314960629921263</v>
      </c>
      <c r="N50" t="s">
        <v>403</v>
      </c>
    </row>
    <row r="51" spans="1:14" ht="13.9">
      <c r="B51" s="54"/>
      <c r="C51" s="56"/>
      <c r="D51" s="55"/>
      <c r="H51" s="11" t="s">
        <v>561</v>
      </c>
      <c r="I51" s="123">
        <v>75</v>
      </c>
      <c r="J51" t="s">
        <v>2</v>
      </c>
    </row>
    <row r="52" spans="1:14" ht="16.899999999999999">
      <c r="B52" s="11" t="s">
        <v>372</v>
      </c>
      <c r="C52" t="s">
        <v>373</v>
      </c>
      <c r="D52" s="11" t="s">
        <v>374</v>
      </c>
      <c r="E52" t="s">
        <v>375</v>
      </c>
      <c r="H52" s="11" t="s">
        <v>562</v>
      </c>
      <c r="I52" s="60">
        <f>I25</f>
        <v>424</v>
      </c>
      <c r="J52" t="s">
        <v>2</v>
      </c>
      <c r="K52" s="60" t="s">
        <v>383</v>
      </c>
    </row>
    <row r="53" spans="1:14">
      <c r="B53" s="11"/>
      <c r="D53" s="11"/>
      <c r="K53" s="2"/>
    </row>
    <row r="54" spans="1:14" ht="16.899999999999999">
      <c r="B54" s="11" t="s">
        <v>376</v>
      </c>
      <c r="C54" t="s">
        <v>377</v>
      </c>
      <c r="D54" s="11" t="s">
        <v>374</v>
      </c>
      <c r="E54" t="s">
        <v>378</v>
      </c>
      <c r="K54" s="60" t="s">
        <v>384</v>
      </c>
    </row>
    <row r="55" spans="1:14">
      <c r="D55" s="11"/>
    </row>
    <row r="56" spans="1:14" ht="15">
      <c r="D56" s="11" t="s">
        <v>379</v>
      </c>
      <c r="E56" s="66">
        <f>IF(C50&gt;I36,I38*(I25+5*I42)*0.66*I33/1000,I38*(I25+2.5*I42)*0.66*I33/1000)</f>
        <v>2818.9259999999999</v>
      </c>
      <c r="F56" t="s">
        <v>37</v>
      </c>
      <c r="M56" s="64">
        <f>E56/4.448</f>
        <v>633.75134892086328</v>
      </c>
      <c r="N56" t="s">
        <v>404</v>
      </c>
    </row>
    <row r="57" spans="1:14" ht="16.5">
      <c r="D57" s="11" t="s">
        <v>382</v>
      </c>
      <c r="E57" s="80" t="e">
        <f>I23/E56</f>
        <v>#REF!</v>
      </c>
      <c r="G57" s="67" t="e">
        <f>IF(E57&lt;1,"a pair of stiffener is not required !","a pair of stiffeners is required !")</f>
        <v>#REF!</v>
      </c>
      <c r="H57" s="59"/>
    </row>
    <row r="58" spans="1:14">
      <c r="D58" s="12"/>
      <c r="I58" s="15"/>
    </row>
    <row r="59" spans="1:14" ht="15.75">
      <c r="A59" s="86">
        <v>3.2</v>
      </c>
      <c r="B59" s="86" t="s">
        <v>61</v>
      </c>
      <c r="C59" s="86"/>
      <c r="D59" s="86"/>
      <c r="E59" s="86"/>
      <c r="F59" s="86"/>
      <c r="G59" s="87"/>
      <c r="H59" s="87"/>
      <c r="I59" s="101"/>
      <c r="J59" s="87"/>
      <c r="K59" s="87"/>
      <c r="L59" s="87"/>
    </row>
    <row r="60" spans="1:14">
      <c r="D60" s="13"/>
    </row>
    <row r="61" spans="1:14" ht="16.899999999999999">
      <c r="B61" s="11" t="s">
        <v>372</v>
      </c>
      <c r="C61" t="s">
        <v>385</v>
      </c>
      <c r="D61" s="11" t="s">
        <v>374</v>
      </c>
      <c r="E61" t="s">
        <v>386</v>
      </c>
      <c r="I61"/>
      <c r="K61" t="s">
        <v>390</v>
      </c>
    </row>
    <row r="62" spans="1:14">
      <c r="B62" s="11"/>
      <c r="D62" s="11"/>
      <c r="I62"/>
    </row>
    <row r="63" spans="1:14" ht="16.899999999999999">
      <c r="B63" s="11" t="s">
        <v>376</v>
      </c>
      <c r="C63" t="s">
        <v>387</v>
      </c>
      <c r="D63" s="11" t="s">
        <v>374</v>
      </c>
      <c r="E63" t="s">
        <v>388</v>
      </c>
      <c r="I63"/>
      <c r="K63" t="s">
        <v>389</v>
      </c>
    </row>
    <row r="64" spans="1:14">
      <c r="D64" s="13"/>
    </row>
    <row r="65" spans="1:14" ht="15">
      <c r="D65" s="11" t="s">
        <v>379</v>
      </c>
      <c r="E65" s="66">
        <f>IF(M50&gt;0.5*M36,67.5*M38^2*(1+3*(M25/M36)*(M38/M37)^1.5)*(M33*M37/M38)^0.5*4.448,34*M38^2*(1+3*(M25/M36)*(M38/M37)^1.5)*(M33*M37/M38)^0.5*4.448)</f>
        <v>3706.7251502418135</v>
      </c>
      <c r="F65" t="s">
        <v>37</v>
      </c>
      <c r="M65" s="64">
        <f>E65/4.448</f>
        <v>833.34648161911264</v>
      </c>
      <c r="N65" t="s">
        <v>404</v>
      </c>
    </row>
    <row r="66" spans="1:14" ht="16.5">
      <c r="D66" s="11" t="s">
        <v>382</v>
      </c>
      <c r="E66" s="80" t="e">
        <f>I23/E65</f>
        <v>#REF!</v>
      </c>
      <c r="G66" s="67" t="e">
        <f>IF(E66&lt;1,"a pair of stiffener is not required !","a pair of stiffeners is required !")</f>
        <v>#REF!</v>
      </c>
    </row>
    <row r="67" spans="1:14">
      <c r="D67" s="13"/>
    </row>
    <row r="68" spans="1:14" ht="15.75">
      <c r="A68" s="86">
        <v>3.3</v>
      </c>
      <c r="B68" s="86" t="s">
        <v>62</v>
      </c>
      <c r="C68" s="86"/>
      <c r="D68" s="86"/>
      <c r="E68" s="86"/>
      <c r="F68" s="86"/>
      <c r="G68" s="87"/>
      <c r="H68" s="87"/>
      <c r="I68" s="101"/>
      <c r="J68" s="87"/>
      <c r="K68" s="87"/>
      <c r="L68" s="87"/>
    </row>
    <row r="69" spans="1:14" ht="15" customHeight="1">
      <c r="D69" s="13"/>
      <c r="I69" s="15"/>
    </row>
    <row r="70" spans="1:14" ht="15" customHeight="1">
      <c r="B70" s="54" t="s">
        <v>372</v>
      </c>
      <c r="C70" s="57" t="s">
        <v>395</v>
      </c>
      <c r="D70" s="57"/>
      <c r="E70" s="57"/>
      <c r="F70" s="57"/>
      <c r="I70" s="15"/>
    </row>
    <row r="71" spans="1:14" ht="15" customHeight="1">
      <c r="D71" s="13"/>
      <c r="I71" s="15"/>
    </row>
    <row r="72" spans="1:14" ht="15" customHeight="1">
      <c r="C72" s="57"/>
      <c r="D72" s="54" t="s">
        <v>402</v>
      </c>
      <c r="E72" s="16">
        <f>(I45/I38)/(I26/I35)</f>
        <v>1.529296875</v>
      </c>
      <c r="F72" s="2" t="str">
        <f>IF(E72&gt;G72,"&gt;","&lt;")</f>
        <v>&lt;</v>
      </c>
      <c r="G72" s="2">
        <v>2.2999999999999998</v>
      </c>
      <c r="I72" s="15"/>
    </row>
    <row r="73" spans="1:14" ht="15" customHeight="1">
      <c r="D73" s="13"/>
      <c r="I73" s="15"/>
    </row>
    <row r="74" spans="1:14" ht="15" customHeight="1">
      <c r="D74" s="54" t="s">
        <v>374</v>
      </c>
      <c r="E74" s="192" t="s">
        <v>396</v>
      </c>
      <c r="F74" s="193"/>
      <c r="G74" s="193"/>
      <c r="H74" s="193"/>
      <c r="I74" s="62"/>
      <c r="K74" t="s">
        <v>400</v>
      </c>
    </row>
    <row r="75" spans="1:14">
      <c r="E75" s="13"/>
      <c r="I75"/>
    </row>
    <row r="76" spans="1:14" ht="15">
      <c r="D76" s="54" t="s">
        <v>374</v>
      </c>
      <c r="E76" s="194">
        <f>IF(E72&lt;2.3,6800*M38^3*(1+0.4*E72^3)/M44*4.448,"( need not be checked !)")</f>
        <v>1657.5138170076982</v>
      </c>
      <c r="F76" s="194"/>
      <c r="I76"/>
      <c r="M76" s="79">
        <f>IF(E76="( need not be checked !)",0.0001,E76/4.448)</f>
        <v>372.64249483086735</v>
      </c>
      <c r="N76" t="s">
        <v>404</v>
      </c>
    </row>
    <row r="77" spans="1:14" ht="16.5">
      <c r="D77" s="11" t="s">
        <v>382</v>
      </c>
      <c r="E77" s="80" t="e">
        <f>IF(E76="( need not be checked !)","N/A",I23/E76)</f>
        <v>#REF!</v>
      </c>
      <c r="G77" s="67" t="e">
        <f>IF(E72&gt;2.3,"a pair of stiffener is not required !",IF(E76&gt;I23,"a pair of stiffener is not required !","a pair of stiffeners is required !"))</f>
        <v>#REF!</v>
      </c>
      <c r="I77" s="15"/>
    </row>
    <row r="78" spans="1:14">
      <c r="D78" s="13"/>
      <c r="I78" s="15"/>
    </row>
    <row r="79" spans="1:14">
      <c r="D79" s="13"/>
      <c r="I79" s="15"/>
    </row>
    <row r="80" spans="1:14" ht="15.4">
      <c r="B80" s="54" t="s">
        <v>376</v>
      </c>
      <c r="C80" s="57" t="s">
        <v>397</v>
      </c>
      <c r="D80" s="13"/>
      <c r="I80" s="15"/>
    </row>
    <row r="81" spans="1:17">
      <c r="D81" s="13"/>
      <c r="I81" s="15"/>
    </row>
    <row r="82" spans="1:17" ht="15.4">
      <c r="C82" s="57"/>
      <c r="D82" s="54" t="s">
        <v>402</v>
      </c>
      <c r="E82" s="16">
        <f>(I45/I38)/(I26/I35)</f>
        <v>1.529296875</v>
      </c>
      <c r="F82" s="2" t="str">
        <f>IF(E82&gt;G82,"&gt;","&lt;")</f>
        <v>&lt;</v>
      </c>
      <c r="G82" s="2">
        <v>1.7</v>
      </c>
      <c r="I82" s="15"/>
    </row>
    <row r="83" spans="1:17">
      <c r="D83" s="13"/>
      <c r="I83" s="15"/>
    </row>
    <row r="84" spans="1:17" ht="17.25">
      <c r="D84" s="54" t="s">
        <v>374</v>
      </c>
      <c r="E84" s="55" t="s">
        <v>399</v>
      </c>
      <c r="F84" s="55"/>
      <c r="G84" s="55"/>
      <c r="H84" s="60"/>
      <c r="I84" s="60"/>
      <c r="K84" t="s">
        <v>401</v>
      </c>
    </row>
    <row r="85" spans="1:17">
      <c r="D85" s="13"/>
      <c r="I85" s="15"/>
    </row>
    <row r="86" spans="1:17" ht="15">
      <c r="D86" s="54" t="s">
        <v>374</v>
      </c>
      <c r="E86" s="194">
        <f>IF(E82&lt;1.7,6800*M38^3*(0.4*E82^3)/M44*4.448,"( need not be checked !)")</f>
        <v>975.59361680366123</v>
      </c>
      <c r="F86" s="194"/>
      <c r="I86" s="15"/>
      <c r="M86" s="79">
        <f>IF(E86="( need not be checked !)",0.0001,E86/4.448)</f>
        <v>219.33309730298137</v>
      </c>
      <c r="N86" t="s">
        <v>404</v>
      </c>
    </row>
    <row r="87" spans="1:17" ht="16.5">
      <c r="D87" s="11" t="s">
        <v>382</v>
      </c>
      <c r="E87" s="80" t="e">
        <f>IF(E86="( need not be checked !)","N/A",I23/E86)</f>
        <v>#REF!</v>
      </c>
      <c r="G87" s="67" t="e">
        <f>IF(E82&gt;1.7,"a pair of stiffener is not required !",IF(E86&gt;I23,"a pair of stiffener is not required !","a pair of stiffeners is required !"))</f>
        <v>#REF!</v>
      </c>
      <c r="I87" s="15"/>
    </row>
    <row r="88" spans="1:17">
      <c r="D88" s="13"/>
      <c r="I88" s="15"/>
    </row>
    <row r="89" spans="1:17" ht="15.75">
      <c r="A89" s="86">
        <v>3.4</v>
      </c>
      <c r="B89" s="86" t="s">
        <v>405</v>
      </c>
      <c r="C89" s="87"/>
      <c r="D89" s="88"/>
      <c r="E89" s="87"/>
      <c r="F89" s="87"/>
      <c r="G89" s="87"/>
      <c r="H89" s="87"/>
      <c r="I89" s="103"/>
      <c r="J89" s="87"/>
      <c r="K89" s="87"/>
      <c r="L89" s="87"/>
    </row>
    <row r="90" spans="1:17">
      <c r="D90" s="13"/>
      <c r="I90" s="15"/>
    </row>
    <row r="91" spans="1:17" ht="16.899999999999999">
      <c r="D91" s="54" t="s">
        <v>406</v>
      </c>
      <c r="E91" s="55" t="s">
        <v>407</v>
      </c>
      <c r="I91"/>
      <c r="K91" t="s">
        <v>409</v>
      </c>
      <c r="M91" s="109"/>
      <c r="N91" s="64"/>
      <c r="Q91" s="66"/>
    </row>
    <row r="92" spans="1:17" ht="13.9">
      <c r="D92" s="57"/>
      <c r="E92" s="65"/>
      <c r="I92"/>
      <c r="J92" s="15"/>
      <c r="M92" s="109"/>
      <c r="N92" s="64"/>
    </row>
    <row r="93" spans="1:17" ht="15.4">
      <c r="D93" s="54" t="s">
        <v>374</v>
      </c>
      <c r="E93" s="55" t="s">
        <v>408</v>
      </c>
      <c r="I93"/>
      <c r="J93" s="15"/>
      <c r="M93" s="109"/>
      <c r="N93" s="64"/>
    </row>
    <row r="94" spans="1:17">
      <c r="E94" s="13"/>
      <c r="I94"/>
      <c r="J94" s="15"/>
      <c r="M94" s="109"/>
      <c r="N94" s="64"/>
    </row>
    <row r="95" spans="1:17" ht="15">
      <c r="D95" s="54" t="s">
        <v>374</v>
      </c>
      <c r="E95" s="195">
        <f>0.6*4100*M38^3*M33^0.5/M45*4.448</f>
        <v>1839.2970445621377</v>
      </c>
      <c r="F95" s="195"/>
      <c r="I95"/>
      <c r="J95" s="15"/>
      <c r="M95" s="79">
        <f>IF(E95="( need not be checked !)",0.0001,E95/4.448)</f>
        <v>413.51102620551654</v>
      </c>
      <c r="N95" t="s">
        <v>404</v>
      </c>
    </row>
    <row r="96" spans="1:17" ht="16.5">
      <c r="D96" s="11" t="s">
        <v>382</v>
      </c>
      <c r="E96" s="80" t="e">
        <f>I23/E95</f>
        <v>#REF!</v>
      </c>
      <c r="G96" s="67" t="e">
        <f>IF(E96&lt;1,"a pair of stiffener is not required !","a pair of stiffeners is required !")</f>
        <v>#REF!</v>
      </c>
      <c r="I96"/>
      <c r="J96" s="15"/>
      <c r="M96" s="109"/>
      <c r="N96" s="64"/>
    </row>
    <row r="97" spans="1:14">
      <c r="D97" s="13"/>
      <c r="I97" s="15"/>
    </row>
    <row r="98" spans="1:14" ht="15.75">
      <c r="A98" s="86">
        <v>3.4</v>
      </c>
      <c r="B98" s="86" t="s">
        <v>410</v>
      </c>
      <c r="C98" s="87"/>
      <c r="D98" s="88"/>
      <c r="E98" s="87"/>
      <c r="F98" s="87"/>
      <c r="G98" s="87"/>
      <c r="H98" s="87"/>
      <c r="I98" s="103"/>
      <c r="J98" s="87"/>
      <c r="K98" s="87"/>
      <c r="L98" s="87"/>
    </row>
    <row r="99" spans="1:14">
      <c r="D99" s="13"/>
      <c r="I99" s="15"/>
    </row>
    <row r="100" spans="1:14" ht="16.899999999999999">
      <c r="D100" s="54" t="s">
        <v>411</v>
      </c>
      <c r="E100" s="57" t="s">
        <v>412</v>
      </c>
      <c r="F100" s="57"/>
      <c r="I100" s="15"/>
      <c r="K100" t="s">
        <v>419</v>
      </c>
    </row>
    <row r="101" spans="1:14" ht="15">
      <c r="D101" s="54" t="s">
        <v>417</v>
      </c>
      <c r="E101" s="54" t="s">
        <v>418</v>
      </c>
      <c r="I101" s="15"/>
    </row>
    <row r="102" spans="1:14">
      <c r="I102" s="15"/>
    </row>
    <row r="103" spans="1:14" ht="16.899999999999999">
      <c r="D103" s="54" t="s">
        <v>411</v>
      </c>
      <c r="E103" s="68" t="e">
        <f>(5/3*M23-M33*M38*(M37+5*M42))/M109*25.4^2</f>
        <v>#REF!</v>
      </c>
      <c r="F103" t="s">
        <v>65</v>
      </c>
      <c r="G103" s="67" t="e">
        <f>IF(E103&lt;0,"a pair of stiffener is not required !","a pair of stiffeners is required !")</f>
        <v>#REF!</v>
      </c>
      <c r="I103" s="15"/>
      <c r="M103" s="64" t="e">
        <f>E103/25.4^2</f>
        <v>#REF!</v>
      </c>
      <c r="N103" t="s">
        <v>448</v>
      </c>
    </row>
    <row r="104" spans="1:14">
      <c r="I104" s="15"/>
    </row>
    <row r="105" spans="1:14">
      <c r="I105" s="15"/>
    </row>
    <row r="106" spans="1:14" ht="17.649999999999999">
      <c r="A106" s="85">
        <v>4</v>
      </c>
      <c r="B106" s="85" t="s">
        <v>423</v>
      </c>
      <c r="C106" s="87"/>
      <c r="D106" s="87"/>
      <c r="E106" s="87"/>
      <c r="F106" s="87"/>
      <c r="G106" s="87"/>
      <c r="H106" s="87"/>
      <c r="I106" s="103"/>
      <c r="J106" s="87"/>
      <c r="K106" s="87"/>
      <c r="L106" s="87"/>
    </row>
    <row r="107" spans="1:14" ht="15.75">
      <c r="A107" s="87"/>
      <c r="B107" s="86" t="s">
        <v>424</v>
      </c>
      <c r="C107" s="87"/>
      <c r="D107" s="88"/>
      <c r="E107" s="87"/>
      <c r="F107" s="87"/>
      <c r="G107" s="87"/>
      <c r="H107" s="87"/>
      <c r="I107" s="103"/>
      <c r="J107" s="87"/>
      <c r="K107" s="87"/>
      <c r="L107" s="87"/>
    </row>
    <row r="108" spans="1:14" ht="15.75">
      <c r="A108" s="86">
        <v>4.0999999999999996</v>
      </c>
      <c r="B108" s="86" t="s">
        <v>54</v>
      </c>
      <c r="C108" s="87"/>
      <c r="D108" s="88"/>
      <c r="E108" s="87"/>
      <c r="F108" s="87"/>
      <c r="G108" s="87"/>
      <c r="H108" s="87"/>
      <c r="I108" s="103"/>
      <c r="J108" s="87"/>
      <c r="K108" s="87"/>
      <c r="L108" s="87"/>
    </row>
    <row r="109" spans="1:14" ht="16.5">
      <c r="B109" t="s">
        <v>55</v>
      </c>
      <c r="H109" t="s">
        <v>415</v>
      </c>
      <c r="I109" s="3">
        <v>345</v>
      </c>
      <c r="J109" t="s">
        <v>44</v>
      </c>
      <c r="M109" s="64">
        <f t="shared" ref="M109:M111" si="2">I109/6.89</f>
        <v>50.072568940493468</v>
      </c>
      <c r="N109" t="s">
        <v>58</v>
      </c>
    </row>
    <row r="110" spans="1:14" ht="16.5">
      <c r="B110" t="s">
        <v>365</v>
      </c>
      <c r="H110" t="s">
        <v>416</v>
      </c>
      <c r="I110" s="3">
        <v>470</v>
      </c>
      <c r="J110" t="s">
        <v>46</v>
      </c>
      <c r="M110" s="64">
        <f t="shared" si="2"/>
        <v>68.214804063860669</v>
      </c>
      <c r="N110" t="s">
        <v>58</v>
      </c>
    </row>
    <row r="111" spans="1:14" ht="16.5">
      <c r="B111" t="s">
        <v>508</v>
      </c>
      <c r="H111" t="s">
        <v>465</v>
      </c>
      <c r="I111" s="3">
        <v>210000</v>
      </c>
      <c r="J111" t="s">
        <v>46</v>
      </c>
      <c r="M111" s="64">
        <f t="shared" si="2"/>
        <v>30478.955007256896</v>
      </c>
      <c r="N111" t="s">
        <v>58</v>
      </c>
    </row>
    <row r="112" spans="1:14" ht="16.5">
      <c r="B112" t="s">
        <v>509</v>
      </c>
      <c r="H112" s="60" t="s">
        <v>449</v>
      </c>
      <c r="I112" s="30">
        <f>25*I38</f>
        <v>500</v>
      </c>
      <c r="J112" t="s">
        <v>2</v>
      </c>
      <c r="M112" s="64">
        <f>I112/25.4</f>
        <v>19.685039370078741</v>
      </c>
      <c r="N112" t="s">
        <v>403</v>
      </c>
    </row>
    <row r="113" spans="1:14" ht="16.5">
      <c r="B113" t="s">
        <v>507</v>
      </c>
      <c r="D113" s="13"/>
      <c r="H113" t="s">
        <v>510</v>
      </c>
      <c r="I113" s="2">
        <f>CEILING(((I35-I38)/2)-25,1)</f>
        <v>115</v>
      </c>
      <c r="J113" t="s">
        <v>2</v>
      </c>
      <c r="M113" s="64">
        <f t="shared" ref="M113:M114" si="3">I113/25.4</f>
        <v>4.5275590551181102</v>
      </c>
      <c r="N113" t="s">
        <v>403</v>
      </c>
    </row>
    <row r="114" spans="1:14" ht="16.5">
      <c r="D114" s="13"/>
      <c r="H114" t="s">
        <v>511</v>
      </c>
      <c r="I114" s="30">
        <f>CEILING(((I35-I38)/2)-25,1)</f>
        <v>115</v>
      </c>
      <c r="J114" t="s">
        <v>2</v>
      </c>
      <c r="M114" s="64">
        <f t="shared" si="3"/>
        <v>4.5275590551181102</v>
      </c>
      <c r="N114" t="s">
        <v>403</v>
      </c>
    </row>
    <row r="115" spans="1:14">
      <c r="D115" s="13"/>
      <c r="I115" s="15"/>
    </row>
    <row r="116" spans="1:14" ht="13.9">
      <c r="B116" s="57"/>
      <c r="C116" s="57"/>
      <c r="D116" s="70"/>
      <c r="E116" s="57"/>
      <c r="I116" s="15"/>
    </row>
    <row r="117" spans="1:14" ht="15">
      <c r="B117" s="57"/>
      <c r="C117" s="65" t="s">
        <v>428</v>
      </c>
      <c r="D117" s="57"/>
      <c r="E117" s="54"/>
      <c r="I117" s="15"/>
    </row>
    <row r="118" spans="1:14" ht="13.9">
      <c r="B118" s="54" t="s">
        <v>429</v>
      </c>
      <c r="D118" s="71"/>
      <c r="E118" s="65"/>
      <c r="I118" s="15"/>
    </row>
    <row r="119" spans="1:14" ht="13.9">
      <c r="C119" s="57"/>
      <c r="D119" s="54"/>
      <c r="E119" s="57"/>
      <c r="I119" s="15"/>
    </row>
    <row r="120" spans="1:14" ht="13.9">
      <c r="B120" s="57"/>
      <c r="C120" s="57"/>
      <c r="D120" s="71"/>
      <c r="E120" s="54"/>
      <c r="I120" s="15"/>
    </row>
    <row r="121" spans="1:14" ht="13.9">
      <c r="A121" s="57"/>
      <c r="C121" s="57"/>
      <c r="D121" s="70"/>
      <c r="E121" s="196" t="s">
        <v>431</v>
      </c>
      <c r="I121" s="15"/>
    </row>
    <row r="122" spans="1:14" ht="13.9">
      <c r="B122" s="57"/>
      <c r="C122" s="57"/>
      <c r="D122" s="54"/>
      <c r="E122" s="197"/>
      <c r="I122" s="15"/>
    </row>
    <row r="123" spans="1:14" ht="13.9">
      <c r="B123" s="57"/>
      <c r="C123" s="57"/>
      <c r="D123" s="57"/>
      <c r="E123" s="57"/>
      <c r="I123" s="15"/>
    </row>
    <row r="124" spans="1:14" ht="13.9">
      <c r="B124" s="55"/>
      <c r="D124" s="72"/>
      <c r="E124" s="57"/>
      <c r="I124" s="15"/>
    </row>
    <row r="125" spans="1:14" ht="13.9">
      <c r="B125" s="57"/>
      <c r="C125" s="57"/>
      <c r="D125" s="57"/>
      <c r="E125" s="57"/>
      <c r="I125" s="15"/>
    </row>
    <row r="126" spans="1:14" ht="13.9">
      <c r="B126" s="57"/>
      <c r="C126" s="54"/>
      <c r="D126" s="56"/>
      <c r="E126" s="57"/>
      <c r="I126" s="15"/>
    </row>
    <row r="127" spans="1:14" ht="13.9">
      <c r="C127" s="54"/>
      <c r="D127" s="56"/>
      <c r="E127" s="55"/>
      <c r="I127" s="15"/>
    </row>
    <row r="128" spans="1:14" ht="15" customHeight="1">
      <c r="B128" s="57"/>
      <c r="C128" s="55" t="s">
        <v>433</v>
      </c>
      <c r="D128" s="73"/>
      <c r="E128" s="55"/>
      <c r="I128" s="15"/>
    </row>
    <row r="129" spans="1:14" ht="15.75">
      <c r="A129" s="86">
        <v>4.2</v>
      </c>
      <c r="B129" s="86" t="s">
        <v>434</v>
      </c>
      <c r="C129" s="87"/>
      <c r="D129" s="87"/>
      <c r="E129" s="87"/>
      <c r="F129" s="87"/>
      <c r="G129" s="87"/>
      <c r="H129" s="87"/>
      <c r="I129" s="103"/>
      <c r="J129" s="87"/>
      <c r="K129" s="87"/>
      <c r="L129" s="87"/>
    </row>
    <row r="130" spans="1:14" ht="16.5">
      <c r="C130" s="11" t="s">
        <v>435</v>
      </c>
      <c r="D130" t="s">
        <v>436</v>
      </c>
      <c r="I130"/>
      <c r="J130" s="15"/>
      <c r="M130" s="109"/>
      <c r="N130" s="64"/>
    </row>
    <row r="131" spans="1:14">
      <c r="C131" s="11" t="s">
        <v>437</v>
      </c>
      <c r="D131" s="2">
        <f>I35/3-I38/2</f>
        <v>90</v>
      </c>
      <c r="E131" t="s">
        <v>2</v>
      </c>
      <c r="F131" t="s">
        <v>440</v>
      </c>
      <c r="I131"/>
      <c r="J131" s="15"/>
      <c r="M131" s="109"/>
      <c r="N131" s="64"/>
    </row>
    <row r="132" spans="1:14" ht="16.5">
      <c r="C132" s="11" t="s">
        <v>427</v>
      </c>
      <c r="D132" t="s">
        <v>439</v>
      </c>
      <c r="E132" s="13"/>
      <c r="I132"/>
      <c r="J132" s="15"/>
      <c r="M132" s="109"/>
      <c r="N132" s="64"/>
    </row>
    <row r="133" spans="1:14">
      <c r="C133" s="11" t="s">
        <v>437</v>
      </c>
      <c r="D133" s="107">
        <f>(I35-I38)/2-25.4</f>
        <v>114.6</v>
      </c>
      <c r="E133" t="s">
        <v>2</v>
      </c>
      <c r="F133" s="12" t="str">
        <f>IF(D133&gt;D131,"OK","NOT OK")</f>
        <v>OK</v>
      </c>
      <c r="I133"/>
      <c r="J133" s="15"/>
      <c r="M133" s="64">
        <f>D133/25.4</f>
        <v>4.5118110236220472</v>
      </c>
      <c r="N133" t="s">
        <v>403</v>
      </c>
    </row>
    <row r="134" spans="1:14">
      <c r="C134" s="11"/>
      <c r="D134" s="2"/>
      <c r="E134" s="13"/>
      <c r="I134"/>
      <c r="J134" s="15"/>
    </row>
    <row r="135" spans="1:14" ht="15.75">
      <c r="A135" s="86">
        <v>4.3</v>
      </c>
      <c r="B135" s="86" t="s">
        <v>447</v>
      </c>
      <c r="C135" s="87"/>
      <c r="D135" s="88"/>
      <c r="E135" s="87"/>
      <c r="F135" s="87"/>
      <c r="G135" s="87"/>
      <c r="H135" s="87"/>
      <c r="I135" s="103"/>
      <c r="J135" s="87"/>
      <c r="K135" s="87"/>
      <c r="L135" s="87"/>
      <c r="M135" s="109"/>
    </row>
    <row r="136" spans="1:14" ht="14.65">
      <c r="B136" s="1" t="s">
        <v>438</v>
      </c>
      <c r="E136" s="13"/>
      <c r="I136"/>
      <c r="J136" s="15"/>
    </row>
    <row r="137" spans="1:14" ht="16.899999999999999">
      <c r="C137" s="11" t="s">
        <v>442</v>
      </c>
      <c r="D137" t="s">
        <v>426</v>
      </c>
      <c r="E137" s="13"/>
      <c r="I137"/>
      <c r="K137" t="s">
        <v>445</v>
      </c>
      <c r="M137" s="109"/>
    </row>
    <row r="138" spans="1:14" ht="16.899999999999999">
      <c r="C138" s="11" t="s">
        <v>443</v>
      </c>
      <c r="D138" t="s">
        <v>441</v>
      </c>
      <c r="E138" s="13"/>
      <c r="I138"/>
      <c r="J138" s="15"/>
    </row>
    <row r="139" spans="1:14">
      <c r="C139" s="11" t="s">
        <v>437</v>
      </c>
      <c r="D139" s="74">
        <f>M133/(95/M109^0.5)*25.4</f>
        <v>8.5361285931073212</v>
      </c>
      <c r="E139" s="17" t="s">
        <v>2</v>
      </c>
      <c r="F139" t="s">
        <v>440</v>
      </c>
      <c r="I139"/>
      <c r="J139" s="15"/>
    </row>
    <row r="140" spans="1:14" ht="16.5">
      <c r="C140" s="11" t="s">
        <v>444</v>
      </c>
      <c r="D140" s="108">
        <v>16</v>
      </c>
      <c r="E140" s="17" t="s">
        <v>2</v>
      </c>
      <c r="F140" s="12" t="str">
        <f>IF(D140&gt;D139,"OK","NOT OK")</f>
        <v>OK</v>
      </c>
      <c r="I140"/>
      <c r="J140" s="15"/>
      <c r="M140" s="64">
        <f>D140/25.4</f>
        <v>0.62992125984251968</v>
      </c>
      <c r="N140" t="s">
        <v>403</v>
      </c>
    </row>
    <row r="141" spans="1:14">
      <c r="E141" s="13"/>
      <c r="I141"/>
      <c r="J141" s="15"/>
    </row>
    <row r="142" spans="1:14" ht="15.75">
      <c r="A142" s="86">
        <v>4.4000000000000004</v>
      </c>
      <c r="B142" s="86" t="s">
        <v>446</v>
      </c>
      <c r="C142" s="87"/>
      <c r="D142" s="88"/>
      <c r="E142" s="87"/>
      <c r="F142" s="87"/>
      <c r="G142" s="87"/>
      <c r="H142" s="87"/>
      <c r="I142" s="103"/>
      <c r="J142" s="87"/>
      <c r="K142" s="87"/>
      <c r="L142" s="87"/>
      <c r="M142" s="109"/>
    </row>
    <row r="143" spans="1:14" ht="12" customHeight="1">
      <c r="D143" s="13"/>
      <c r="M143" s="109"/>
    </row>
    <row r="144" spans="1:14" ht="27">
      <c r="B144" s="95" t="s">
        <v>500</v>
      </c>
      <c r="C144" s="96" t="s">
        <v>505</v>
      </c>
      <c r="D144" s="96" t="s">
        <v>506</v>
      </c>
      <c r="E144" s="95" t="s">
        <v>514</v>
      </c>
      <c r="F144" s="95" t="s">
        <v>512</v>
      </c>
      <c r="G144" s="96" t="s">
        <v>515</v>
      </c>
      <c r="H144" s="95" t="s">
        <v>513</v>
      </c>
      <c r="I144" s="96" t="s">
        <v>516</v>
      </c>
      <c r="J144" s="95" t="s">
        <v>517</v>
      </c>
      <c r="K144" s="95" t="s">
        <v>518</v>
      </c>
      <c r="M144" s="109"/>
    </row>
    <row r="145" spans="1:14" ht="16.5">
      <c r="B145" s="91" t="s">
        <v>504</v>
      </c>
      <c r="C145" s="50">
        <f>I38</f>
        <v>20</v>
      </c>
      <c r="D145" s="92">
        <f>I112</f>
        <v>500</v>
      </c>
      <c r="E145" s="92">
        <f>C145*D145</f>
        <v>10000</v>
      </c>
      <c r="F145" s="92">
        <v>0</v>
      </c>
      <c r="G145" s="93">
        <f>E145*F145^2</f>
        <v>0</v>
      </c>
      <c r="H145" s="92">
        <v>0</v>
      </c>
      <c r="I145" s="93">
        <f>E145*H145^2</f>
        <v>0</v>
      </c>
      <c r="J145" s="93">
        <f>G145+1/12*C145*D145^3</f>
        <v>208333333.33333331</v>
      </c>
      <c r="K145" s="93">
        <f>I145+1/12*D145*C145^3</f>
        <v>333333.33333333331</v>
      </c>
      <c r="L145" s="90"/>
      <c r="M145" s="109"/>
    </row>
    <row r="146" spans="1:14">
      <c r="B146" s="91" t="s">
        <v>501</v>
      </c>
      <c r="C146" s="50">
        <f>IF(I113=0,0,D140)</f>
        <v>16</v>
      </c>
      <c r="D146" s="94">
        <f>IF(C146=0,0,D133)</f>
        <v>114.6</v>
      </c>
      <c r="E146" s="94">
        <f>2*C146*D146</f>
        <v>3667.2</v>
      </c>
      <c r="F146" s="92">
        <f>I113</f>
        <v>115</v>
      </c>
      <c r="G146" s="93">
        <f t="shared" ref="G146:G148" si="4">E146*F146^2</f>
        <v>48498720</v>
      </c>
      <c r="H146" s="92">
        <f>IF(C146=0,0,D146/2+C145/2)</f>
        <v>67.3</v>
      </c>
      <c r="I146" s="93">
        <f t="shared" ref="I146:I148" si="5">E146*H146^2</f>
        <v>16609812.287999999</v>
      </c>
      <c r="J146" s="93">
        <f>G146+2*(1/12*D146*C146^3)</f>
        <v>48576953.600000001</v>
      </c>
      <c r="K146" s="93">
        <f>I146+2*(1/12*C146*D146^3)</f>
        <v>20623305.983999997</v>
      </c>
      <c r="L146" s="90"/>
      <c r="M146" s="109"/>
    </row>
    <row r="147" spans="1:14">
      <c r="B147" s="91" t="s">
        <v>502</v>
      </c>
      <c r="C147" s="50">
        <v>0</v>
      </c>
      <c r="D147" s="94">
        <f>D133</f>
        <v>114.6</v>
      </c>
      <c r="E147" s="92">
        <f t="shared" ref="E147:E148" si="6">2*C147*D147</f>
        <v>0</v>
      </c>
      <c r="F147" s="92">
        <v>0</v>
      </c>
      <c r="G147" s="93">
        <f t="shared" si="4"/>
        <v>0</v>
      </c>
      <c r="H147" s="92">
        <f>D147/2+C145/2</f>
        <v>67.3</v>
      </c>
      <c r="I147" s="93">
        <f t="shared" si="5"/>
        <v>0</v>
      </c>
      <c r="J147" s="93">
        <f t="shared" ref="J147:J148" si="7">G147+2*(1/12*D147*C147^3)</f>
        <v>0</v>
      </c>
      <c r="K147" s="93">
        <f>I147+2*(1/12*C147*D147^3)</f>
        <v>0</v>
      </c>
      <c r="L147" s="90"/>
      <c r="M147" s="109"/>
    </row>
    <row r="148" spans="1:14">
      <c r="B148" s="91" t="s">
        <v>503</v>
      </c>
      <c r="C148" s="50">
        <f>IF(I114=0,0,D140)</f>
        <v>16</v>
      </c>
      <c r="D148" s="94">
        <f>IF(C148=0,0,D133)</f>
        <v>114.6</v>
      </c>
      <c r="E148" s="92">
        <f t="shared" si="6"/>
        <v>3667.2</v>
      </c>
      <c r="F148" s="92">
        <f>I114</f>
        <v>115</v>
      </c>
      <c r="G148" s="93">
        <f t="shared" si="4"/>
        <v>48498720</v>
      </c>
      <c r="H148" s="92">
        <f>IF(C148=0,0,D148/2+C145/2)</f>
        <v>67.3</v>
      </c>
      <c r="I148" s="93">
        <f t="shared" si="5"/>
        <v>16609812.287999999</v>
      </c>
      <c r="J148" s="93">
        <f t="shared" si="7"/>
        <v>48576953.600000001</v>
      </c>
      <c r="K148" s="93">
        <f t="shared" ref="K148" si="8">I148+2*(1/12*C148*D148^3)</f>
        <v>20623305.983999997</v>
      </c>
      <c r="L148" s="90"/>
      <c r="M148" s="109"/>
    </row>
    <row r="149" spans="1:14" ht="16.5">
      <c r="B149" s="91"/>
      <c r="C149" s="91"/>
      <c r="D149" s="97" t="s">
        <v>520</v>
      </c>
      <c r="E149" s="98">
        <f>SUM(E145:E148)</f>
        <v>17334.400000000001</v>
      </c>
      <c r="F149" s="92"/>
      <c r="G149" s="92"/>
      <c r="H149" s="92"/>
      <c r="I149" s="99" t="s">
        <v>523</v>
      </c>
      <c r="J149" s="97">
        <f>SUM(J145:J148)</f>
        <v>305487240.5333333</v>
      </c>
      <c r="K149" s="97">
        <f>SUM(K145:K148)</f>
        <v>41579945.301333323</v>
      </c>
      <c r="L149" s="90"/>
      <c r="M149" s="109"/>
    </row>
    <row r="150" spans="1:14" ht="11.25" customHeight="1">
      <c r="D150" s="13"/>
      <c r="M150" s="109"/>
    </row>
    <row r="151" spans="1:14" ht="16.899999999999999">
      <c r="B151" t="s">
        <v>451</v>
      </c>
      <c r="F151" t="s">
        <v>519</v>
      </c>
      <c r="I151" s="30">
        <f>E149</f>
        <v>17334.400000000001</v>
      </c>
      <c r="J151" t="s">
        <v>65</v>
      </c>
      <c r="M151" s="64">
        <f>I151/25.4^2</f>
        <v>26.868373736747476</v>
      </c>
      <c r="N151" t="s">
        <v>448</v>
      </c>
    </row>
    <row r="152" spans="1:14" ht="16.899999999999999">
      <c r="B152" t="s">
        <v>453</v>
      </c>
      <c r="D152" s="13"/>
      <c r="F152" t="s">
        <v>522</v>
      </c>
      <c r="I152" s="82">
        <f>J149</f>
        <v>305487240.5333333</v>
      </c>
      <c r="J152" t="s">
        <v>66</v>
      </c>
      <c r="M152" s="64">
        <f>I152/25.4^4</f>
        <v>733.93603112252208</v>
      </c>
      <c r="N152" t="s">
        <v>458</v>
      </c>
    </row>
    <row r="153" spans="1:14" ht="16.899999999999999">
      <c r="B153" t="s">
        <v>454</v>
      </c>
      <c r="F153" t="s">
        <v>455</v>
      </c>
      <c r="I153" s="61">
        <f>(I152/I151)^0.5</f>
        <v>132.75232342063549</v>
      </c>
      <c r="J153" t="s">
        <v>2</v>
      </c>
      <c r="M153" s="64">
        <f>I153/25.4</f>
        <v>5.2264694260092712</v>
      </c>
      <c r="N153" t="s">
        <v>403</v>
      </c>
    </row>
    <row r="154" spans="1:14" ht="16.899999999999999">
      <c r="B154" t="s">
        <v>453</v>
      </c>
      <c r="D154" s="13"/>
      <c r="F154" t="s">
        <v>521</v>
      </c>
      <c r="I154" s="82">
        <f>K149</f>
        <v>41579945.301333323</v>
      </c>
      <c r="J154" t="s">
        <v>66</v>
      </c>
      <c r="M154" s="64">
        <f>I154/25.4^4</f>
        <v>99.896218170926417</v>
      </c>
      <c r="N154" t="s">
        <v>458</v>
      </c>
    </row>
    <row r="155" spans="1:14" ht="16.899999999999999">
      <c r="B155" t="s">
        <v>454</v>
      </c>
      <c r="D155" s="13"/>
      <c r="F155" t="s">
        <v>456</v>
      </c>
      <c r="I155" s="61">
        <f>(I154/I151)^0.5</f>
        <v>48.976477886124925</v>
      </c>
      <c r="J155" t="s">
        <v>2</v>
      </c>
      <c r="M155" s="64">
        <f>I155/25.4</f>
        <v>1.9282077907923201</v>
      </c>
      <c r="N155" t="s">
        <v>403</v>
      </c>
    </row>
    <row r="156" spans="1:14" ht="15.75">
      <c r="A156" s="86">
        <v>4.5</v>
      </c>
      <c r="B156" s="86" t="s">
        <v>461</v>
      </c>
      <c r="C156" s="87"/>
      <c r="D156" s="88"/>
      <c r="E156" s="87"/>
      <c r="F156" s="87"/>
      <c r="G156" s="87"/>
      <c r="H156" s="87"/>
      <c r="I156" s="103"/>
      <c r="J156" s="87"/>
      <c r="K156" s="87"/>
      <c r="L156" s="87"/>
    </row>
    <row r="157" spans="1:14">
      <c r="B157" s="81" t="s">
        <v>476</v>
      </c>
      <c r="D157" s="13"/>
      <c r="I157" s="15"/>
    </row>
    <row r="158" spans="1:14">
      <c r="B158" s="25"/>
      <c r="D158" s="13"/>
      <c r="I158" s="15"/>
    </row>
    <row r="159" spans="1:14">
      <c r="C159" t="s">
        <v>466</v>
      </c>
      <c r="D159" s="7">
        <f>D177*D178/D179</f>
        <v>11.22988062307795</v>
      </c>
      <c r="E159" s="7" t="str">
        <f>IF(D159&lt;F159,"&lt;","&gt;")</f>
        <v>&lt;</v>
      </c>
      <c r="F159" s="7">
        <f>D176</f>
        <v>109.61373351564674</v>
      </c>
      <c r="I159" s="15"/>
      <c r="M159" s="64">
        <f>D159/25.4</f>
        <v>0.44212128437314763</v>
      </c>
      <c r="N159" t="s">
        <v>403</v>
      </c>
    </row>
    <row r="160" spans="1:14">
      <c r="D160" s="7"/>
      <c r="E160" s="7"/>
      <c r="F160" s="7"/>
      <c r="I160" s="15"/>
    </row>
    <row r="161" spans="2:14" ht="15.4">
      <c r="B161" t="s">
        <v>372</v>
      </c>
      <c r="C161" t="s">
        <v>462</v>
      </c>
      <c r="K161" t="s">
        <v>482</v>
      </c>
    </row>
    <row r="162" spans="2:14" ht="13.9">
      <c r="C162" s="54"/>
      <c r="D162" s="13"/>
      <c r="F162" s="54"/>
      <c r="I162"/>
    </row>
    <row r="163" spans="2:14" ht="15.4">
      <c r="C163" s="11" t="s">
        <v>470</v>
      </c>
      <c r="D163" s="191" t="s">
        <v>471</v>
      </c>
      <c r="E163" s="191"/>
      <c r="F163" s="191"/>
      <c r="I163"/>
    </row>
    <row r="164" spans="2:14" ht="15.4">
      <c r="D164" s="190" t="s">
        <v>472</v>
      </c>
      <c r="E164" s="190"/>
      <c r="F164" s="190"/>
      <c r="I164"/>
    </row>
    <row r="165" spans="2:14">
      <c r="D165" s="13"/>
    </row>
    <row r="166" spans="2:14">
      <c r="C166" s="11" t="s">
        <v>437</v>
      </c>
      <c r="D166" s="78">
        <f>IF(D159&lt;F159,(((1-M159^2/(2*D176^2))*M109)/(5/3+3/8*(M159/D176)-(M159^3)/(8*D176^3)))*6.89476,"N/A")</f>
        <v>206.95350765805017</v>
      </c>
      <c r="M166" s="79">
        <f>IF(D166="N/A","N/A",D166/6.89)</f>
        <v>30.036793564303366</v>
      </c>
      <c r="N166" t="s">
        <v>58</v>
      </c>
    </row>
    <row r="167" spans="2:14">
      <c r="D167" s="13"/>
      <c r="M167" s="79"/>
    </row>
    <row r="168" spans="2:14" ht="15.4">
      <c r="B168" t="s">
        <v>372</v>
      </c>
      <c r="C168" t="s">
        <v>468</v>
      </c>
      <c r="D168" s="13"/>
      <c r="I168"/>
      <c r="K168" t="s">
        <v>483</v>
      </c>
      <c r="M168" s="79"/>
    </row>
    <row r="169" spans="2:14">
      <c r="D169" s="13"/>
      <c r="I169"/>
      <c r="M169" s="79"/>
    </row>
    <row r="170" spans="2:14" ht="16.149999999999999">
      <c r="C170" s="11" t="s">
        <v>470</v>
      </c>
      <c r="D170" s="77" t="s">
        <v>473</v>
      </c>
      <c r="I170"/>
      <c r="M170" s="79"/>
    </row>
    <row r="171" spans="2:14" ht="15.4">
      <c r="D171" s="30" t="s">
        <v>474</v>
      </c>
      <c r="I171"/>
      <c r="M171" s="79"/>
    </row>
    <row r="172" spans="2:14">
      <c r="C172" s="11" t="s">
        <v>437</v>
      </c>
      <c r="D172" s="78" t="str">
        <f>IF(D159&lt;F159,"N/A",12*PI()^2*M111/(23*M159^2)*6.89476)</f>
        <v>N/A</v>
      </c>
      <c r="I172" s="15"/>
      <c r="M172" s="79" t="str">
        <f>IF(D172="N/A","N/A",D172/6.89)</f>
        <v>N/A</v>
      </c>
      <c r="N172" t="s">
        <v>58</v>
      </c>
    </row>
    <row r="173" spans="2:14">
      <c r="D173" s="13"/>
      <c r="I173" s="15"/>
      <c r="M173" s="79"/>
    </row>
    <row r="174" spans="2:14">
      <c r="B174" t="s">
        <v>469</v>
      </c>
      <c r="D174" s="13"/>
      <c r="I174" s="15"/>
      <c r="M174" s="79"/>
    </row>
    <row r="175" spans="2:14">
      <c r="C175" s="11" t="s">
        <v>463</v>
      </c>
      <c r="D175" s="30">
        <v>1</v>
      </c>
    </row>
    <row r="176" spans="2:14" ht="16.5">
      <c r="C176" s="11" t="s">
        <v>475</v>
      </c>
      <c r="D176" s="7">
        <f>(2*PI()^2*M111/(D175*M109))^0.5</f>
        <v>109.61373351564674</v>
      </c>
      <c r="E176" s="60" t="s">
        <v>481</v>
      </c>
    </row>
    <row r="177" spans="1:14">
      <c r="C177" s="11" t="s">
        <v>93</v>
      </c>
      <c r="D177" s="120">
        <v>1</v>
      </c>
    </row>
    <row r="178" spans="1:14">
      <c r="C178" s="11" t="s">
        <v>467</v>
      </c>
      <c r="D178" s="74">
        <f>I44</f>
        <v>550</v>
      </c>
      <c r="E178" t="s">
        <v>2</v>
      </c>
      <c r="M178" s="64">
        <f>D178/25.4</f>
        <v>21.653543307086615</v>
      </c>
      <c r="N178" t="s">
        <v>403</v>
      </c>
    </row>
    <row r="179" spans="1:14">
      <c r="C179" s="11" t="s">
        <v>134</v>
      </c>
      <c r="D179" s="7">
        <f>IF(I153&lt;I155,I153,I155)</f>
        <v>48.976477886124925</v>
      </c>
      <c r="E179" t="s">
        <v>2</v>
      </c>
      <c r="M179" s="64">
        <f>D179/25.4</f>
        <v>1.9282077907923201</v>
      </c>
      <c r="N179" t="s">
        <v>403</v>
      </c>
    </row>
    <row r="180" spans="1:14">
      <c r="D180" s="13"/>
      <c r="I180" s="15"/>
    </row>
    <row r="181" spans="1:14">
      <c r="B181" s="81" t="s">
        <v>480</v>
      </c>
      <c r="D181" s="13"/>
      <c r="I181" s="15"/>
    </row>
    <row r="182" spans="1:14" ht="16.5">
      <c r="C182" s="11" t="s">
        <v>477</v>
      </c>
      <c r="D182" s="2" t="s">
        <v>478</v>
      </c>
      <c r="I182"/>
      <c r="M182" s="109"/>
    </row>
    <row r="183" spans="1:14">
      <c r="C183" s="11" t="s">
        <v>437</v>
      </c>
      <c r="D183" s="7" t="e">
        <f>I23/I151*1000</f>
        <v>#REF!</v>
      </c>
      <c r="E183" t="s">
        <v>46</v>
      </c>
      <c r="I183"/>
      <c r="M183" s="109"/>
    </row>
    <row r="184" spans="1:14">
      <c r="I184"/>
      <c r="M184" s="109"/>
    </row>
    <row r="185" spans="1:14" ht="16.5">
      <c r="C185" s="11" t="s">
        <v>479</v>
      </c>
      <c r="D185" s="80" t="e">
        <f>D183/D166</f>
        <v>#REF!</v>
      </c>
      <c r="F185" s="12" t="e">
        <f>IF(D185&lt;1,"OK","NOT OK")</f>
        <v>#REF!</v>
      </c>
      <c r="I185"/>
      <c r="M185" s="109"/>
    </row>
    <row r="186" spans="1:14">
      <c r="C186" s="11"/>
      <c r="D186" s="80"/>
      <c r="F186" s="12"/>
      <c r="I186"/>
      <c r="M186" s="109"/>
    </row>
    <row r="187" spans="1:14" ht="15.75">
      <c r="A187" s="86">
        <v>4.5999999999999996</v>
      </c>
      <c r="B187" s="86" t="s">
        <v>485</v>
      </c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109"/>
    </row>
    <row r="188" spans="1:14">
      <c r="A188" s="89"/>
      <c r="B188" s="89" t="s">
        <v>524</v>
      </c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109"/>
    </row>
    <row r="189" spans="1:14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109"/>
    </row>
    <row r="190" spans="1:14" ht="16.5">
      <c r="B190" s="1" t="s">
        <v>110</v>
      </c>
      <c r="H190" t="s">
        <v>486</v>
      </c>
      <c r="I190" s="120">
        <v>11</v>
      </c>
      <c r="J190" t="s">
        <v>2</v>
      </c>
      <c r="K190" s="17" t="s">
        <v>111</v>
      </c>
      <c r="M190" s="64">
        <f t="shared" ref="M190:M191" si="9">I190/25.4</f>
        <v>0.43307086614173229</v>
      </c>
      <c r="N190" t="s">
        <v>403</v>
      </c>
    </row>
    <row r="191" spans="1:14" ht="16.5">
      <c r="B191" s="1"/>
      <c r="H191" t="s">
        <v>567</v>
      </c>
      <c r="I191" s="120">
        <v>6</v>
      </c>
      <c r="J191" t="s">
        <v>2</v>
      </c>
      <c r="K191" s="17" t="s">
        <v>568</v>
      </c>
      <c r="M191" s="64">
        <f t="shared" si="9"/>
        <v>0.23622047244094491</v>
      </c>
      <c r="N191" t="s">
        <v>403</v>
      </c>
    </row>
    <row r="192" spans="1:14" ht="16.5">
      <c r="B192" s="1" t="s">
        <v>56</v>
      </c>
      <c r="H192" t="s">
        <v>487</v>
      </c>
      <c r="I192" s="120">
        <v>11</v>
      </c>
      <c r="J192" t="s">
        <v>2</v>
      </c>
      <c r="K192" s="17" t="s">
        <v>111</v>
      </c>
      <c r="M192" s="64">
        <f>I192/25.4</f>
        <v>0.43307086614173229</v>
      </c>
      <c r="N192" t="s">
        <v>403</v>
      </c>
    </row>
    <row r="193" spans="1:14" ht="15.75">
      <c r="B193" s="1" t="s">
        <v>57</v>
      </c>
      <c r="H193" s="1" t="s">
        <v>366</v>
      </c>
      <c r="I193" s="120">
        <v>483</v>
      </c>
      <c r="J193" t="s">
        <v>46</v>
      </c>
      <c r="L193" s="17"/>
      <c r="M193" s="64">
        <f t="shared" ref="M193:M194" si="10">I193/6.89</f>
        <v>70.101596516690861</v>
      </c>
      <c r="N193" t="s">
        <v>58</v>
      </c>
    </row>
    <row r="194" spans="1:14" ht="15.75">
      <c r="B194" s="1" t="s">
        <v>488</v>
      </c>
      <c r="H194" s="100" t="s">
        <v>493</v>
      </c>
      <c r="I194" s="7">
        <f>0.3*I193</f>
        <v>144.9</v>
      </c>
      <c r="J194" t="s">
        <v>46</v>
      </c>
      <c r="M194" s="64">
        <f t="shared" si="10"/>
        <v>21.030478955007258</v>
      </c>
      <c r="N194" t="s">
        <v>58</v>
      </c>
    </row>
    <row r="195" spans="1:14">
      <c r="I195"/>
      <c r="M195" s="109"/>
    </row>
    <row r="196" spans="1:14">
      <c r="A196" s="89" t="s">
        <v>498</v>
      </c>
      <c r="B196" s="89" t="s">
        <v>612</v>
      </c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109"/>
    </row>
    <row r="197" spans="1:14">
      <c r="I197"/>
      <c r="M197" s="109"/>
    </row>
    <row r="198" spans="1:14" ht="16.899999999999999">
      <c r="B198" t="s">
        <v>613</v>
      </c>
      <c r="G198" t="s">
        <v>489</v>
      </c>
      <c r="I198" s="7">
        <f>(2*4*0.707*I190*D133)+(2*4*I191*D133)</f>
        <v>12630.753599999998</v>
      </c>
      <c r="J198" t="s">
        <v>65</v>
      </c>
      <c r="M198" s="64">
        <f>I198/25.4^2</f>
        <v>19.577707235414469</v>
      </c>
      <c r="N198" t="s">
        <v>448</v>
      </c>
    </row>
    <row r="199" spans="1:14" ht="16.5">
      <c r="B199" s="22"/>
      <c r="G199" t="s">
        <v>611</v>
      </c>
      <c r="I199" s="7" t="e">
        <f>I24/I198*1000</f>
        <v>#REF!</v>
      </c>
      <c r="J199" t="s">
        <v>46</v>
      </c>
      <c r="M199" s="64" t="e">
        <f t="shared" ref="M199" si="11">I199/6.89</f>
        <v>#REF!</v>
      </c>
      <c r="N199" t="s">
        <v>58</v>
      </c>
    </row>
    <row r="200" spans="1:14" ht="15.75">
      <c r="G200" s="1" t="s">
        <v>494</v>
      </c>
      <c r="I200" s="80" t="e">
        <f>I199/I194</f>
        <v>#REF!</v>
      </c>
      <c r="K200" s="12" t="e">
        <f>IF(I200&lt;1,"OK","NOT OK")</f>
        <v>#REF!</v>
      </c>
      <c r="M200" s="109"/>
    </row>
    <row r="201" spans="1:14">
      <c r="M201" s="109"/>
    </row>
    <row r="202" spans="1:14">
      <c r="A202" s="89" t="s">
        <v>499</v>
      </c>
      <c r="B202" s="89" t="s">
        <v>78</v>
      </c>
      <c r="C202" s="87"/>
      <c r="D202" s="87"/>
      <c r="E202" s="87"/>
      <c r="F202" s="87"/>
      <c r="G202" s="87"/>
      <c r="H202" s="87"/>
      <c r="I202" s="101"/>
      <c r="J202" s="87"/>
      <c r="K202" s="87"/>
      <c r="L202" s="87"/>
      <c r="M202" s="109"/>
    </row>
    <row r="203" spans="1:14" ht="16.5">
      <c r="A203" s="10"/>
      <c r="B203" t="s">
        <v>614</v>
      </c>
      <c r="G203" t="s">
        <v>615</v>
      </c>
      <c r="I203" s="74" t="e">
        <f>I23-((MIN(M56,M65,M76,M86,M95))*4.448)</f>
        <v>#REF!</v>
      </c>
      <c r="M203" s="109"/>
    </row>
    <row r="204" spans="1:14" ht="16.899999999999999">
      <c r="B204" t="s">
        <v>497</v>
      </c>
      <c r="G204" t="s">
        <v>490</v>
      </c>
      <c r="I204" s="7">
        <f>2*2*0.707*I192*I44</f>
        <v>17109.399999999998</v>
      </c>
      <c r="J204" t="s">
        <v>65</v>
      </c>
      <c r="M204" s="64">
        <f>I204/25.4^2</f>
        <v>26.519623039246078</v>
      </c>
      <c r="N204" t="s">
        <v>448</v>
      </c>
    </row>
    <row r="205" spans="1:14" ht="16.5">
      <c r="G205" t="s">
        <v>616</v>
      </c>
      <c r="I205" s="7" t="e">
        <f>I203/I204*1000</f>
        <v>#REF!</v>
      </c>
      <c r="J205" t="s">
        <v>46</v>
      </c>
      <c r="M205" s="64" t="e">
        <f t="shared" ref="M205" si="12">I205/6.89</f>
        <v>#REF!</v>
      </c>
      <c r="N205" t="s">
        <v>58</v>
      </c>
    </row>
    <row r="206" spans="1:14" ht="15.75">
      <c r="G206" s="1" t="s">
        <v>495</v>
      </c>
      <c r="I206" s="80" t="e">
        <f>I205/I194</f>
        <v>#REF!</v>
      </c>
      <c r="K206" s="12" t="e">
        <f>IF(I206&lt;1,"OK","NOT OK")</f>
        <v>#REF!</v>
      </c>
      <c r="M206" s="109"/>
    </row>
    <row r="207" spans="1:14">
      <c r="I207"/>
      <c r="M207"/>
    </row>
    <row r="208" spans="1:14">
      <c r="I208"/>
      <c r="M208"/>
    </row>
  </sheetData>
  <mergeCells count="7">
    <mergeCell ref="D164:F164"/>
    <mergeCell ref="E74:H74"/>
    <mergeCell ref="E76:F76"/>
    <mergeCell ref="E86:F86"/>
    <mergeCell ref="E95:F95"/>
    <mergeCell ref="E121:E122"/>
    <mergeCell ref="D163:F163"/>
  </mergeCells>
  <phoneticPr fontId="62" type="noConversion"/>
  <conditionalFormatting sqref="D185:D186">
    <cfRule type="cellIs" dxfId="60" priority="12" operator="greaterThan">
      <formula>1</formula>
    </cfRule>
  </conditionalFormatting>
  <conditionalFormatting sqref="E57">
    <cfRule type="cellIs" dxfId="59" priority="21" operator="greaterThan">
      <formula>1</formula>
    </cfRule>
  </conditionalFormatting>
  <conditionalFormatting sqref="E66">
    <cfRule type="cellIs" dxfId="58" priority="22" operator="greaterThan">
      <formula>1</formula>
    </cfRule>
  </conditionalFormatting>
  <conditionalFormatting sqref="E77">
    <cfRule type="containsText" dxfId="57" priority="5" operator="containsText" text="N/A">
      <formula>NOT(ISERROR(SEARCH("N/A",E77)))</formula>
    </cfRule>
    <cfRule type="cellIs" dxfId="56" priority="6" operator="greaterThan">
      <formula>1</formula>
    </cfRule>
  </conditionalFormatting>
  <conditionalFormatting sqref="E87">
    <cfRule type="containsText" dxfId="55" priority="7" operator="containsText" text="N/A">
      <formula>NOT(ISERROR(SEARCH("N/A",E87)))</formula>
    </cfRule>
    <cfRule type="cellIs" dxfId="54" priority="23" operator="greaterThan">
      <formula>1</formula>
    </cfRule>
  </conditionalFormatting>
  <conditionalFormatting sqref="E96">
    <cfRule type="cellIs" dxfId="53" priority="20" operator="greaterThan">
      <formula>1</formula>
    </cfRule>
  </conditionalFormatting>
  <conditionalFormatting sqref="F133">
    <cfRule type="containsText" dxfId="52" priority="15" operator="containsText" text="NOT OK">
      <formula>NOT(ISERROR(SEARCH("NOT OK",F133)))</formula>
    </cfRule>
  </conditionalFormatting>
  <conditionalFormatting sqref="F140">
    <cfRule type="containsText" dxfId="51" priority="14" operator="containsText" text="NOT OK">
      <formula>NOT(ISERROR(SEARCH("NOT OK",F140)))</formula>
    </cfRule>
  </conditionalFormatting>
  <conditionalFormatting sqref="F185:F186">
    <cfRule type="containsText" dxfId="50" priority="13" operator="containsText" text="NOT OK">
      <formula>NOT(ISERROR(SEARCH("NOT OK",F185)))</formula>
    </cfRule>
  </conditionalFormatting>
  <conditionalFormatting sqref="G57">
    <cfRule type="containsText" dxfId="49" priority="3" operator="containsText" text="a pair of stiffeners is required !">
      <formula>NOT(ISERROR(SEARCH("a pair of stiffeners is required !",G57)))</formula>
    </cfRule>
    <cfRule type="containsText" priority="4" operator="containsText" text="a pair of stiffeners is required !">
      <formula>NOT(ISERROR(SEARCH("a pair of stiffeners is required !",G57)))</formula>
    </cfRule>
  </conditionalFormatting>
  <conditionalFormatting sqref="G66">
    <cfRule type="containsText" dxfId="48" priority="1" operator="containsText" text="a pair of stiffeners is required !">
      <formula>NOT(ISERROR(SEARCH("a pair of stiffeners is required !",G66)))</formula>
    </cfRule>
    <cfRule type="containsText" priority="2" operator="containsText" text="a pair of stiffeners is required !">
      <formula>NOT(ISERROR(SEARCH("a pair of stiffeners is required !",G66)))</formula>
    </cfRule>
  </conditionalFormatting>
  <conditionalFormatting sqref="G77">
    <cfRule type="containsText" dxfId="47" priority="24" operator="containsText" text="a pair of stiffeners is required !">
      <formula>NOT(ISERROR(SEARCH("a pair of stiffeners is required !",G77)))</formula>
    </cfRule>
    <cfRule type="containsText" priority="25" operator="containsText" text="a pair of stiffeners is required !">
      <formula>NOT(ISERROR(SEARCH("a pair of stiffeners is required !",G77)))</formula>
    </cfRule>
  </conditionalFormatting>
  <conditionalFormatting sqref="G87">
    <cfRule type="containsText" dxfId="46" priority="26" operator="containsText" text="a pair of stiffeners is required !">
      <formula>NOT(ISERROR(SEARCH("a pair of stiffeners is required !",G87)))</formula>
    </cfRule>
    <cfRule type="containsText" priority="27" operator="containsText" text="a pair of stiffeners is required !">
      <formula>NOT(ISERROR(SEARCH("a pair of stiffeners is required !",G87)))</formula>
    </cfRule>
  </conditionalFormatting>
  <conditionalFormatting sqref="G96">
    <cfRule type="containsText" dxfId="45" priority="18" operator="containsText" text="a pair of stiffeners is required !">
      <formula>NOT(ISERROR(SEARCH("a pair of stiffeners is required !",G96)))</formula>
    </cfRule>
    <cfRule type="containsText" priority="19" operator="containsText" text="a pair of stiffeners is required !">
      <formula>NOT(ISERROR(SEARCH("a pair of stiffeners is required !",G96)))</formula>
    </cfRule>
  </conditionalFormatting>
  <conditionalFormatting sqref="G103">
    <cfRule type="containsText" dxfId="44" priority="16" operator="containsText" text="a pair of stiffeners is required !">
      <formula>NOT(ISERROR(SEARCH("a pair of stiffeners is required !",G103)))</formula>
    </cfRule>
    <cfRule type="containsText" priority="17" operator="containsText" text="a pair of stiffeners is required !">
      <formula>NOT(ISERROR(SEARCH("a pair of stiffeners is required !",G103)))</formula>
    </cfRule>
  </conditionalFormatting>
  <conditionalFormatting sqref="I200">
    <cfRule type="cellIs" dxfId="43" priority="11" operator="greaterThan">
      <formula>1</formula>
    </cfRule>
  </conditionalFormatting>
  <conditionalFormatting sqref="I206">
    <cfRule type="cellIs" dxfId="42" priority="10" operator="greaterThan">
      <formula>1</formula>
    </cfRule>
  </conditionalFormatting>
  <conditionalFormatting sqref="K200">
    <cfRule type="containsText" dxfId="41" priority="9" operator="containsText" text="NOT OK">
      <formula>NOT(ISERROR(SEARCH("NOT OK",K200)))</formula>
    </cfRule>
  </conditionalFormatting>
  <conditionalFormatting sqref="K206">
    <cfRule type="containsText" dxfId="40" priority="8" operator="containsText" text="NOT OK">
      <formula>NOT(ISERROR(SEARCH("NOT OK",K206)))</formula>
    </cfRule>
  </conditionalFormatting>
  <pageMargins left="0.7" right="0.7" top="0.75" bottom="0.75" header="0.3" footer="0.3"/>
  <pageSetup paperSize="9" scale="70" orientation="portrait" horizontalDpi="300" verticalDpi="300" r:id="rId1"/>
  <rowBreaks count="2" manualBreakCount="2">
    <brk id="67" max="11" man="1"/>
    <brk id="105" max="11" man="1"/>
  </rowBreaks>
  <colBreaks count="1" manualBreakCount="1">
    <brk id="12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08"/>
  <sheetViews>
    <sheetView view="pageBreakPreview" topLeftCell="A115" zoomScaleNormal="85" zoomScaleSheetLayoutView="100" zoomScalePageLayoutView="40" workbookViewId="0">
      <selection activeCell="K19" sqref="K19"/>
    </sheetView>
  </sheetViews>
  <sheetFormatPr defaultRowHeight="13.5"/>
  <cols>
    <col min="1" max="1" width="5.1328125" customWidth="1"/>
    <col min="2" max="2" width="5.3984375" customWidth="1"/>
    <col min="3" max="3" width="8.1328125" customWidth="1"/>
    <col min="4" max="4" width="13.3984375" customWidth="1"/>
    <col min="5" max="5" width="10.3984375" customWidth="1"/>
    <col min="6" max="6" width="12.73046875" customWidth="1"/>
    <col min="7" max="7" width="12" customWidth="1"/>
    <col min="8" max="8" width="11.1328125" customWidth="1"/>
    <col min="9" max="9" width="11.265625" style="2" customWidth="1"/>
    <col min="10" max="11" width="11.265625" customWidth="1"/>
    <col min="12" max="12" width="11.86328125" customWidth="1"/>
    <col min="13" max="13" width="9.73046875" style="64" bestFit="1" customWidth="1"/>
  </cols>
  <sheetData>
    <row r="1" spans="1:13">
      <c r="A1" s="104"/>
      <c r="B1" s="105"/>
      <c r="C1" s="105"/>
      <c r="D1" s="105"/>
      <c r="E1" s="105"/>
      <c r="F1" s="105"/>
      <c r="G1" s="105"/>
      <c r="H1" s="105"/>
      <c r="I1" s="105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</row>
    <row r="3" spans="1:13">
      <c r="A3" s="104"/>
      <c r="B3" s="104"/>
      <c r="C3" s="104"/>
      <c r="D3" s="104"/>
      <c r="E3" s="104"/>
      <c r="F3" s="104"/>
      <c r="G3" s="104"/>
      <c r="H3" s="104"/>
      <c r="I3" s="104"/>
    </row>
    <row r="4" spans="1:13">
      <c r="A4" s="104"/>
      <c r="B4" s="104"/>
      <c r="C4" s="104"/>
      <c r="D4" s="104"/>
      <c r="E4" s="104"/>
      <c r="F4" s="104"/>
      <c r="G4" s="104"/>
      <c r="H4" s="104"/>
      <c r="I4" s="104"/>
    </row>
    <row r="5" spans="1:13">
      <c r="A5" s="104"/>
      <c r="B5" s="104"/>
      <c r="C5" s="104"/>
      <c r="D5" s="104"/>
      <c r="E5" s="104"/>
      <c r="F5" s="104"/>
      <c r="G5" s="104"/>
      <c r="H5" s="104"/>
      <c r="I5" s="104"/>
    </row>
    <row r="6" spans="1:13" s="106" customFormat="1">
      <c r="A6" s="110" t="s">
        <v>525</v>
      </c>
      <c r="B6" s="111"/>
      <c r="C6" s="111"/>
      <c r="D6" s="112" t="s">
        <v>526</v>
      </c>
      <c r="E6" s="111"/>
      <c r="F6" s="113"/>
      <c r="G6" s="113"/>
      <c r="H6" s="110" t="s">
        <v>527</v>
      </c>
      <c r="I6" s="113"/>
      <c r="J6" s="112" t="s">
        <v>549</v>
      </c>
      <c r="K6" s="113"/>
      <c r="L6" s="113"/>
      <c r="M6" s="64"/>
    </row>
    <row r="7" spans="1:13" s="106" customFormat="1">
      <c r="A7" s="110" t="s">
        <v>528</v>
      </c>
      <c r="B7" s="111"/>
      <c r="C7" s="111"/>
      <c r="D7" s="112" t="s">
        <v>605</v>
      </c>
      <c r="E7" s="111"/>
      <c r="F7" s="113"/>
      <c r="G7" s="113"/>
      <c r="H7" s="110" t="s">
        <v>529</v>
      </c>
      <c r="I7" s="113"/>
      <c r="J7" s="112" t="s">
        <v>608</v>
      </c>
      <c r="K7" s="113"/>
      <c r="L7" s="113"/>
      <c r="M7" s="64"/>
    </row>
    <row r="8" spans="1:13" s="106" customFormat="1">
      <c r="A8" s="110" t="s">
        <v>530</v>
      </c>
      <c r="B8" s="111"/>
      <c r="C8" s="111"/>
      <c r="D8" s="112" t="s">
        <v>531</v>
      </c>
      <c r="E8" s="111"/>
      <c r="F8" s="113"/>
      <c r="G8" s="113"/>
      <c r="H8" s="110" t="s">
        <v>532</v>
      </c>
      <c r="I8" s="113"/>
      <c r="J8" s="112">
        <v>1</v>
      </c>
      <c r="K8" s="113"/>
      <c r="L8" s="113"/>
      <c r="M8" s="64"/>
    </row>
    <row r="9" spans="1:13" s="106" customFormat="1">
      <c r="A9" s="110" t="s">
        <v>533</v>
      </c>
      <c r="B9" s="111"/>
      <c r="C9" s="111"/>
      <c r="D9" s="112" t="s">
        <v>569</v>
      </c>
      <c r="E9" s="111"/>
      <c r="F9" s="113"/>
      <c r="G9" s="113"/>
      <c r="H9" s="110" t="s">
        <v>534</v>
      </c>
      <c r="I9" s="113"/>
      <c r="J9" s="112" t="s">
        <v>570</v>
      </c>
      <c r="K9" s="113"/>
      <c r="L9" s="113"/>
      <c r="M9" s="64"/>
    </row>
    <row r="10" spans="1:13" s="106" customFormat="1">
      <c r="A10" s="110" t="s">
        <v>535</v>
      </c>
      <c r="B10" s="111"/>
      <c r="C10" s="111"/>
      <c r="D10" s="114"/>
      <c r="E10" s="111"/>
      <c r="F10" s="113"/>
      <c r="G10" s="113"/>
      <c r="H10" s="110" t="s">
        <v>536</v>
      </c>
      <c r="I10" s="113"/>
      <c r="J10" s="112" t="s">
        <v>571</v>
      </c>
      <c r="K10" s="113"/>
      <c r="L10" s="113"/>
      <c r="M10" s="64"/>
    </row>
    <row r="11" spans="1:13" s="106" customFormat="1">
      <c r="A11" s="110"/>
      <c r="B11" s="111"/>
      <c r="C11" s="111"/>
      <c r="D11" s="111"/>
      <c r="E11" s="111"/>
      <c r="F11" s="113"/>
      <c r="G11" s="113"/>
      <c r="H11" s="110" t="s">
        <v>537</v>
      </c>
      <c r="I11" s="113"/>
      <c r="J11" s="112" t="s">
        <v>538</v>
      </c>
      <c r="K11" s="113"/>
      <c r="L11" s="113"/>
      <c r="M11" s="64"/>
    </row>
    <row r="12" spans="1:13" s="106" customFormat="1">
      <c r="A12" s="110"/>
      <c r="B12" s="111"/>
      <c r="C12" s="111"/>
      <c r="D12" s="111"/>
      <c r="E12" s="111"/>
      <c r="F12" s="113"/>
      <c r="G12" s="110"/>
      <c r="H12" s="113"/>
      <c r="I12" s="112"/>
      <c r="J12" s="115"/>
      <c r="K12" s="113"/>
      <c r="L12" s="113"/>
      <c r="M12" s="64"/>
    </row>
    <row r="13" spans="1:13" s="106" customFormat="1">
      <c r="A13" s="117" t="s">
        <v>539</v>
      </c>
      <c r="B13" s="104"/>
      <c r="C13" s="104"/>
      <c r="D13" s="104" t="s">
        <v>540</v>
      </c>
      <c r="E13" s="104"/>
      <c r="F13" s="117"/>
      <c r="G13" s="104"/>
      <c r="H13" s="118"/>
      <c r="I13" s="104"/>
      <c r="J13" s="116"/>
      <c r="K13" s="116"/>
      <c r="L13" s="116"/>
      <c r="M13" s="64"/>
    </row>
    <row r="14" spans="1:13" s="106" customFormat="1">
      <c r="A14" s="117" t="s">
        <v>541</v>
      </c>
      <c r="B14" s="104"/>
      <c r="C14" s="104"/>
      <c r="D14" s="104" t="s">
        <v>542</v>
      </c>
      <c r="E14" s="104"/>
      <c r="F14" s="117"/>
      <c r="G14" s="104"/>
      <c r="H14" s="118"/>
      <c r="I14" s="104"/>
      <c r="J14" s="116"/>
      <c r="K14" s="116"/>
      <c r="L14" s="116"/>
      <c r="M14" s="64"/>
    </row>
    <row r="15" spans="1:13" s="106" customFormat="1">
      <c r="A15" s="117"/>
      <c r="B15" s="104"/>
      <c r="C15" s="104"/>
      <c r="D15" s="104" t="s">
        <v>543</v>
      </c>
      <c r="E15" s="104"/>
      <c r="F15" s="117"/>
      <c r="G15" s="104"/>
      <c r="H15" s="118"/>
      <c r="I15" s="104"/>
      <c r="J15" s="116"/>
      <c r="K15" s="116"/>
      <c r="L15" s="116"/>
      <c r="M15" s="64"/>
    </row>
    <row r="16" spans="1:13" s="106" customFormat="1">
      <c r="A16" s="117"/>
      <c r="B16" s="104"/>
      <c r="C16" s="104"/>
      <c r="D16" s="104" t="s">
        <v>555</v>
      </c>
      <c r="E16" s="104"/>
      <c r="F16" s="117"/>
      <c r="G16" s="104"/>
      <c r="H16" s="118"/>
      <c r="I16" s="104"/>
      <c r="J16" s="116"/>
      <c r="K16" s="116"/>
      <c r="L16" s="116"/>
      <c r="M16" s="64"/>
    </row>
    <row r="17" spans="1:14" ht="13.5" customHeight="1">
      <c r="B17" s="28"/>
    </row>
    <row r="18" spans="1:14" ht="17.649999999999999">
      <c r="A18" s="85">
        <v>1</v>
      </c>
      <c r="B18" s="85" t="s">
        <v>35</v>
      </c>
      <c r="C18" s="86"/>
      <c r="D18" s="86"/>
      <c r="E18" s="86"/>
      <c r="F18" s="86"/>
      <c r="G18" s="86"/>
      <c r="H18" s="87"/>
      <c r="I18" s="101"/>
      <c r="J18" s="87"/>
      <c r="K18" s="87"/>
      <c r="L18" s="87"/>
    </row>
    <row r="19" spans="1:14" ht="18.399999999999999">
      <c r="A19" s="9"/>
      <c r="B19" s="1" t="s">
        <v>584</v>
      </c>
      <c r="C19" s="10"/>
      <c r="D19" s="10"/>
      <c r="E19" s="10"/>
      <c r="F19" s="10"/>
      <c r="G19" s="10"/>
      <c r="H19" t="s">
        <v>596</v>
      </c>
      <c r="I19" s="119" t="e">
        <f>MAX((ABS(MIN(#REF!))),(MAX(#REF!)))</f>
        <v>#REF!</v>
      </c>
      <c r="J19" s="1" t="s">
        <v>37</v>
      </c>
      <c r="K19" s="22" t="s">
        <v>619</v>
      </c>
    </row>
    <row r="20" spans="1:14" ht="18.399999999999999">
      <c r="A20" s="9"/>
      <c r="B20" s="1" t="s">
        <v>585</v>
      </c>
      <c r="C20" s="10"/>
      <c r="D20" s="10"/>
      <c r="E20" s="10"/>
      <c r="F20" s="10"/>
      <c r="G20" s="10"/>
      <c r="H20" s="129" t="s">
        <v>597</v>
      </c>
      <c r="I20" s="119">
        <v>33</v>
      </c>
      <c r="J20" t="s">
        <v>583</v>
      </c>
    </row>
    <row r="21" spans="1:14" ht="18.399999999999999">
      <c r="A21" s="9"/>
      <c r="B21" s="1" t="s">
        <v>590</v>
      </c>
      <c r="C21" s="10"/>
      <c r="D21" s="10"/>
      <c r="E21" s="10"/>
      <c r="F21" s="10"/>
      <c r="G21" s="10"/>
      <c r="H21" t="s">
        <v>591</v>
      </c>
      <c r="I21" s="119" t="e">
        <f>MAX((ABS(MIN(#REF!))),(MAX(#REF!)))</f>
        <v>#REF!</v>
      </c>
      <c r="J21" s="1" t="s">
        <v>37</v>
      </c>
      <c r="K21" s="22" t="s">
        <v>619</v>
      </c>
    </row>
    <row r="22" spans="1:14" ht="18.399999999999999">
      <c r="A22" s="9"/>
      <c r="B22" s="1" t="s">
        <v>609</v>
      </c>
      <c r="C22" s="10"/>
      <c r="D22" s="10"/>
      <c r="E22" s="10"/>
      <c r="F22" s="10"/>
      <c r="G22" s="10"/>
      <c r="H22" s="129" t="s">
        <v>592</v>
      </c>
      <c r="I22" s="119">
        <v>48</v>
      </c>
      <c r="J22" t="s">
        <v>583</v>
      </c>
    </row>
    <row r="23" spans="1:14" ht="13.9" customHeight="1">
      <c r="A23" s="9"/>
      <c r="B23" s="1" t="s">
        <v>425</v>
      </c>
      <c r="C23" s="1"/>
      <c r="D23" s="1"/>
      <c r="E23" s="1"/>
      <c r="F23" s="1"/>
      <c r="G23" s="1"/>
      <c r="H23" s="127" t="s">
        <v>36</v>
      </c>
      <c r="I23" s="130" t="e">
        <f>(I19*COS(I20*(PI()/180)))+(I21*COS(I22*(PI()/180)))</f>
        <v>#REF!</v>
      </c>
      <c r="J23" s="1" t="s">
        <v>37</v>
      </c>
      <c r="K23" s="124"/>
      <c r="L23" s="126"/>
      <c r="M23" s="64" t="e">
        <f>I23*0.2248</f>
        <v>#REF!</v>
      </c>
      <c r="N23" t="s">
        <v>404</v>
      </c>
    </row>
    <row r="24" spans="1:14" ht="13.9" customHeight="1">
      <c r="A24" s="9"/>
      <c r="B24" s="1"/>
      <c r="C24" s="1"/>
      <c r="D24" s="1"/>
      <c r="E24" s="1"/>
      <c r="F24" s="1"/>
      <c r="G24" s="1"/>
      <c r="H24" s="127" t="s">
        <v>610</v>
      </c>
      <c r="I24" s="130" t="e">
        <f>(I19*SIN(I20*(PI()/180)))+(I21*SIN(I22*(PI()/180)))</f>
        <v>#REF!</v>
      </c>
      <c r="J24" s="1" t="s">
        <v>37</v>
      </c>
      <c r="K24" s="124"/>
      <c r="L24" s="126"/>
    </row>
    <row r="25" spans="1:14" ht="14.65">
      <c r="B25" s="1" t="s">
        <v>547</v>
      </c>
      <c r="H25" s="1" t="s">
        <v>39</v>
      </c>
      <c r="I25" s="120">
        <v>884</v>
      </c>
      <c r="J25" t="s">
        <v>2</v>
      </c>
      <c r="M25" s="64">
        <f>I25/25.4</f>
        <v>34.803149606299215</v>
      </c>
      <c r="N25" t="s">
        <v>403</v>
      </c>
    </row>
    <row r="26" spans="1:14" ht="15.4">
      <c r="B26" t="s">
        <v>546</v>
      </c>
      <c r="H26" s="63" t="s">
        <v>398</v>
      </c>
      <c r="I26" s="120">
        <v>5120</v>
      </c>
      <c r="J26" t="s">
        <v>2</v>
      </c>
      <c r="M26" s="64">
        <f>I26/25.4</f>
        <v>201.57480314960631</v>
      </c>
      <c r="N26" t="s">
        <v>403</v>
      </c>
    </row>
    <row r="27" spans="1:14" ht="15.4">
      <c r="B27" t="s">
        <v>545</v>
      </c>
      <c r="H27" s="63"/>
      <c r="I27" s="30"/>
    </row>
    <row r="28" spans="1:14">
      <c r="B28" s="126" t="s">
        <v>593</v>
      </c>
      <c r="G28" s="11" t="s">
        <v>557</v>
      </c>
      <c r="H28" t="s">
        <v>565</v>
      </c>
      <c r="I28" s="120">
        <v>457</v>
      </c>
      <c r="J28" t="s">
        <v>2</v>
      </c>
      <c r="K28" s="128" t="s">
        <v>604</v>
      </c>
      <c r="L28" s="59"/>
    </row>
    <row r="29" spans="1:14">
      <c r="B29" s="126" t="s">
        <v>576</v>
      </c>
      <c r="G29" s="11" t="s">
        <v>558</v>
      </c>
      <c r="H29" t="s">
        <v>564</v>
      </c>
      <c r="I29" s="120">
        <v>19.100000000000001</v>
      </c>
      <c r="J29" t="s">
        <v>2</v>
      </c>
    </row>
    <row r="30" spans="1:14">
      <c r="B30" s="126" t="s">
        <v>578</v>
      </c>
      <c r="G30" s="11" t="s">
        <v>559</v>
      </c>
      <c r="H30" s="126" t="s">
        <v>563</v>
      </c>
      <c r="I30" s="125">
        <f>I33*0.6*PI()*(I28^2-(I28-2*I29)^2)/4/1000</f>
        <v>5439.1186235426585</v>
      </c>
      <c r="J30" t="s">
        <v>37</v>
      </c>
      <c r="K30" s="124" t="e">
        <f>IF(I23&lt;I30,"Okay","Not Okay")</f>
        <v>#REF!</v>
      </c>
      <c r="L30" s="126" t="s">
        <v>566</v>
      </c>
    </row>
    <row r="31" spans="1:14" ht="17.649999999999999">
      <c r="A31" s="85">
        <v>2</v>
      </c>
      <c r="B31" s="85" t="s">
        <v>40</v>
      </c>
      <c r="C31" s="86"/>
      <c r="D31" s="85"/>
      <c r="E31" s="85"/>
      <c r="F31" s="87"/>
      <c r="G31" s="87"/>
      <c r="H31" s="87"/>
      <c r="I31" s="101"/>
      <c r="J31" s="87"/>
      <c r="K31" s="87"/>
      <c r="L31" s="87"/>
    </row>
    <row r="32" spans="1:14" ht="15.75">
      <c r="A32" s="86">
        <v>2.1</v>
      </c>
      <c r="B32" s="86" t="s">
        <v>41</v>
      </c>
      <c r="C32" s="86"/>
      <c r="D32" s="87"/>
      <c r="E32" s="87"/>
      <c r="F32" s="87"/>
      <c r="G32" s="87"/>
      <c r="H32" s="87"/>
      <c r="I32" s="101"/>
      <c r="J32" s="87"/>
      <c r="K32" s="87"/>
      <c r="L32" s="87"/>
    </row>
    <row r="33" spans="1:14" ht="16.5">
      <c r="B33" t="s">
        <v>42</v>
      </c>
      <c r="H33" t="s">
        <v>413</v>
      </c>
      <c r="I33" s="120">
        <v>345</v>
      </c>
      <c r="J33" t="s">
        <v>44</v>
      </c>
      <c r="M33" s="64">
        <f>I33/6.89</f>
        <v>50.072568940493468</v>
      </c>
      <c r="N33" t="s">
        <v>58</v>
      </c>
    </row>
    <row r="34" spans="1:14" ht="16.5">
      <c r="B34" t="s">
        <v>365</v>
      </c>
      <c r="H34" t="s">
        <v>414</v>
      </c>
      <c r="I34" s="120">
        <v>470</v>
      </c>
      <c r="J34" t="s">
        <v>46</v>
      </c>
      <c r="M34" s="64">
        <f>I34/6.89</f>
        <v>68.214804063860669</v>
      </c>
      <c r="N34" t="s">
        <v>58</v>
      </c>
    </row>
    <row r="35" spans="1:14" ht="15.75">
      <c r="B35" t="s">
        <v>47</v>
      </c>
      <c r="H35" s="1" t="s">
        <v>367</v>
      </c>
      <c r="I35" s="120">
        <v>300</v>
      </c>
      <c r="J35" t="s">
        <v>2</v>
      </c>
      <c r="K35" s="59" t="s">
        <v>572</v>
      </c>
      <c r="M35" s="64">
        <f t="shared" ref="M35:M42" si="0">I35/25.4</f>
        <v>11.811023622047244</v>
      </c>
      <c r="N35" t="s">
        <v>403</v>
      </c>
    </row>
    <row r="36" spans="1:14" ht="14.65">
      <c r="B36" t="s">
        <v>48</v>
      </c>
      <c r="H36" s="1" t="s">
        <v>380</v>
      </c>
      <c r="I36" s="120">
        <v>588</v>
      </c>
      <c r="J36" t="s">
        <v>2</v>
      </c>
      <c r="M36" s="64">
        <f t="shared" si="0"/>
        <v>23.1496062992126</v>
      </c>
      <c r="N36" t="s">
        <v>403</v>
      </c>
    </row>
    <row r="37" spans="1:14" ht="15.75">
      <c r="B37" s="1" t="s">
        <v>49</v>
      </c>
      <c r="H37" s="1" t="s">
        <v>368</v>
      </c>
      <c r="I37" s="120">
        <v>25</v>
      </c>
      <c r="J37" t="s">
        <v>2</v>
      </c>
      <c r="L37" s="60"/>
      <c r="M37" s="64">
        <f t="shared" si="0"/>
        <v>0.98425196850393704</v>
      </c>
      <c r="N37" t="s">
        <v>403</v>
      </c>
    </row>
    <row r="38" spans="1:14" ht="15.75">
      <c r="B38" s="1" t="s">
        <v>50</v>
      </c>
      <c r="H38" s="1" t="s">
        <v>369</v>
      </c>
      <c r="I38" s="120">
        <v>20</v>
      </c>
      <c r="J38" t="s">
        <v>2</v>
      </c>
      <c r="L38" s="60"/>
      <c r="M38" s="64">
        <f t="shared" si="0"/>
        <v>0.78740157480314965</v>
      </c>
      <c r="N38" t="s">
        <v>403</v>
      </c>
    </row>
    <row r="39" spans="1:14" ht="14.65">
      <c r="B39" s="1" t="s">
        <v>550</v>
      </c>
      <c r="H39" s="1" t="s">
        <v>553</v>
      </c>
      <c r="I39" s="74">
        <f>(((I35*I37^3/12)+((I35*I37)*((I36/2)-(I37/2))^2))*2+(I38*(I36-I37-I37)^3/12))/(10)^4</f>
        <v>144894.97866666666</v>
      </c>
      <c r="J39" t="s">
        <v>551</v>
      </c>
      <c r="K39" s="122"/>
    </row>
    <row r="40" spans="1:14" ht="14.65">
      <c r="B40" s="1" t="s">
        <v>552</v>
      </c>
      <c r="H40" s="1" t="s">
        <v>554</v>
      </c>
      <c r="I40" s="74">
        <f>(((I37*I35^3/12)*2)+((I36-(2*I37))*I38^3/12))/(10)^4</f>
        <v>11285.866666666667</v>
      </c>
      <c r="J40" t="s">
        <v>551</v>
      </c>
      <c r="K40" s="122"/>
    </row>
    <row r="41" spans="1:14" ht="14.65">
      <c r="B41" s="1" t="s">
        <v>556</v>
      </c>
      <c r="H41" s="1"/>
      <c r="I41" s="120">
        <v>14</v>
      </c>
      <c r="J41" t="s">
        <v>2</v>
      </c>
    </row>
    <row r="42" spans="1:14" ht="14.65">
      <c r="B42" s="1" t="s">
        <v>381</v>
      </c>
      <c r="H42" s="1" t="s">
        <v>93</v>
      </c>
      <c r="I42" s="30">
        <f>I41+I37</f>
        <v>39</v>
      </c>
      <c r="J42" t="s">
        <v>2</v>
      </c>
      <c r="M42" s="64">
        <f t="shared" si="0"/>
        <v>1.5354330708661419</v>
      </c>
      <c r="N42" t="s">
        <v>403</v>
      </c>
    </row>
    <row r="43" spans="1:14" ht="16.5">
      <c r="B43" s="1" t="s">
        <v>544</v>
      </c>
      <c r="H43" s="1" t="s">
        <v>51</v>
      </c>
      <c r="I43" s="61">
        <f>I39/(I36/20)</f>
        <v>4928.4006349206347</v>
      </c>
      <c r="J43" t="s">
        <v>52</v>
      </c>
    </row>
    <row r="44" spans="1:14" ht="14.65">
      <c r="B44" s="1" t="s">
        <v>394</v>
      </c>
      <c r="H44" s="1" t="s">
        <v>392</v>
      </c>
      <c r="I44" s="61">
        <f>I36-2*I37</f>
        <v>538</v>
      </c>
      <c r="J44" t="s">
        <v>2</v>
      </c>
      <c r="M44" s="64">
        <f t="shared" ref="M44:M45" si="1">I44/25.4</f>
        <v>21.181102362204726</v>
      </c>
      <c r="N44" t="s">
        <v>403</v>
      </c>
    </row>
    <row r="45" spans="1:14" ht="15.75">
      <c r="B45" s="31" t="s">
        <v>393</v>
      </c>
      <c r="H45" s="1" t="s">
        <v>391</v>
      </c>
      <c r="I45" s="2">
        <f>I36-2*I42</f>
        <v>510</v>
      </c>
      <c r="J45" t="s">
        <v>2</v>
      </c>
      <c r="M45" s="64">
        <f t="shared" si="1"/>
        <v>20.078740157480315</v>
      </c>
      <c r="N45" t="s">
        <v>403</v>
      </c>
    </row>
    <row r="46" spans="1:14" ht="14.65">
      <c r="B46" s="1"/>
      <c r="H46" s="1"/>
      <c r="I46" s="61"/>
    </row>
    <row r="47" spans="1:14" ht="18">
      <c r="A47" s="85">
        <v>3</v>
      </c>
      <c r="B47" s="85" t="s">
        <v>112</v>
      </c>
      <c r="C47" s="86"/>
      <c r="D47" s="85"/>
      <c r="E47" s="85"/>
      <c r="F47" s="87"/>
      <c r="G47" s="87"/>
      <c r="H47" s="102"/>
      <c r="I47" s="101"/>
      <c r="J47" s="87"/>
      <c r="K47" s="87"/>
      <c r="L47" s="87"/>
    </row>
    <row r="48" spans="1:14" ht="15.75">
      <c r="A48" s="86">
        <v>3.1</v>
      </c>
      <c r="B48" s="86" t="s">
        <v>59</v>
      </c>
      <c r="C48" s="86"/>
      <c r="D48" s="86"/>
      <c r="E48" s="86"/>
      <c r="F48" s="86"/>
      <c r="G48" s="87"/>
      <c r="H48" s="87"/>
      <c r="I48" s="101"/>
      <c r="J48" s="87"/>
      <c r="K48" s="87"/>
      <c r="L48" s="87"/>
    </row>
    <row r="50" spans="1:14" ht="13.9">
      <c r="B50" s="54" t="s">
        <v>370</v>
      </c>
      <c r="C50" s="121">
        <v>882</v>
      </c>
      <c r="D50" s="55" t="s">
        <v>548</v>
      </c>
      <c r="H50" s="11" t="s">
        <v>560</v>
      </c>
      <c r="I50" s="123">
        <v>610</v>
      </c>
      <c r="J50" t="s">
        <v>2</v>
      </c>
      <c r="M50" s="64">
        <f>C50/25.4</f>
        <v>34.724409448818896</v>
      </c>
      <c r="N50" t="s">
        <v>403</v>
      </c>
    </row>
    <row r="51" spans="1:14" ht="13.9">
      <c r="B51" s="54"/>
      <c r="C51" s="56"/>
      <c r="D51" s="55"/>
      <c r="H51" s="11" t="s">
        <v>561</v>
      </c>
      <c r="I51" s="123">
        <v>75</v>
      </c>
      <c r="J51" t="s">
        <v>2</v>
      </c>
    </row>
    <row r="52" spans="1:14" ht="16.899999999999999">
      <c r="B52" s="11" t="s">
        <v>372</v>
      </c>
      <c r="C52" t="s">
        <v>373</v>
      </c>
      <c r="D52" s="11" t="s">
        <v>374</v>
      </c>
      <c r="E52" t="s">
        <v>375</v>
      </c>
      <c r="H52" s="11" t="s">
        <v>562</v>
      </c>
      <c r="I52" s="60">
        <f>I25</f>
        <v>884</v>
      </c>
      <c r="J52" t="s">
        <v>2</v>
      </c>
      <c r="K52" s="60" t="s">
        <v>383</v>
      </c>
    </row>
    <row r="53" spans="1:14">
      <c r="B53" s="11"/>
      <c r="D53" s="11"/>
      <c r="K53" s="2"/>
    </row>
    <row r="54" spans="1:14" ht="16.899999999999999">
      <c r="B54" s="11" t="s">
        <v>376</v>
      </c>
      <c r="C54" t="s">
        <v>377</v>
      </c>
      <c r="D54" s="11" t="s">
        <v>374</v>
      </c>
      <c r="E54" t="s">
        <v>378</v>
      </c>
      <c r="K54" s="60" t="s">
        <v>384</v>
      </c>
    </row>
    <row r="55" spans="1:14">
      <c r="D55" s="11"/>
    </row>
    <row r="56" spans="1:14" ht="15">
      <c r="D56" s="11" t="s">
        <v>379</v>
      </c>
      <c r="E56" s="66">
        <f>IF(C50&gt;I36,I38*(I25+5*I42)*0.66*I33/1000,I38*(I25+2.5*I42)*0.66*I33/1000)</f>
        <v>4913.7659999999996</v>
      </c>
      <c r="F56" t="s">
        <v>37</v>
      </c>
      <c r="M56" s="64">
        <f>E56/4.448</f>
        <v>1104.7135791366904</v>
      </c>
      <c r="N56" t="s">
        <v>404</v>
      </c>
    </row>
    <row r="57" spans="1:14" ht="16.5">
      <c r="D57" s="11" t="s">
        <v>382</v>
      </c>
      <c r="E57" s="80" t="e">
        <f>I23/E56</f>
        <v>#REF!</v>
      </c>
      <c r="G57" s="67" t="e">
        <f>IF(E57&lt;1,"a pair of stiffener is not required !","a pair of stiffeners is required !")</f>
        <v>#REF!</v>
      </c>
      <c r="H57" s="59"/>
    </row>
    <row r="58" spans="1:14">
      <c r="D58" s="12"/>
      <c r="I58" s="15"/>
    </row>
    <row r="59" spans="1:14" ht="15.75">
      <c r="A59" s="86">
        <v>3.2</v>
      </c>
      <c r="B59" s="86" t="s">
        <v>61</v>
      </c>
      <c r="C59" s="86"/>
      <c r="D59" s="86"/>
      <c r="E59" s="86"/>
      <c r="F59" s="86"/>
      <c r="G59" s="87"/>
      <c r="H59" s="87"/>
      <c r="I59" s="101"/>
      <c r="J59" s="87"/>
      <c r="K59" s="87"/>
      <c r="L59" s="87"/>
    </row>
    <row r="60" spans="1:14">
      <c r="D60" s="13"/>
    </row>
    <row r="61" spans="1:14" ht="16.899999999999999">
      <c r="B61" s="11" t="s">
        <v>372</v>
      </c>
      <c r="C61" t="s">
        <v>385</v>
      </c>
      <c r="D61" s="11" t="s">
        <v>374</v>
      </c>
      <c r="E61" t="s">
        <v>386</v>
      </c>
      <c r="I61"/>
      <c r="K61" t="s">
        <v>390</v>
      </c>
    </row>
    <row r="62" spans="1:14">
      <c r="B62" s="11"/>
      <c r="D62" s="11"/>
      <c r="I62"/>
    </row>
    <row r="63" spans="1:14" ht="16.899999999999999">
      <c r="B63" s="11" t="s">
        <v>376</v>
      </c>
      <c r="C63" t="s">
        <v>387</v>
      </c>
      <c r="D63" s="11" t="s">
        <v>374</v>
      </c>
      <c r="E63" t="s">
        <v>388</v>
      </c>
      <c r="I63"/>
      <c r="K63" t="s">
        <v>389</v>
      </c>
    </row>
    <row r="64" spans="1:14">
      <c r="D64" s="13"/>
    </row>
    <row r="65" spans="1:14" ht="15">
      <c r="D65" s="11" t="s">
        <v>379</v>
      </c>
      <c r="E65" s="66">
        <f>IF(M50&gt;0.5*M36,67.5*M38^2*(1+3*(M25/M36)*(M38/M37)^1.5)*(M33*M37/M38)^0.5*4.448,34*M38^2*(1+3*(M25/M36)*(M38/M37)^1.5)*(M33*M37/M38)^0.5*4.448)</f>
        <v>6225.4806788583746</v>
      </c>
      <c r="F65" t="s">
        <v>37</v>
      </c>
      <c r="M65" s="64">
        <f>E65/4.448</f>
        <v>1399.6134619735553</v>
      </c>
      <c r="N65" t="s">
        <v>404</v>
      </c>
    </row>
    <row r="66" spans="1:14" ht="16.5">
      <c r="D66" s="11" t="s">
        <v>382</v>
      </c>
      <c r="E66" s="80" t="e">
        <f>I23/E65</f>
        <v>#REF!</v>
      </c>
      <c r="G66" s="67" t="e">
        <f>IF(E66&lt;1,"a pair of stiffener is not required !","a pair of stiffeners is required !")</f>
        <v>#REF!</v>
      </c>
    </row>
    <row r="67" spans="1:14">
      <c r="D67" s="13"/>
    </row>
    <row r="68" spans="1:14" ht="15.75">
      <c r="A68" s="86">
        <v>3.3</v>
      </c>
      <c r="B68" s="86" t="s">
        <v>62</v>
      </c>
      <c r="C68" s="86"/>
      <c r="D68" s="86"/>
      <c r="E68" s="86"/>
      <c r="F68" s="86"/>
      <c r="G68" s="87"/>
      <c r="H68" s="87"/>
      <c r="I68" s="101"/>
      <c r="J68" s="87"/>
      <c r="K68" s="87"/>
      <c r="L68" s="87"/>
    </row>
    <row r="69" spans="1:14" ht="15" customHeight="1">
      <c r="D69" s="13"/>
      <c r="I69" s="15"/>
    </row>
    <row r="70" spans="1:14" ht="15" customHeight="1">
      <c r="B70" s="54" t="s">
        <v>372</v>
      </c>
      <c r="C70" s="57" t="s">
        <v>395</v>
      </c>
      <c r="D70" s="57"/>
      <c r="E70" s="57"/>
      <c r="F70" s="57"/>
      <c r="I70" s="15"/>
    </row>
    <row r="71" spans="1:14" ht="15" customHeight="1">
      <c r="D71" s="13"/>
      <c r="I71" s="15"/>
    </row>
    <row r="72" spans="1:14" ht="15" customHeight="1">
      <c r="C72" s="57"/>
      <c r="D72" s="54" t="s">
        <v>402</v>
      </c>
      <c r="E72" s="16">
        <f>(I45/I38)/(I26/I35)</f>
        <v>1.494140625</v>
      </c>
      <c r="F72" s="2" t="str">
        <f>IF(E72&gt;G72,"&gt;","&lt;")</f>
        <v>&lt;</v>
      </c>
      <c r="G72" s="2">
        <v>2.2999999999999998</v>
      </c>
      <c r="I72" s="15"/>
    </row>
    <row r="73" spans="1:14" ht="15" customHeight="1">
      <c r="D73" s="13"/>
      <c r="I73" s="15"/>
    </row>
    <row r="74" spans="1:14" ht="15" customHeight="1">
      <c r="D74" s="54" t="s">
        <v>374</v>
      </c>
      <c r="E74" s="192" t="s">
        <v>396</v>
      </c>
      <c r="F74" s="193"/>
      <c r="G74" s="193"/>
      <c r="H74" s="193"/>
      <c r="I74" s="62"/>
      <c r="K74" t="s">
        <v>400</v>
      </c>
    </row>
    <row r="75" spans="1:14">
      <c r="E75" s="13"/>
      <c r="I75"/>
    </row>
    <row r="76" spans="1:14" ht="15">
      <c r="D76" s="54" t="s">
        <v>374</v>
      </c>
      <c r="E76" s="194">
        <f>IF(E72&lt;2.3,6800*M38^3*(1+0.4*E72^3)/M44*4.448,"( need not be checked !)")</f>
        <v>1627.27044883035</v>
      </c>
      <c r="F76" s="194"/>
      <c r="I76"/>
      <c r="M76" s="79">
        <f>IF(E76="( need not be checked !)",0.0001,E76/4.448)</f>
        <v>365.84317644567216</v>
      </c>
      <c r="N76" t="s">
        <v>404</v>
      </c>
    </row>
    <row r="77" spans="1:14" ht="16.5">
      <c r="D77" s="11" t="s">
        <v>382</v>
      </c>
      <c r="E77" s="80" t="e">
        <f>IF(E76="( need not be checked !)","N/A",I23/E76)</f>
        <v>#REF!</v>
      </c>
      <c r="G77" s="67" t="e">
        <f>IF(E72&gt;2.3,"a pair of stiffener is not required !",IF(E76&gt;I23,"a pair of stiffener is not required !","a pair of stiffeners is required !"))</f>
        <v>#REF!</v>
      </c>
      <c r="I77" s="15"/>
    </row>
    <row r="78" spans="1:14">
      <c r="D78" s="13"/>
      <c r="I78" s="15"/>
    </row>
    <row r="79" spans="1:14">
      <c r="D79" s="13"/>
      <c r="I79" s="15"/>
    </row>
    <row r="80" spans="1:14" ht="15.4">
      <c r="B80" s="54" t="s">
        <v>376</v>
      </c>
      <c r="C80" s="57" t="s">
        <v>397</v>
      </c>
      <c r="D80" s="13"/>
      <c r="I80" s="15"/>
    </row>
    <row r="81" spans="1:17">
      <c r="D81" s="13"/>
      <c r="I81" s="15"/>
    </row>
    <row r="82" spans="1:17" ht="15.4">
      <c r="C82" s="57"/>
      <c r="D82" s="54" t="s">
        <v>402</v>
      </c>
      <c r="E82" s="16">
        <f>(I45/I38)/(I26/I35)</f>
        <v>1.494140625</v>
      </c>
      <c r="F82" s="2" t="str">
        <f>IF(E82&gt;G82,"&gt;","&lt;")</f>
        <v>&lt;</v>
      </c>
      <c r="G82" s="2">
        <v>1.7</v>
      </c>
      <c r="I82" s="15"/>
    </row>
    <row r="83" spans="1:17">
      <c r="D83" s="13"/>
      <c r="I83" s="15"/>
    </row>
    <row r="84" spans="1:17" ht="17.25">
      <c r="D84" s="54" t="s">
        <v>374</v>
      </c>
      <c r="E84" s="55" t="s">
        <v>399</v>
      </c>
      <c r="F84" s="55"/>
      <c r="G84" s="55"/>
      <c r="H84" s="60"/>
      <c r="I84" s="60"/>
      <c r="K84" t="s">
        <v>401</v>
      </c>
    </row>
    <row r="85" spans="1:17">
      <c r="D85" s="13"/>
      <c r="I85" s="15"/>
    </row>
    <row r="86" spans="1:17" ht="15">
      <c r="D86" s="54" t="s">
        <v>374</v>
      </c>
      <c r="E86" s="194">
        <f>IF(E82&lt;1.7,6800*M38^3*(0.4*E82^3)/M44*4.448,"( need not be checked !)")</f>
        <v>930.14013263663196</v>
      </c>
      <c r="F86" s="194"/>
      <c r="I86" s="15"/>
      <c r="M86" s="79">
        <f>IF(E86="( need not be checked !)",0.0001,E86/4.448)</f>
        <v>209.11423845248018</v>
      </c>
      <c r="N86" t="s">
        <v>404</v>
      </c>
    </row>
    <row r="87" spans="1:17" ht="16.5">
      <c r="D87" s="11" t="s">
        <v>382</v>
      </c>
      <c r="E87" s="80" t="e">
        <f>IF(E86="( need not be checked !)","N/A",I23/E86)</f>
        <v>#REF!</v>
      </c>
      <c r="G87" s="67" t="e">
        <f>IF(E82&gt;1.7,"a pair of stiffener is not required !",IF(E86&gt;I23,"a pair of stiffener is not required !","a pair of stiffeners is required !"))</f>
        <v>#REF!</v>
      </c>
      <c r="I87" s="15"/>
    </row>
    <row r="88" spans="1:17">
      <c r="D88" s="13"/>
      <c r="I88" s="15"/>
    </row>
    <row r="89" spans="1:17" ht="15.75">
      <c r="A89" s="86">
        <v>3.4</v>
      </c>
      <c r="B89" s="86" t="s">
        <v>405</v>
      </c>
      <c r="C89" s="87"/>
      <c r="D89" s="88"/>
      <c r="E89" s="87"/>
      <c r="F89" s="87"/>
      <c r="G89" s="87"/>
      <c r="H89" s="87"/>
      <c r="I89" s="103"/>
      <c r="J89" s="87"/>
      <c r="K89" s="87"/>
      <c r="L89" s="87"/>
    </row>
    <row r="90" spans="1:17">
      <c r="D90" s="13"/>
      <c r="I90" s="15"/>
    </row>
    <row r="91" spans="1:17" ht="16.899999999999999">
      <c r="D91" s="54" t="s">
        <v>406</v>
      </c>
      <c r="E91" s="55" t="s">
        <v>407</v>
      </c>
      <c r="I91"/>
      <c r="K91" t="s">
        <v>409</v>
      </c>
      <c r="M91" s="109"/>
      <c r="N91" s="64"/>
      <c r="Q91" s="66"/>
    </row>
    <row r="92" spans="1:17" ht="13.9">
      <c r="D92" s="57"/>
      <c r="E92" s="65"/>
      <c r="I92"/>
      <c r="J92" s="15"/>
      <c r="M92" s="109"/>
      <c r="N92" s="64"/>
    </row>
    <row r="93" spans="1:17" ht="15.4">
      <c r="D93" s="54" t="s">
        <v>374</v>
      </c>
      <c r="E93" s="55" t="s">
        <v>408</v>
      </c>
      <c r="I93"/>
      <c r="J93" s="15"/>
      <c r="M93" s="109"/>
      <c r="N93" s="64"/>
    </row>
    <row r="94" spans="1:17">
      <c r="E94" s="13"/>
      <c r="I94"/>
      <c r="J94" s="15"/>
      <c r="M94" s="109"/>
      <c r="N94" s="64"/>
    </row>
    <row r="95" spans="1:17" ht="15">
      <c r="D95" s="54" t="s">
        <v>374</v>
      </c>
      <c r="E95" s="195">
        <f>0.6*4100*M38^3*M33^0.5/M45*4.448</f>
        <v>1882.5746220812473</v>
      </c>
      <c r="F95" s="195"/>
      <c r="I95"/>
      <c r="J95" s="15"/>
      <c r="M95" s="79">
        <f>IF(E95="( need not be checked !)",0.0001,E95/4.448)</f>
        <v>423.24069741035231</v>
      </c>
      <c r="N95" t="s">
        <v>404</v>
      </c>
    </row>
    <row r="96" spans="1:17" ht="16.5">
      <c r="D96" s="11" t="s">
        <v>382</v>
      </c>
      <c r="E96" s="80" t="e">
        <f>I23/E95</f>
        <v>#REF!</v>
      </c>
      <c r="G96" s="67" t="e">
        <f>IF(E96&lt;1,"a pair of stiffener is not required !","a pair of stiffeners is required !")</f>
        <v>#REF!</v>
      </c>
      <c r="I96"/>
      <c r="J96" s="15"/>
      <c r="M96" s="109"/>
      <c r="N96" s="64"/>
    </row>
    <row r="97" spans="1:14">
      <c r="D97" s="13"/>
      <c r="I97" s="15"/>
    </row>
    <row r="98" spans="1:14" ht="15.75">
      <c r="A98" s="86">
        <v>3.4</v>
      </c>
      <c r="B98" s="86" t="s">
        <v>410</v>
      </c>
      <c r="C98" s="87"/>
      <c r="D98" s="88"/>
      <c r="E98" s="87"/>
      <c r="F98" s="87"/>
      <c r="G98" s="87"/>
      <c r="H98" s="87"/>
      <c r="I98" s="103"/>
      <c r="J98" s="87"/>
      <c r="K98" s="87"/>
      <c r="L98" s="87"/>
    </row>
    <row r="99" spans="1:14">
      <c r="D99" s="13"/>
      <c r="I99" s="15"/>
    </row>
    <row r="100" spans="1:14" ht="16.899999999999999">
      <c r="D100" s="54" t="s">
        <v>411</v>
      </c>
      <c r="E100" s="57" t="s">
        <v>412</v>
      </c>
      <c r="F100" s="57"/>
      <c r="I100" s="15"/>
      <c r="K100" t="s">
        <v>419</v>
      </c>
    </row>
    <row r="101" spans="1:14" ht="15">
      <c r="D101" s="54" t="s">
        <v>417</v>
      </c>
      <c r="E101" s="54" t="s">
        <v>418</v>
      </c>
      <c r="I101" s="15"/>
    </row>
    <row r="102" spans="1:14">
      <c r="I102" s="15"/>
    </row>
    <row r="103" spans="1:14" ht="16.899999999999999">
      <c r="D103" s="54" t="s">
        <v>411</v>
      </c>
      <c r="E103" s="68" t="e">
        <f>(5/3*M23-M33*M38*(M37+5*M42))/M109*25.4^2</f>
        <v>#REF!</v>
      </c>
      <c r="F103" t="s">
        <v>65</v>
      </c>
      <c r="G103" s="67" t="e">
        <f>IF(E103&lt;0,"a pair of stiffener is not required !","a pair of stiffeners is required !")</f>
        <v>#REF!</v>
      </c>
      <c r="I103" s="15"/>
      <c r="M103" s="64" t="e">
        <f>E103/25.4^2</f>
        <v>#REF!</v>
      </c>
      <c r="N103" t="s">
        <v>448</v>
      </c>
    </row>
    <row r="104" spans="1:14">
      <c r="I104" s="15"/>
    </row>
    <row r="105" spans="1:14">
      <c r="I105" s="15"/>
    </row>
    <row r="106" spans="1:14" ht="17.649999999999999">
      <c r="A106" s="85">
        <v>4</v>
      </c>
      <c r="B106" s="85" t="s">
        <v>423</v>
      </c>
      <c r="C106" s="87"/>
      <c r="D106" s="87"/>
      <c r="E106" s="87"/>
      <c r="F106" s="87"/>
      <c r="G106" s="87"/>
      <c r="H106" s="87"/>
      <c r="I106" s="103"/>
      <c r="J106" s="87"/>
      <c r="K106" s="87"/>
      <c r="L106" s="87"/>
    </row>
    <row r="107" spans="1:14" ht="15.75">
      <c r="A107" s="87"/>
      <c r="B107" s="86" t="s">
        <v>424</v>
      </c>
      <c r="C107" s="87"/>
      <c r="D107" s="88"/>
      <c r="E107" s="87"/>
      <c r="F107" s="87"/>
      <c r="G107" s="87"/>
      <c r="H107" s="87"/>
      <c r="I107" s="103"/>
      <c r="J107" s="87"/>
      <c r="K107" s="87"/>
      <c r="L107" s="87"/>
    </row>
    <row r="108" spans="1:14" ht="15.75">
      <c r="A108" s="86">
        <v>4.0999999999999996</v>
      </c>
      <c r="B108" s="86" t="s">
        <v>54</v>
      </c>
      <c r="C108" s="87"/>
      <c r="D108" s="88"/>
      <c r="E108" s="87"/>
      <c r="F108" s="87"/>
      <c r="G108" s="87"/>
      <c r="H108" s="87"/>
      <c r="I108" s="103"/>
      <c r="J108" s="87"/>
      <c r="K108" s="87"/>
      <c r="L108" s="87"/>
    </row>
    <row r="109" spans="1:14" ht="16.5">
      <c r="B109" t="s">
        <v>55</v>
      </c>
      <c r="H109" t="s">
        <v>415</v>
      </c>
      <c r="I109" s="3">
        <v>345</v>
      </c>
      <c r="J109" t="s">
        <v>44</v>
      </c>
      <c r="M109" s="64">
        <f t="shared" ref="M109:M111" si="2">I109/6.89</f>
        <v>50.072568940493468</v>
      </c>
      <c r="N109" t="s">
        <v>58</v>
      </c>
    </row>
    <row r="110" spans="1:14" ht="16.5">
      <c r="B110" t="s">
        <v>365</v>
      </c>
      <c r="H110" t="s">
        <v>416</v>
      </c>
      <c r="I110" s="3">
        <v>470</v>
      </c>
      <c r="J110" t="s">
        <v>46</v>
      </c>
      <c r="M110" s="64">
        <f t="shared" si="2"/>
        <v>68.214804063860669</v>
      </c>
      <c r="N110" t="s">
        <v>58</v>
      </c>
    </row>
    <row r="111" spans="1:14" ht="16.5">
      <c r="B111" t="s">
        <v>508</v>
      </c>
      <c r="H111" t="s">
        <v>465</v>
      </c>
      <c r="I111" s="3">
        <v>210000</v>
      </c>
      <c r="J111" t="s">
        <v>46</v>
      </c>
      <c r="M111" s="64">
        <f t="shared" si="2"/>
        <v>30478.955007256896</v>
      </c>
      <c r="N111" t="s">
        <v>58</v>
      </c>
    </row>
    <row r="112" spans="1:14" ht="16.5">
      <c r="B112" t="s">
        <v>509</v>
      </c>
      <c r="H112" s="60" t="s">
        <v>449</v>
      </c>
      <c r="I112" s="30">
        <f>25*I38</f>
        <v>500</v>
      </c>
      <c r="J112" t="s">
        <v>2</v>
      </c>
      <c r="M112" s="64">
        <f>I112/25.4</f>
        <v>19.685039370078741</v>
      </c>
      <c r="N112" t="s">
        <v>403</v>
      </c>
    </row>
    <row r="113" spans="1:14" ht="16.5">
      <c r="B113" t="s">
        <v>507</v>
      </c>
      <c r="D113" s="13"/>
      <c r="H113" t="s">
        <v>510</v>
      </c>
      <c r="I113" s="2">
        <f>CEILING(((I35-I38)/2)-25,1)</f>
        <v>115</v>
      </c>
      <c r="J113" t="s">
        <v>2</v>
      </c>
      <c r="M113" s="64">
        <f t="shared" ref="M113:M114" si="3">I113/25.4</f>
        <v>4.5275590551181102</v>
      </c>
      <c r="N113" t="s">
        <v>403</v>
      </c>
    </row>
    <row r="114" spans="1:14" ht="16.5">
      <c r="D114" s="13"/>
      <c r="H114" t="s">
        <v>511</v>
      </c>
      <c r="I114" s="30">
        <f>CEILING(((I35-I38)/2)-25,1)</f>
        <v>115</v>
      </c>
      <c r="J114" t="s">
        <v>2</v>
      </c>
      <c r="M114" s="64">
        <f t="shared" si="3"/>
        <v>4.5275590551181102</v>
      </c>
      <c r="N114" t="s">
        <v>403</v>
      </c>
    </row>
    <row r="115" spans="1:14">
      <c r="D115" s="13"/>
      <c r="I115" s="15"/>
    </row>
    <row r="116" spans="1:14" ht="13.9">
      <c r="B116" s="57"/>
      <c r="C116" s="57"/>
      <c r="D116" s="70"/>
      <c r="E116" s="57"/>
      <c r="I116" s="15"/>
    </row>
    <row r="117" spans="1:14" ht="15">
      <c r="B117" s="57"/>
      <c r="C117" s="65" t="s">
        <v>428</v>
      </c>
      <c r="D117" s="57"/>
      <c r="E117" s="54"/>
      <c r="I117" s="15"/>
    </row>
    <row r="118" spans="1:14" ht="13.9">
      <c r="B118" s="54" t="s">
        <v>429</v>
      </c>
      <c r="D118" s="71"/>
      <c r="E118" s="65"/>
      <c r="I118" s="15"/>
    </row>
    <row r="119" spans="1:14" ht="13.9">
      <c r="C119" s="57"/>
      <c r="D119" s="54"/>
      <c r="E119" s="57"/>
      <c r="I119" s="15"/>
    </row>
    <row r="120" spans="1:14" ht="13.9">
      <c r="B120" s="57"/>
      <c r="C120" s="57"/>
      <c r="D120" s="71"/>
      <c r="E120" s="54"/>
      <c r="I120" s="15"/>
    </row>
    <row r="121" spans="1:14" ht="13.9">
      <c r="A121" s="57"/>
      <c r="C121" s="57"/>
      <c r="D121" s="70"/>
      <c r="E121" s="196" t="s">
        <v>431</v>
      </c>
      <c r="I121" s="15"/>
    </row>
    <row r="122" spans="1:14" ht="13.9">
      <c r="B122" s="57"/>
      <c r="C122" s="57"/>
      <c r="D122" s="54"/>
      <c r="E122" s="197"/>
      <c r="I122" s="15"/>
    </row>
    <row r="123" spans="1:14" ht="13.9">
      <c r="B123" s="57"/>
      <c r="C123" s="57"/>
      <c r="D123" s="57"/>
      <c r="E123" s="57"/>
      <c r="I123" s="15"/>
    </row>
    <row r="124" spans="1:14" ht="13.9">
      <c r="B124" s="55"/>
      <c r="D124" s="72"/>
      <c r="E124" s="57"/>
      <c r="I124" s="15"/>
    </row>
    <row r="125" spans="1:14" ht="13.9">
      <c r="B125" s="57"/>
      <c r="C125" s="57"/>
      <c r="D125" s="57"/>
      <c r="E125" s="57"/>
      <c r="I125" s="15"/>
    </row>
    <row r="126" spans="1:14" ht="13.9">
      <c r="B126" s="57"/>
      <c r="C126" s="54"/>
      <c r="D126" s="56"/>
      <c r="E126" s="57"/>
      <c r="I126" s="15"/>
    </row>
    <row r="127" spans="1:14" ht="13.9">
      <c r="C127" s="54"/>
      <c r="D127" s="56"/>
      <c r="E127" s="55"/>
      <c r="I127" s="15"/>
    </row>
    <row r="128" spans="1:14" ht="15" customHeight="1">
      <c r="B128" s="57"/>
      <c r="C128" s="55" t="s">
        <v>433</v>
      </c>
      <c r="D128" s="73"/>
      <c r="E128" s="55"/>
      <c r="I128" s="15"/>
    </row>
    <row r="129" spans="1:14" ht="15.75">
      <c r="A129" s="86">
        <v>4.2</v>
      </c>
      <c r="B129" s="86" t="s">
        <v>434</v>
      </c>
      <c r="C129" s="87"/>
      <c r="D129" s="87"/>
      <c r="E129" s="87"/>
      <c r="F129" s="87"/>
      <c r="G129" s="87"/>
      <c r="H129" s="87"/>
      <c r="I129" s="103"/>
      <c r="J129" s="87"/>
      <c r="K129" s="87"/>
      <c r="L129" s="87"/>
    </row>
    <row r="130" spans="1:14" ht="16.5">
      <c r="C130" s="11" t="s">
        <v>435</v>
      </c>
      <c r="D130" t="s">
        <v>436</v>
      </c>
      <c r="I130"/>
      <c r="J130" s="15"/>
      <c r="M130" s="109"/>
      <c r="N130" s="64"/>
    </row>
    <row r="131" spans="1:14">
      <c r="C131" s="11" t="s">
        <v>437</v>
      </c>
      <c r="D131" s="2">
        <f>I35/3-I38/2</f>
        <v>90</v>
      </c>
      <c r="E131" t="s">
        <v>2</v>
      </c>
      <c r="F131" t="s">
        <v>440</v>
      </c>
      <c r="I131"/>
      <c r="J131" s="15"/>
      <c r="M131" s="109"/>
      <c r="N131" s="64"/>
    </row>
    <row r="132" spans="1:14" ht="16.5">
      <c r="C132" s="11" t="s">
        <v>427</v>
      </c>
      <c r="D132" t="s">
        <v>439</v>
      </c>
      <c r="E132" s="13"/>
      <c r="I132"/>
      <c r="J132" s="15"/>
      <c r="M132" s="109"/>
      <c r="N132" s="64"/>
    </row>
    <row r="133" spans="1:14">
      <c r="C133" s="11" t="s">
        <v>437</v>
      </c>
      <c r="D133" s="107">
        <f>(I35-I38)/2-25.4</f>
        <v>114.6</v>
      </c>
      <c r="E133" t="s">
        <v>2</v>
      </c>
      <c r="F133" s="12" t="str">
        <f>IF(D133&gt;D131,"OK","NOT OK")</f>
        <v>OK</v>
      </c>
      <c r="I133"/>
      <c r="J133" s="15"/>
      <c r="M133" s="64">
        <f>D133/25.4</f>
        <v>4.5118110236220472</v>
      </c>
      <c r="N133" t="s">
        <v>403</v>
      </c>
    </row>
    <row r="134" spans="1:14">
      <c r="C134" s="11"/>
      <c r="D134" s="2"/>
      <c r="E134" s="13"/>
      <c r="I134"/>
      <c r="J134" s="15"/>
    </row>
    <row r="135" spans="1:14" ht="15.75">
      <c r="A135" s="86">
        <v>4.3</v>
      </c>
      <c r="B135" s="86" t="s">
        <v>447</v>
      </c>
      <c r="C135" s="87"/>
      <c r="D135" s="88"/>
      <c r="E135" s="87"/>
      <c r="F135" s="87"/>
      <c r="G135" s="87"/>
      <c r="H135" s="87"/>
      <c r="I135" s="103"/>
      <c r="J135" s="87"/>
      <c r="K135" s="87"/>
      <c r="L135" s="87"/>
      <c r="M135" s="109"/>
    </row>
    <row r="136" spans="1:14" ht="14.65">
      <c r="B136" s="1" t="s">
        <v>438</v>
      </c>
      <c r="E136" s="13"/>
      <c r="I136"/>
      <c r="J136" s="15"/>
    </row>
    <row r="137" spans="1:14" ht="16.899999999999999">
      <c r="C137" s="11" t="s">
        <v>442</v>
      </c>
      <c r="D137" t="s">
        <v>426</v>
      </c>
      <c r="E137" s="13"/>
      <c r="I137"/>
      <c r="K137" t="s">
        <v>445</v>
      </c>
      <c r="M137" s="109"/>
    </row>
    <row r="138" spans="1:14" ht="16.899999999999999">
      <c r="C138" s="11" t="s">
        <v>443</v>
      </c>
      <c r="D138" t="s">
        <v>441</v>
      </c>
      <c r="E138" s="13"/>
      <c r="I138"/>
      <c r="J138" s="15"/>
    </row>
    <row r="139" spans="1:14">
      <c r="C139" s="11" t="s">
        <v>437</v>
      </c>
      <c r="D139" s="74">
        <f>M133/(95/M109^0.5)*25.4</f>
        <v>8.5361285931073212</v>
      </c>
      <c r="E139" s="17" t="s">
        <v>2</v>
      </c>
      <c r="F139" t="s">
        <v>440</v>
      </c>
      <c r="I139"/>
      <c r="J139" s="15"/>
    </row>
    <row r="140" spans="1:14" ht="16.5">
      <c r="C140" s="11" t="s">
        <v>444</v>
      </c>
      <c r="D140" s="108">
        <v>20</v>
      </c>
      <c r="E140" s="17" t="s">
        <v>2</v>
      </c>
      <c r="F140" s="12" t="str">
        <f>IF(D140&gt;D139,"OK","NOT OK")</f>
        <v>OK</v>
      </c>
      <c r="I140"/>
      <c r="J140" s="15"/>
      <c r="M140" s="64">
        <f>D140/25.4</f>
        <v>0.78740157480314965</v>
      </c>
      <c r="N140" t="s">
        <v>403</v>
      </c>
    </row>
    <row r="141" spans="1:14">
      <c r="E141" s="13"/>
      <c r="I141"/>
      <c r="J141" s="15"/>
    </row>
    <row r="142" spans="1:14" ht="15.75">
      <c r="A142" s="86">
        <v>4.4000000000000004</v>
      </c>
      <c r="B142" s="86" t="s">
        <v>446</v>
      </c>
      <c r="C142" s="87"/>
      <c r="D142" s="88"/>
      <c r="E142" s="87"/>
      <c r="F142" s="87"/>
      <c r="G142" s="87"/>
      <c r="H142" s="87"/>
      <c r="I142" s="103"/>
      <c r="J142" s="87"/>
      <c r="K142" s="87"/>
      <c r="L142" s="87"/>
      <c r="M142" s="109"/>
    </row>
    <row r="143" spans="1:14" ht="12" customHeight="1">
      <c r="D143" s="13"/>
      <c r="M143" s="109"/>
    </row>
    <row r="144" spans="1:14" ht="27">
      <c r="B144" s="95" t="s">
        <v>500</v>
      </c>
      <c r="C144" s="96" t="s">
        <v>505</v>
      </c>
      <c r="D144" s="96" t="s">
        <v>506</v>
      </c>
      <c r="E144" s="95" t="s">
        <v>514</v>
      </c>
      <c r="F144" s="95" t="s">
        <v>512</v>
      </c>
      <c r="G144" s="96" t="s">
        <v>515</v>
      </c>
      <c r="H144" s="95" t="s">
        <v>513</v>
      </c>
      <c r="I144" s="96" t="s">
        <v>516</v>
      </c>
      <c r="J144" s="95" t="s">
        <v>517</v>
      </c>
      <c r="K144" s="95" t="s">
        <v>518</v>
      </c>
      <c r="M144" s="109"/>
    </row>
    <row r="145" spans="1:14" ht="16.5">
      <c r="B145" s="91" t="s">
        <v>504</v>
      </c>
      <c r="C145" s="50">
        <f>I38</f>
        <v>20</v>
      </c>
      <c r="D145" s="92">
        <f>I112</f>
        <v>500</v>
      </c>
      <c r="E145" s="92">
        <f>C145*D145</f>
        <v>10000</v>
      </c>
      <c r="F145" s="92">
        <v>0</v>
      </c>
      <c r="G145" s="93">
        <f>E145*F145^2</f>
        <v>0</v>
      </c>
      <c r="H145" s="92">
        <v>0</v>
      </c>
      <c r="I145" s="93">
        <f>E145*H145^2</f>
        <v>0</v>
      </c>
      <c r="J145" s="93">
        <f>G145+1/12*C145*D145^3</f>
        <v>208333333.33333331</v>
      </c>
      <c r="K145" s="93">
        <f>I145+1/12*D145*C145^3</f>
        <v>333333.33333333331</v>
      </c>
      <c r="L145" s="90"/>
      <c r="M145" s="109"/>
    </row>
    <row r="146" spans="1:14">
      <c r="B146" s="91" t="s">
        <v>501</v>
      </c>
      <c r="C146" s="50">
        <f>IF(I113=0,0,D140)</f>
        <v>20</v>
      </c>
      <c r="D146" s="94">
        <f>IF(C146=0,0,D133)</f>
        <v>114.6</v>
      </c>
      <c r="E146" s="94">
        <f>2*C146*D146</f>
        <v>4584</v>
      </c>
      <c r="F146" s="92">
        <f>I113</f>
        <v>115</v>
      </c>
      <c r="G146" s="93">
        <f t="shared" ref="G146:G148" si="4">E146*F146^2</f>
        <v>60623400</v>
      </c>
      <c r="H146" s="92">
        <f>IF(C146=0,0,D146/2+C145/2)</f>
        <v>67.3</v>
      </c>
      <c r="I146" s="93">
        <f t="shared" ref="I146:I148" si="5">E146*H146^2</f>
        <v>20762265.359999999</v>
      </c>
      <c r="J146" s="93">
        <f>G146+2*(1/12*D146*C146^3)</f>
        <v>60776200</v>
      </c>
      <c r="K146" s="93">
        <f>I146+2*(1/12*C146*D146^3)</f>
        <v>25779132.479999997</v>
      </c>
      <c r="L146" s="90"/>
      <c r="M146" s="109"/>
    </row>
    <row r="147" spans="1:14">
      <c r="B147" s="91" t="s">
        <v>502</v>
      </c>
      <c r="C147" s="50">
        <v>0</v>
      </c>
      <c r="D147" s="94">
        <f>D133</f>
        <v>114.6</v>
      </c>
      <c r="E147" s="92">
        <f t="shared" ref="E147:E148" si="6">2*C147*D147</f>
        <v>0</v>
      </c>
      <c r="F147" s="92">
        <v>0</v>
      </c>
      <c r="G147" s="93">
        <f t="shared" si="4"/>
        <v>0</v>
      </c>
      <c r="H147" s="92">
        <f>D147/2+C145/2</f>
        <v>67.3</v>
      </c>
      <c r="I147" s="93">
        <f t="shared" si="5"/>
        <v>0</v>
      </c>
      <c r="J147" s="93">
        <f t="shared" ref="J147:J148" si="7">G147+2*(1/12*D147*C147^3)</f>
        <v>0</v>
      </c>
      <c r="K147" s="93">
        <f>I147+2*(1/12*C147*D147^3)</f>
        <v>0</v>
      </c>
      <c r="L147" s="90"/>
      <c r="M147" s="109"/>
    </row>
    <row r="148" spans="1:14">
      <c r="B148" s="91" t="s">
        <v>503</v>
      </c>
      <c r="C148" s="50">
        <f>IF(I114=0,0,D140)</f>
        <v>20</v>
      </c>
      <c r="D148" s="94">
        <f>IF(C148=0,0,D133)</f>
        <v>114.6</v>
      </c>
      <c r="E148" s="92">
        <f t="shared" si="6"/>
        <v>4584</v>
      </c>
      <c r="F148" s="92">
        <f>I114</f>
        <v>115</v>
      </c>
      <c r="G148" s="93">
        <f t="shared" si="4"/>
        <v>60623400</v>
      </c>
      <c r="H148" s="92">
        <f>IF(C148=0,0,D148/2+C145/2)</f>
        <v>67.3</v>
      </c>
      <c r="I148" s="93">
        <f t="shared" si="5"/>
        <v>20762265.359999999</v>
      </c>
      <c r="J148" s="93">
        <f t="shared" si="7"/>
        <v>60776200</v>
      </c>
      <c r="K148" s="93">
        <f t="shared" ref="K148" si="8">I148+2*(1/12*C148*D148^3)</f>
        <v>25779132.479999997</v>
      </c>
      <c r="L148" s="90"/>
      <c r="M148" s="109"/>
    </row>
    <row r="149" spans="1:14" ht="16.5">
      <c r="B149" s="91"/>
      <c r="C149" s="91"/>
      <c r="D149" s="97" t="s">
        <v>520</v>
      </c>
      <c r="E149" s="98">
        <f>SUM(E145:E148)</f>
        <v>19168</v>
      </c>
      <c r="F149" s="92"/>
      <c r="G149" s="92"/>
      <c r="H149" s="92"/>
      <c r="I149" s="99" t="s">
        <v>523</v>
      </c>
      <c r="J149" s="97">
        <f>SUM(J145:J148)</f>
        <v>329885733.33333331</v>
      </c>
      <c r="K149" s="97">
        <f>SUM(K145:K148)</f>
        <v>51891598.293333322</v>
      </c>
      <c r="L149" s="90"/>
      <c r="M149" s="109"/>
    </row>
    <row r="150" spans="1:14" ht="11.25" customHeight="1">
      <c r="D150" s="13"/>
      <c r="M150" s="109"/>
    </row>
    <row r="151" spans="1:14" ht="16.899999999999999">
      <c r="B151" t="s">
        <v>451</v>
      </c>
      <c r="F151" t="s">
        <v>519</v>
      </c>
      <c r="I151" s="30">
        <f>E149</f>
        <v>19168</v>
      </c>
      <c r="J151" t="s">
        <v>65</v>
      </c>
      <c r="M151" s="64">
        <f>I151/25.4^2</f>
        <v>29.710459420918845</v>
      </c>
      <c r="N151" t="s">
        <v>448</v>
      </c>
    </row>
    <row r="152" spans="1:14" ht="16.899999999999999">
      <c r="B152" t="s">
        <v>453</v>
      </c>
      <c r="D152" s="13"/>
      <c r="F152" t="s">
        <v>522</v>
      </c>
      <c r="I152" s="82">
        <f>J149</f>
        <v>329885733.33333331</v>
      </c>
      <c r="J152" t="s">
        <v>66</v>
      </c>
      <c r="M152" s="64">
        <f>I152/25.4^4</f>
        <v>792.55364454474136</v>
      </c>
      <c r="N152" t="s">
        <v>458</v>
      </c>
    </row>
    <row r="153" spans="1:14" ht="16.899999999999999">
      <c r="B153" t="s">
        <v>454</v>
      </c>
      <c r="F153" t="s">
        <v>455</v>
      </c>
      <c r="I153" s="61">
        <f>(I152/I151)^0.5</f>
        <v>131.18777508466206</v>
      </c>
      <c r="J153" t="s">
        <v>2</v>
      </c>
      <c r="M153" s="64">
        <f>I153/25.4</f>
        <v>5.1648730348292151</v>
      </c>
      <c r="N153" t="s">
        <v>403</v>
      </c>
    </row>
    <row r="154" spans="1:14" ht="16.899999999999999">
      <c r="B154" t="s">
        <v>453</v>
      </c>
      <c r="D154" s="13"/>
      <c r="F154" t="s">
        <v>521</v>
      </c>
      <c r="I154" s="82">
        <f>K149</f>
        <v>51891598.293333322</v>
      </c>
      <c r="J154" t="s">
        <v>66</v>
      </c>
      <c r="M154" s="64">
        <f>I154/25.4^4</f>
        <v>124.67006357948895</v>
      </c>
      <c r="N154" t="s">
        <v>458</v>
      </c>
    </row>
    <row r="155" spans="1:14" ht="16.899999999999999">
      <c r="B155" t="s">
        <v>454</v>
      </c>
      <c r="D155" s="13"/>
      <c r="F155" t="s">
        <v>456</v>
      </c>
      <c r="I155" s="61">
        <f>(I154/I151)^0.5</f>
        <v>52.030754464335715</v>
      </c>
      <c r="J155" t="s">
        <v>2</v>
      </c>
      <c r="M155" s="64">
        <f>I155/25.4</f>
        <v>2.0484549001706975</v>
      </c>
      <c r="N155" t="s">
        <v>403</v>
      </c>
    </row>
    <row r="156" spans="1:14" ht="15.75">
      <c r="A156" s="86">
        <v>4.5</v>
      </c>
      <c r="B156" s="86" t="s">
        <v>461</v>
      </c>
      <c r="C156" s="87"/>
      <c r="D156" s="88"/>
      <c r="E156" s="87"/>
      <c r="F156" s="87"/>
      <c r="G156" s="87"/>
      <c r="H156" s="87"/>
      <c r="I156" s="103"/>
      <c r="J156" s="87"/>
      <c r="K156" s="87"/>
      <c r="L156" s="87"/>
    </row>
    <row r="157" spans="1:14">
      <c r="B157" s="81" t="s">
        <v>476</v>
      </c>
      <c r="D157" s="13"/>
      <c r="I157" s="15"/>
    </row>
    <row r="158" spans="1:14">
      <c r="B158" s="25"/>
      <c r="D158" s="13"/>
      <c r="I158" s="15"/>
    </row>
    <row r="159" spans="1:14">
      <c r="C159" t="s">
        <v>466</v>
      </c>
      <c r="D159" s="7">
        <f>D177*D178/D179</f>
        <v>10.340038416486351</v>
      </c>
      <c r="E159" s="7" t="str">
        <f>IF(D159&lt;F159,"&lt;","&gt;")</f>
        <v>&lt;</v>
      </c>
      <c r="F159" s="7">
        <f>D176</f>
        <v>109.61373351564674</v>
      </c>
      <c r="I159" s="15"/>
      <c r="M159" s="64">
        <f>D159/25.4</f>
        <v>0.40708812663332095</v>
      </c>
      <c r="N159" t="s">
        <v>403</v>
      </c>
    </row>
    <row r="160" spans="1:14">
      <c r="D160" s="7"/>
      <c r="E160" s="7"/>
      <c r="F160" s="7"/>
      <c r="I160" s="15"/>
    </row>
    <row r="161" spans="2:14" ht="15.4">
      <c r="B161" t="s">
        <v>372</v>
      </c>
      <c r="C161" t="s">
        <v>462</v>
      </c>
      <c r="K161" t="s">
        <v>482</v>
      </c>
    </row>
    <row r="162" spans="2:14" ht="13.9">
      <c r="C162" s="54"/>
      <c r="D162" s="13"/>
      <c r="F162" s="54"/>
      <c r="I162"/>
    </row>
    <row r="163" spans="2:14" ht="15.4">
      <c r="C163" s="11" t="s">
        <v>470</v>
      </c>
      <c r="D163" s="191" t="s">
        <v>471</v>
      </c>
      <c r="E163" s="191"/>
      <c r="F163" s="191"/>
      <c r="I163"/>
    </row>
    <row r="164" spans="2:14" ht="15.4">
      <c r="D164" s="190" t="s">
        <v>472</v>
      </c>
      <c r="E164" s="190"/>
      <c r="F164" s="190"/>
      <c r="I164"/>
    </row>
    <row r="165" spans="2:14">
      <c r="D165" s="13"/>
    </row>
    <row r="166" spans="2:14">
      <c r="C166" s="11" t="s">
        <v>437</v>
      </c>
      <c r="D166" s="78">
        <f>IF(D159&lt;F159,(((1-M159^2/(2*D176^2))*M109)/(5/3+3/8*(M159/D176)-(M159^3)/(8*D176^3)))*6.89476,"N/A")</f>
        <v>206.96863353152054</v>
      </c>
      <c r="M166" s="79">
        <f>IF(D166="N/A","N/A",D166/6.89)</f>
        <v>30.038988901526931</v>
      </c>
      <c r="N166" t="s">
        <v>58</v>
      </c>
    </row>
    <row r="167" spans="2:14">
      <c r="D167" s="13"/>
      <c r="M167" s="79"/>
    </row>
    <row r="168" spans="2:14" ht="15.4">
      <c r="B168" t="s">
        <v>372</v>
      </c>
      <c r="C168" t="s">
        <v>468</v>
      </c>
      <c r="D168" s="13"/>
      <c r="I168"/>
      <c r="K168" t="s">
        <v>483</v>
      </c>
      <c r="M168" s="79"/>
    </row>
    <row r="169" spans="2:14">
      <c r="D169" s="13"/>
      <c r="I169"/>
      <c r="M169" s="79"/>
    </row>
    <row r="170" spans="2:14" ht="16.149999999999999">
      <c r="C170" s="11" t="s">
        <v>470</v>
      </c>
      <c r="D170" s="77" t="s">
        <v>473</v>
      </c>
      <c r="I170"/>
      <c r="M170" s="79"/>
    </row>
    <row r="171" spans="2:14" ht="15.4">
      <c r="D171" s="30" t="s">
        <v>474</v>
      </c>
      <c r="I171"/>
      <c r="M171" s="79"/>
    </row>
    <row r="172" spans="2:14">
      <c r="C172" s="11" t="s">
        <v>437</v>
      </c>
      <c r="D172" s="78" t="str">
        <f>IF(D159&lt;F159,"N/A",12*PI()^2*M111/(23*M159^2)*6.89476)</f>
        <v>N/A</v>
      </c>
      <c r="I172" s="15"/>
      <c r="M172" s="79" t="str">
        <f>IF(D172="N/A","N/A",D172/6.89)</f>
        <v>N/A</v>
      </c>
      <c r="N172" t="s">
        <v>58</v>
      </c>
    </row>
    <row r="173" spans="2:14">
      <c r="D173" s="13"/>
      <c r="I173" s="15"/>
      <c r="M173" s="79"/>
    </row>
    <row r="174" spans="2:14">
      <c r="B174" t="s">
        <v>469</v>
      </c>
      <c r="D174" s="13"/>
      <c r="I174" s="15"/>
      <c r="M174" s="79"/>
    </row>
    <row r="175" spans="2:14">
      <c r="C175" s="11" t="s">
        <v>463</v>
      </c>
      <c r="D175" s="30">
        <v>1</v>
      </c>
    </row>
    <row r="176" spans="2:14" ht="16.5">
      <c r="C176" s="11" t="s">
        <v>475</v>
      </c>
      <c r="D176" s="7">
        <f>(2*PI()^2*M111/(D175*M109))^0.5</f>
        <v>109.61373351564674</v>
      </c>
      <c r="E176" s="60" t="s">
        <v>481</v>
      </c>
    </row>
    <row r="177" spans="1:14">
      <c r="C177" s="11" t="s">
        <v>93</v>
      </c>
      <c r="D177" s="120">
        <v>1</v>
      </c>
    </row>
    <row r="178" spans="1:14">
      <c r="C178" s="11" t="s">
        <v>467</v>
      </c>
      <c r="D178" s="74">
        <f>I44</f>
        <v>538</v>
      </c>
      <c r="E178" t="s">
        <v>2</v>
      </c>
      <c r="M178" s="64">
        <f>D178/25.4</f>
        <v>21.181102362204726</v>
      </c>
      <c r="N178" t="s">
        <v>403</v>
      </c>
    </row>
    <row r="179" spans="1:14">
      <c r="C179" s="11" t="s">
        <v>134</v>
      </c>
      <c r="D179" s="7">
        <f>IF(I153&lt;I155,I153,I155)</f>
        <v>52.030754464335715</v>
      </c>
      <c r="E179" t="s">
        <v>2</v>
      </c>
      <c r="M179" s="64">
        <f>D179/25.4</f>
        <v>2.0484549001706975</v>
      </c>
      <c r="N179" t="s">
        <v>403</v>
      </c>
    </row>
    <row r="180" spans="1:14">
      <c r="D180" s="13"/>
      <c r="I180" s="15"/>
    </row>
    <row r="181" spans="1:14">
      <c r="B181" s="81" t="s">
        <v>480</v>
      </c>
      <c r="D181" s="13"/>
      <c r="I181" s="15"/>
    </row>
    <row r="182" spans="1:14" ht="16.5">
      <c r="C182" s="11" t="s">
        <v>477</v>
      </c>
      <c r="D182" s="2" t="s">
        <v>478</v>
      </c>
      <c r="I182"/>
      <c r="M182" s="109"/>
    </row>
    <row r="183" spans="1:14">
      <c r="C183" s="11" t="s">
        <v>437</v>
      </c>
      <c r="D183" s="7" t="e">
        <f>I23/I151*1000</f>
        <v>#REF!</v>
      </c>
      <c r="E183" t="s">
        <v>46</v>
      </c>
      <c r="I183"/>
      <c r="M183" s="109"/>
    </row>
    <row r="184" spans="1:14">
      <c r="I184"/>
      <c r="M184" s="109"/>
    </row>
    <row r="185" spans="1:14" ht="16.5">
      <c r="C185" s="11" t="s">
        <v>479</v>
      </c>
      <c r="D185" s="80" t="e">
        <f>D183/D166</f>
        <v>#REF!</v>
      </c>
      <c r="F185" s="12" t="e">
        <f>IF(D185&lt;1,"OK","NOT OK")</f>
        <v>#REF!</v>
      </c>
      <c r="I185"/>
      <c r="M185" s="109"/>
    </row>
    <row r="186" spans="1:14">
      <c r="C186" s="11"/>
      <c r="D186" s="80"/>
      <c r="F186" s="12"/>
      <c r="I186"/>
      <c r="M186" s="109"/>
    </row>
    <row r="187" spans="1:14" ht="15.75">
      <c r="A187" s="86">
        <v>4.5999999999999996</v>
      </c>
      <c r="B187" s="86" t="s">
        <v>485</v>
      </c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109"/>
    </row>
    <row r="188" spans="1:14">
      <c r="A188" s="89"/>
      <c r="B188" s="89" t="s">
        <v>524</v>
      </c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109"/>
    </row>
    <row r="189" spans="1:14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109"/>
    </row>
    <row r="190" spans="1:14" ht="16.5">
      <c r="B190" s="1" t="s">
        <v>110</v>
      </c>
      <c r="H190" t="s">
        <v>486</v>
      </c>
      <c r="I190" s="120">
        <v>17</v>
      </c>
      <c r="J190" t="s">
        <v>2</v>
      </c>
      <c r="K190" s="17" t="s">
        <v>111</v>
      </c>
      <c r="M190" s="64">
        <f t="shared" ref="M190:M191" si="9">I190/25.4</f>
        <v>0.6692913385826772</v>
      </c>
      <c r="N190" t="s">
        <v>403</v>
      </c>
    </row>
    <row r="191" spans="1:14" ht="16.5">
      <c r="B191" s="1"/>
      <c r="H191" t="s">
        <v>567</v>
      </c>
      <c r="I191" s="120">
        <v>11</v>
      </c>
      <c r="J191" t="s">
        <v>2</v>
      </c>
      <c r="K191" s="17" t="s">
        <v>568</v>
      </c>
      <c r="M191" s="64">
        <f t="shared" si="9"/>
        <v>0.43307086614173229</v>
      </c>
      <c r="N191" t="s">
        <v>403</v>
      </c>
    </row>
    <row r="192" spans="1:14" ht="16.5">
      <c r="B192" s="1" t="s">
        <v>56</v>
      </c>
      <c r="H192" t="s">
        <v>487</v>
      </c>
      <c r="I192" s="120">
        <v>17</v>
      </c>
      <c r="J192" t="s">
        <v>2</v>
      </c>
      <c r="K192" s="17" t="s">
        <v>111</v>
      </c>
      <c r="M192" s="64">
        <f>I192/25.4</f>
        <v>0.6692913385826772</v>
      </c>
      <c r="N192" t="s">
        <v>403</v>
      </c>
    </row>
    <row r="193" spans="1:14" ht="15.75">
      <c r="B193" s="1" t="s">
        <v>57</v>
      </c>
      <c r="H193" s="1" t="s">
        <v>366</v>
      </c>
      <c r="I193" s="120">
        <v>483</v>
      </c>
      <c r="J193" t="s">
        <v>46</v>
      </c>
      <c r="L193" s="17"/>
      <c r="M193" s="64">
        <f t="shared" ref="M193:M194" si="10">I193/6.89</f>
        <v>70.101596516690861</v>
      </c>
      <c r="N193" t="s">
        <v>58</v>
      </c>
    </row>
    <row r="194" spans="1:14" ht="15.75">
      <c r="B194" s="1" t="s">
        <v>488</v>
      </c>
      <c r="H194" s="100" t="s">
        <v>493</v>
      </c>
      <c r="I194" s="7">
        <f>0.3*I193</f>
        <v>144.9</v>
      </c>
      <c r="J194" t="s">
        <v>46</v>
      </c>
      <c r="M194" s="64">
        <f t="shared" si="10"/>
        <v>21.030478955007258</v>
      </c>
      <c r="N194" t="s">
        <v>58</v>
      </c>
    </row>
    <row r="195" spans="1:14">
      <c r="I195"/>
      <c r="M195" s="109"/>
    </row>
    <row r="196" spans="1:14">
      <c r="A196" s="89" t="s">
        <v>498</v>
      </c>
      <c r="B196" s="89" t="s">
        <v>612</v>
      </c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109"/>
    </row>
    <row r="197" spans="1:14">
      <c r="I197"/>
      <c r="M197" s="109"/>
    </row>
    <row r="198" spans="1:14" ht="16.899999999999999">
      <c r="B198" t="s">
        <v>613</v>
      </c>
      <c r="G198" t="s">
        <v>586</v>
      </c>
      <c r="I198" s="7">
        <f>(2*6*0.707*I190*D133)+(2*6*I191*D133)</f>
        <v>31655.728799999997</v>
      </c>
      <c r="J198" t="s">
        <v>65</v>
      </c>
      <c r="M198" s="64">
        <f>I198/25.4^2</f>
        <v>49.066477772955544</v>
      </c>
      <c r="N198" t="s">
        <v>448</v>
      </c>
    </row>
    <row r="199" spans="1:14" ht="16.5">
      <c r="B199" s="22"/>
      <c r="G199" t="s">
        <v>611</v>
      </c>
      <c r="I199" s="7" t="e">
        <f>I24/I198*1000</f>
        <v>#REF!</v>
      </c>
      <c r="J199" t="s">
        <v>46</v>
      </c>
      <c r="M199" s="64" t="e">
        <f t="shared" ref="M199" si="11">I199/6.89</f>
        <v>#REF!</v>
      </c>
      <c r="N199" t="s">
        <v>58</v>
      </c>
    </row>
    <row r="200" spans="1:14" ht="15.75">
      <c r="G200" s="1" t="s">
        <v>494</v>
      </c>
      <c r="I200" s="80" t="e">
        <f>I199/I194</f>
        <v>#REF!</v>
      </c>
      <c r="K200" s="12" t="e">
        <f>IF(I200&lt;1,"OK","NOT OK")</f>
        <v>#REF!</v>
      </c>
      <c r="M200" s="109"/>
    </row>
    <row r="201" spans="1:14">
      <c r="M201" s="109"/>
    </row>
    <row r="202" spans="1:14">
      <c r="A202" s="89" t="s">
        <v>499</v>
      </c>
      <c r="B202" s="89" t="s">
        <v>78</v>
      </c>
      <c r="C202" s="87"/>
      <c r="D202" s="87"/>
      <c r="E202" s="87"/>
      <c r="F202" s="87"/>
      <c r="G202" s="87"/>
      <c r="H202" s="87"/>
      <c r="I202" s="101"/>
      <c r="J202" s="87"/>
      <c r="K202" s="87"/>
      <c r="L202" s="87"/>
      <c r="M202" s="109"/>
    </row>
    <row r="203" spans="1:14" ht="16.5">
      <c r="A203" s="10"/>
      <c r="B203" t="s">
        <v>614</v>
      </c>
      <c r="G203" t="s">
        <v>615</v>
      </c>
      <c r="I203" s="74" t="e">
        <f>I23-((MIN(M56,M65,M76,M86,M95))*4.448)</f>
        <v>#REF!</v>
      </c>
      <c r="M203" s="109"/>
    </row>
    <row r="204" spans="1:14" ht="16.899999999999999">
      <c r="B204" t="s">
        <v>497</v>
      </c>
      <c r="G204" t="s">
        <v>587</v>
      </c>
      <c r="I204" s="7">
        <f>2*3*0.707*I192*I44</f>
        <v>38797.332000000002</v>
      </c>
      <c r="J204" t="s">
        <v>65</v>
      </c>
      <c r="M204" s="64">
        <f>I204/25.4^2</f>
        <v>60.135984871969747</v>
      </c>
      <c r="N204" t="s">
        <v>448</v>
      </c>
    </row>
    <row r="205" spans="1:14" ht="16.5">
      <c r="G205" t="s">
        <v>616</v>
      </c>
      <c r="I205" s="7" t="e">
        <f>I203/I204*1000</f>
        <v>#REF!</v>
      </c>
      <c r="J205" t="s">
        <v>46</v>
      </c>
      <c r="M205" s="64" t="e">
        <f t="shared" ref="M205" si="12">I205/6.89</f>
        <v>#REF!</v>
      </c>
      <c r="N205" t="s">
        <v>58</v>
      </c>
    </row>
    <row r="206" spans="1:14" ht="15.75">
      <c r="G206" s="1" t="s">
        <v>495</v>
      </c>
      <c r="I206" s="80" t="e">
        <f>I205/I194</f>
        <v>#REF!</v>
      </c>
      <c r="K206" s="12" t="e">
        <f>IF(I206&lt;1,"OK","NOT OK")</f>
        <v>#REF!</v>
      </c>
      <c r="M206" s="109"/>
    </row>
    <row r="207" spans="1:14">
      <c r="I207"/>
      <c r="M207"/>
    </row>
    <row r="208" spans="1:14">
      <c r="I208"/>
      <c r="M208"/>
    </row>
  </sheetData>
  <mergeCells count="7">
    <mergeCell ref="D164:F164"/>
    <mergeCell ref="E74:H74"/>
    <mergeCell ref="E76:F76"/>
    <mergeCell ref="E86:F86"/>
    <mergeCell ref="E95:F95"/>
    <mergeCell ref="E121:E122"/>
    <mergeCell ref="D163:F163"/>
  </mergeCells>
  <phoneticPr fontId="62" type="noConversion"/>
  <conditionalFormatting sqref="D185:D186">
    <cfRule type="cellIs" dxfId="39" priority="12" operator="greaterThan">
      <formula>1</formula>
    </cfRule>
  </conditionalFormatting>
  <conditionalFormatting sqref="E57">
    <cfRule type="cellIs" dxfId="38" priority="21" operator="greaterThan">
      <formula>1</formula>
    </cfRule>
  </conditionalFormatting>
  <conditionalFormatting sqref="E66">
    <cfRule type="cellIs" dxfId="37" priority="22" operator="greaterThan">
      <formula>1</formula>
    </cfRule>
  </conditionalFormatting>
  <conditionalFormatting sqref="E77">
    <cfRule type="containsText" dxfId="36" priority="5" operator="containsText" text="N/A">
      <formula>NOT(ISERROR(SEARCH("N/A",E77)))</formula>
    </cfRule>
    <cfRule type="cellIs" dxfId="35" priority="6" operator="greaterThan">
      <formula>1</formula>
    </cfRule>
  </conditionalFormatting>
  <conditionalFormatting sqref="E87">
    <cfRule type="containsText" dxfId="34" priority="7" operator="containsText" text="N/A">
      <formula>NOT(ISERROR(SEARCH("N/A",E87)))</formula>
    </cfRule>
    <cfRule type="cellIs" dxfId="33" priority="23" operator="greaterThan">
      <formula>1</formula>
    </cfRule>
  </conditionalFormatting>
  <conditionalFormatting sqref="E96">
    <cfRule type="cellIs" dxfId="32" priority="20" operator="greaterThan">
      <formula>1</formula>
    </cfRule>
  </conditionalFormatting>
  <conditionalFormatting sqref="F133">
    <cfRule type="containsText" dxfId="31" priority="15" operator="containsText" text="NOT OK">
      <formula>NOT(ISERROR(SEARCH("NOT OK",F133)))</formula>
    </cfRule>
  </conditionalFormatting>
  <conditionalFormatting sqref="F140">
    <cfRule type="containsText" dxfId="30" priority="14" operator="containsText" text="NOT OK">
      <formula>NOT(ISERROR(SEARCH("NOT OK",F140)))</formula>
    </cfRule>
  </conditionalFormatting>
  <conditionalFormatting sqref="F185:F186">
    <cfRule type="containsText" dxfId="29" priority="13" operator="containsText" text="NOT OK">
      <formula>NOT(ISERROR(SEARCH("NOT OK",F185)))</formula>
    </cfRule>
  </conditionalFormatting>
  <conditionalFormatting sqref="G57">
    <cfRule type="containsText" dxfId="28" priority="3" operator="containsText" text="a pair of stiffeners is required !">
      <formula>NOT(ISERROR(SEARCH("a pair of stiffeners is required !",G57)))</formula>
    </cfRule>
    <cfRule type="containsText" priority="4" operator="containsText" text="a pair of stiffeners is required !">
      <formula>NOT(ISERROR(SEARCH("a pair of stiffeners is required !",G57)))</formula>
    </cfRule>
  </conditionalFormatting>
  <conditionalFormatting sqref="G66">
    <cfRule type="containsText" dxfId="27" priority="1" operator="containsText" text="a pair of stiffeners is required !">
      <formula>NOT(ISERROR(SEARCH("a pair of stiffeners is required !",G66)))</formula>
    </cfRule>
    <cfRule type="containsText" priority="2" operator="containsText" text="a pair of stiffeners is required !">
      <formula>NOT(ISERROR(SEARCH("a pair of stiffeners is required !",G66)))</formula>
    </cfRule>
  </conditionalFormatting>
  <conditionalFormatting sqref="G77">
    <cfRule type="containsText" dxfId="26" priority="24" operator="containsText" text="a pair of stiffeners is required !">
      <formula>NOT(ISERROR(SEARCH("a pair of stiffeners is required !",G77)))</formula>
    </cfRule>
    <cfRule type="containsText" priority="25" operator="containsText" text="a pair of stiffeners is required !">
      <formula>NOT(ISERROR(SEARCH("a pair of stiffeners is required !",G77)))</formula>
    </cfRule>
  </conditionalFormatting>
  <conditionalFormatting sqref="G87">
    <cfRule type="containsText" dxfId="25" priority="26" operator="containsText" text="a pair of stiffeners is required !">
      <formula>NOT(ISERROR(SEARCH("a pair of stiffeners is required !",G87)))</formula>
    </cfRule>
    <cfRule type="containsText" priority="27" operator="containsText" text="a pair of stiffeners is required !">
      <formula>NOT(ISERROR(SEARCH("a pair of stiffeners is required !",G87)))</formula>
    </cfRule>
  </conditionalFormatting>
  <conditionalFormatting sqref="G96">
    <cfRule type="containsText" dxfId="24" priority="18" operator="containsText" text="a pair of stiffeners is required !">
      <formula>NOT(ISERROR(SEARCH("a pair of stiffeners is required !",G96)))</formula>
    </cfRule>
    <cfRule type="containsText" priority="19" operator="containsText" text="a pair of stiffeners is required !">
      <formula>NOT(ISERROR(SEARCH("a pair of stiffeners is required !",G96)))</formula>
    </cfRule>
  </conditionalFormatting>
  <conditionalFormatting sqref="G103">
    <cfRule type="containsText" dxfId="23" priority="16" operator="containsText" text="a pair of stiffeners is required !">
      <formula>NOT(ISERROR(SEARCH("a pair of stiffeners is required !",G103)))</formula>
    </cfRule>
    <cfRule type="containsText" priority="17" operator="containsText" text="a pair of stiffeners is required !">
      <formula>NOT(ISERROR(SEARCH("a pair of stiffeners is required !",G103)))</formula>
    </cfRule>
  </conditionalFormatting>
  <conditionalFormatting sqref="I200">
    <cfRule type="cellIs" dxfId="22" priority="11" operator="greaterThan">
      <formula>1</formula>
    </cfRule>
  </conditionalFormatting>
  <conditionalFormatting sqref="I206">
    <cfRule type="cellIs" dxfId="21" priority="10" operator="greaterThan">
      <formula>1</formula>
    </cfRule>
  </conditionalFormatting>
  <conditionalFormatting sqref="K200">
    <cfRule type="containsText" dxfId="20" priority="9" operator="containsText" text="NOT OK">
      <formula>NOT(ISERROR(SEARCH("NOT OK",K200)))</formula>
    </cfRule>
  </conditionalFormatting>
  <conditionalFormatting sqref="K206">
    <cfRule type="containsText" dxfId="19" priority="8" operator="containsText" text="NOT OK">
      <formula>NOT(ISERROR(SEARCH("NOT OK",K206)))</formula>
    </cfRule>
  </conditionalFormatting>
  <pageMargins left="0.7" right="0.7" top="0.75" bottom="0.75" header="0.3" footer="0.3"/>
  <pageSetup paperSize="9" scale="70" orientation="portrait" horizontalDpi="300" verticalDpi="300" r:id="rId1"/>
  <rowBreaks count="2" manualBreakCount="2">
    <brk id="67" max="11" man="1"/>
    <brk id="105" max="11" man="1"/>
  </rowBreaks>
  <colBreaks count="1" manualBreakCount="1">
    <brk id="12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view="pageBreakPreview" zoomScale="85" zoomScaleNormal="85" zoomScaleSheetLayoutView="85" zoomScalePageLayoutView="40" workbookViewId="0">
      <selection activeCell="J68" sqref="J68"/>
    </sheetView>
  </sheetViews>
  <sheetFormatPr defaultRowHeight="13.5"/>
  <cols>
    <col min="1" max="1" width="4.86328125" customWidth="1"/>
    <col min="4" max="4" width="13.3984375" customWidth="1"/>
    <col min="5" max="5" width="10.3984375" customWidth="1"/>
    <col min="6" max="6" width="12.73046875" customWidth="1"/>
    <col min="7" max="7" width="6.86328125" customWidth="1"/>
    <col min="8" max="8" width="18.3984375" customWidth="1"/>
    <col min="9" max="9" width="12.59765625" style="2" customWidth="1"/>
    <col min="10" max="10" width="7.1328125" customWidth="1"/>
    <col min="11" max="11" width="5.73046875" customWidth="1"/>
    <col min="14" max="14" width="9.73046875" style="64" bestFit="1" customWidth="1"/>
  </cols>
  <sheetData>
    <row r="1" spans="1:15" ht="20.25">
      <c r="B1" s="28" t="s">
        <v>161</v>
      </c>
    </row>
    <row r="2" spans="1:15" ht="13.5" customHeight="1">
      <c r="B2" s="28"/>
    </row>
    <row r="3" spans="1:15" ht="17.649999999999999">
      <c r="A3" s="85">
        <v>1</v>
      </c>
      <c r="B3" s="85" t="s">
        <v>35</v>
      </c>
      <c r="C3" s="86"/>
      <c r="D3" s="86"/>
      <c r="E3" s="86"/>
      <c r="F3" s="10"/>
      <c r="G3" s="10"/>
    </row>
    <row r="4" spans="1:15" ht="13.9" customHeight="1">
      <c r="A4" s="9"/>
      <c r="B4" s="1" t="s">
        <v>425</v>
      </c>
      <c r="C4" s="1"/>
      <c r="D4" s="1"/>
      <c r="E4" s="1"/>
      <c r="F4" s="1"/>
      <c r="G4" s="1"/>
      <c r="H4" s="1" t="s">
        <v>36</v>
      </c>
      <c r="I4" s="84">
        <v>5004.2489999999998</v>
      </c>
      <c r="J4" s="1" t="s">
        <v>37</v>
      </c>
      <c r="N4" s="64">
        <f>I4*0.2248</f>
        <v>1124.9551752</v>
      </c>
      <c r="O4" t="s">
        <v>404</v>
      </c>
    </row>
    <row r="5" spans="1:15" ht="14.65">
      <c r="B5" s="1" t="s">
        <v>38</v>
      </c>
      <c r="H5" s="1" t="s">
        <v>39</v>
      </c>
      <c r="I5" s="19">
        <v>800</v>
      </c>
      <c r="J5" t="s">
        <v>2</v>
      </c>
      <c r="N5" s="64">
        <f>I5/25.4</f>
        <v>31.496062992125985</v>
      </c>
      <c r="O5" t="s">
        <v>403</v>
      </c>
    </row>
    <row r="6" spans="1:15" ht="15.4">
      <c r="B6" t="s">
        <v>53</v>
      </c>
      <c r="H6" s="63" t="s">
        <v>398</v>
      </c>
      <c r="I6" s="19">
        <v>9000</v>
      </c>
      <c r="J6" t="s">
        <v>2</v>
      </c>
      <c r="N6" s="64">
        <f>I6/25.4</f>
        <v>354.33070866141736</v>
      </c>
      <c r="O6" t="s">
        <v>403</v>
      </c>
    </row>
    <row r="8" spans="1:15" ht="17.649999999999999">
      <c r="A8" s="85">
        <v>2</v>
      </c>
      <c r="B8" s="85" t="s">
        <v>40</v>
      </c>
      <c r="C8" s="86"/>
      <c r="D8" s="85"/>
      <c r="E8" s="85"/>
    </row>
    <row r="9" spans="1:15" ht="15.75">
      <c r="A9" s="86">
        <v>2.1</v>
      </c>
      <c r="B9" s="86" t="s">
        <v>41</v>
      </c>
      <c r="C9" s="86"/>
      <c r="D9" s="87"/>
      <c r="E9" s="87"/>
    </row>
    <row r="10" spans="1:15" ht="16.5">
      <c r="B10" t="s">
        <v>42</v>
      </c>
      <c r="H10" t="s">
        <v>413</v>
      </c>
      <c r="I10" s="3">
        <v>355</v>
      </c>
      <c r="J10" t="s">
        <v>44</v>
      </c>
      <c r="N10" s="64">
        <f>I10/6.89</f>
        <v>51.523947750362844</v>
      </c>
      <c r="O10" t="s">
        <v>58</v>
      </c>
    </row>
    <row r="11" spans="1:15" ht="16.5">
      <c r="B11" t="s">
        <v>45</v>
      </c>
      <c r="H11" t="s">
        <v>414</v>
      </c>
      <c r="I11" s="3">
        <v>470</v>
      </c>
      <c r="J11" t="s">
        <v>46</v>
      </c>
      <c r="N11" s="64">
        <f>I11/6.89</f>
        <v>68.214804063860669</v>
      </c>
      <c r="O11" t="s">
        <v>58</v>
      </c>
    </row>
    <row r="12" spans="1:15" ht="15.75">
      <c r="B12" t="s">
        <v>47</v>
      </c>
      <c r="H12" s="1" t="s">
        <v>367</v>
      </c>
      <c r="I12" s="19">
        <v>600</v>
      </c>
      <c r="J12" t="s">
        <v>2</v>
      </c>
      <c r="N12" s="64">
        <f t="shared" ref="N12:N16" si="0">I12/25.4</f>
        <v>23.622047244094489</v>
      </c>
      <c r="O12" t="s">
        <v>403</v>
      </c>
    </row>
    <row r="13" spans="1:15" ht="14.65">
      <c r="B13" t="s">
        <v>48</v>
      </c>
      <c r="H13" s="1" t="s">
        <v>380</v>
      </c>
      <c r="I13" s="19">
        <v>800</v>
      </c>
      <c r="J13" t="s">
        <v>2</v>
      </c>
      <c r="N13" s="64">
        <f t="shared" si="0"/>
        <v>31.496062992125985</v>
      </c>
      <c r="O13" t="s">
        <v>403</v>
      </c>
    </row>
    <row r="14" spans="1:15" ht="15.75">
      <c r="B14" s="1" t="s">
        <v>49</v>
      </c>
      <c r="H14" s="1" t="s">
        <v>368</v>
      </c>
      <c r="I14" s="19">
        <v>40</v>
      </c>
      <c r="J14" t="s">
        <v>2</v>
      </c>
      <c r="N14" s="64">
        <f t="shared" si="0"/>
        <v>1.5748031496062993</v>
      </c>
      <c r="O14" t="s">
        <v>403</v>
      </c>
    </row>
    <row r="15" spans="1:15" ht="15.75">
      <c r="B15" s="1" t="s">
        <v>50</v>
      </c>
      <c r="H15" s="1" t="s">
        <v>369</v>
      </c>
      <c r="I15" s="19">
        <v>40</v>
      </c>
      <c r="J15" t="s">
        <v>2</v>
      </c>
      <c r="N15" s="64">
        <f t="shared" si="0"/>
        <v>1.5748031496062993</v>
      </c>
      <c r="O15" t="s">
        <v>403</v>
      </c>
    </row>
    <row r="16" spans="1:15" ht="14.65">
      <c r="B16" s="1" t="s">
        <v>381</v>
      </c>
      <c r="H16" s="1" t="s">
        <v>93</v>
      </c>
      <c r="I16" s="19">
        <v>20</v>
      </c>
      <c r="J16" t="s">
        <v>2</v>
      </c>
      <c r="N16" s="64">
        <f t="shared" si="0"/>
        <v>0.78740157480314965</v>
      </c>
      <c r="O16" t="s">
        <v>403</v>
      </c>
    </row>
    <row r="17" spans="1:15" ht="16.5">
      <c r="B17" s="1" t="s">
        <v>109</v>
      </c>
      <c r="H17" s="1" t="s">
        <v>51</v>
      </c>
      <c r="I17" s="20">
        <v>7159</v>
      </c>
      <c r="J17" t="s">
        <v>52</v>
      </c>
    </row>
    <row r="18" spans="1:15" ht="14.65">
      <c r="B18" s="1" t="s">
        <v>394</v>
      </c>
      <c r="H18" s="1" t="s">
        <v>392</v>
      </c>
      <c r="I18" s="61">
        <f>I13-2*I14</f>
        <v>720</v>
      </c>
      <c r="J18" t="s">
        <v>2</v>
      </c>
      <c r="N18" s="64">
        <f t="shared" ref="N18:N19" si="1">I18/25.4</f>
        <v>28.346456692913389</v>
      </c>
      <c r="O18" t="s">
        <v>403</v>
      </c>
    </row>
    <row r="19" spans="1:15" ht="15.75">
      <c r="B19" s="1" t="s">
        <v>393</v>
      </c>
      <c r="H19" s="1" t="s">
        <v>391</v>
      </c>
      <c r="I19" s="2">
        <f>I13-2*I16</f>
        <v>760</v>
      </c>
      <c r="J19" t="s">
        <v>2</v>
      </c>
      <c r="N19" s="64">
        <f t="shared" si="1"/>
        <v>29.921259842519685</v>
      </c>
      <c r="O19" t="s">
        <v>403</v>
      </c>
    </row>
    <row r="20" spans="1:15" ht="14.65">
      <c r="B20" s="1"/>
      <c r="H20" s="1"/>
      <c r="I20" s="61"/>
    </row>
    <row r="21" spans="1:15" ht="14.65">
      <c r="G21" s="1"/>
      <c r="K21" s="12"/>
    </row>
    <row r="22" spans="1:15" ht="18">
      <c r="A22" s="85">
        <v>3</v>
      </c>
      <c r="B22" s="85" t="s">
        <v>112</v>
      </c>
      <c r="C22" s="86"/>
      <c r="D22" s="85"/>
      <c r="E22" s="85"/>
      <c r="H22" s="1"/>
    </row>
    <row r="23" spans="1:15" ht="15.75">
      <c r="A23" s="86">
        <v>3.1</v>
      </c>
      <c r="B23" s="86" t="s">
        <v>59</v>
      </c>
      <c r="C23" s="86"/>
      <c r="D23" s="86"/>
      <c r="E23" s="86"/>
      <c r="F23" s="10"/>
    </row>
    <row r="25" spans="1:15" ht="13.9">
      <c r="B25" s="54" t="s">
        <v>370</v>
      </c>
      <c r="C25" s="58">
        <v>1000</v>
      </c>
      <c r="D25" s="55" t="s">
        <v>371</v>
      </c>
      <c r="N25" s="64">
        <f>C25/25.4</f>
        <v>39.370078740157481</v>
      </c>
      <c r="O25" t="s">
        <v>403</v>
      </c>
    </row>
    <row r="26" spans="1:15" ht="13.9">
      <c r="B26" s="54"/>
      <c r="C26" s="56"/>
      <c r="D26" s="55"/>
    </row>
    <row r="27" spans="1:15" ht="16.899999999999999">
      <c r="B27" s="11" t="s">
        <v>372</v>
      </c>
      <c r="C27" t="s">
        <v>373</v>
      </c>
      <c r="D27" s="11" t="s">
        <v>374</v>
      </c>
      <c r="E27" t="s">
        <v>375</v>
      </c>
      <c r="J27" s="60" t="s">
        <v>383</v>
      </c>
    </row>
    <row r="28" spans="1:15">
      <c r="B28" s="11"/>
      <c r="D28" s="11"/>
      <c r="J28" s="2"/>
    </row>
    <row r="29" spans="1:15" ht="16.899999999999999">
      <c r="B29" s="11" t="s">
        <v>376</v>
      </c>
      <c r="C29" t="s">
        <v>377</v>
      </c>
      <c r="D29" s="11" t="s">
        <v>374</v>
      </c>
      <c r="E29" t="s">
        <v>378</v>
      </c>
      <c r="J29" s="60" t="s">
        <v>384</v>
      </c>
    </row>
    <row r="30" spans="1:15">
      <c r="D30" s="11"/>
    </row>
    <row r="31" spans="1:15" ht="15">
      <c r="D31" s="11" t="s">
        <v>379</v>
      </c>
      <c r="E31" s="64">
        <f>IF(C25&gt;I13,I15*(I5+5*I16)*0.66*I10/1000,I15*(I5+2.5*I16)*0.66*I10/1000)</f>
        <v>8434.7999999999993</v>
      </c>
      <c r="F31" t="s">
        <v>37</v>
      </c>
      <c r="N31" s="64">
        <f>E31/4.448</f>
        <v>1896.3129496402873</v>
      </c>
      <c r="O31" t="s">
        <v>404</v>
      </c>
    </row>
    <row r="32" spans="1:15" ht="16.5">
      <c r="D32" s="11" t="s">
        <v>382</v>
      </c>
      <c r="E32" s="80">
        <f>I4/E31</f>
        <v>0.59328602930715613</v>
      </c>
      <c r="G32" s="67" t="str">
        <f>IF(E32&lt;1,"OK, No Stiffener Required","NOT OK, Stiffener Required")</f>
        <v>OK, No Stiffener Required</v>
      </c>
      <c r="H32" s="59"/>
    </row>
    <row r="33" spans="1:15">
      <c r="D33" s="12"/>
      <c r="I33" s="15"/>
    </row>
    <row r="35" spans="1:15" ht="15.75">
      <c r="A35" s="86">
        <v>3.2</v>
      </c>
      <c r="B35" s="86" t="s">
        <v>61</v>
      </c>
      <c r="C35" s="86"/>
      <c r="D35" s="86"/>
      <c r="E35" s="86"/>
      <c r="F35" s="10"/>
    </row>
    <row r="36" spans="1:15">
      <c r="D36" s="13"/>
    </row>
    <row r="37" spans="1:15" ht="16.899999999999999">
      <c r="B37" s="11" t="s">
        <v>372</v>
      </c>
      <c r="C37" t="s">
        <v>385</v>
      </c>
      <c r="D37" s="11" t="s">
        <v>374</v>
      </c>
      <c r="E37" t="s">
        <v>386</v>
      </c>
      <c r="I37"/>
      <c r="J37" t="s">
        <v>390</v>
      </c>
    </row>
    <row r="38" spans="1:15">
      <c r="B38" s="11"/>
      <c r="D38" s="11"/>
      <c r="I38"/>
    </row>
    <row r="39" spans="1:15" ht="16.899999999999999">
      <c r="B39" s="11" t="s">
        <v>376</v>
      </c>
      <c r="C39" t="s">
        <v>387</v>
      </c>
      <c r="D39" s="11" t="s">
        <v>374</v>
      </c>
      <c r="E39" t="s">
        <v>388</v>
      </c>
      <c r="I39"/>
      <c r="J39" t="s">
        <v>389</v>
      </c>
    </row>
    <row r="40" spans="1:15">
      <c r="D40" s="13"/>
    </row>
    <row r="41" spans="1:15" ht="15">
      <c r="D41" s="11" t="s">
        <v>379</v>
      </c>
      <c r="E41" s="66">
        <f>IF(N25&gt;0.5*N13,67.5*N15^2*(1+3*(N5/N13)*(N15/N14)^1.5)*(N10*N14/N15)^0.5*4.448,34*N15^2*(1+3*(N5/N13)*(N15/N14)^1.5)*(N10*N14/N15)^0.5*4.448)</f>
        <v>21378.914859372337</v>
      </c>
      <c r="F41" t="s">
        <v>37</v>
      </c>
      <c r="N41" s="64">
        <f>E41/4.448</f>
        <v>4806.4107147869454</v>
      </c>
      <c r="O41" t="s">
        <v>404</v>
      </c>
    </row>
    <row r="42" spans="1:15" ht="16.5">
      <c r="D42" s="11" t="s">
        <v>382</v>
      </c>
      <c r="E42" s="80">
        <f>I4/E41</f>
        <v>0.23407404131207243</v>
      </c>
      <c r="G42" s="67" t="str">
        <f>IF(E42&lt;1,"OK, No Stiffener Required","NOT OK, Stiffener Required")</f>
        <v>OK, No Stiffener Required</v>
      </c>
    </row>
    <row r="43" spans="1:15">
      <c r="D43" s="13"/>
    </row>
    <row r="44" spans="1:15">
      <c r="D44" s="13"/>
    </row>
    <row r="45" spans="1:15" ht="15.75">
      <c r="A45" s="86">
        <v>3.3</v>
      </c>
      <c r="B45" s="86" t="s">
        <v>62</v>
      </c>
      <c r="C45" s="86"/>
      <c r="D45" s="86"/>
      <c r="E45" s="86"/>
      <c r="F45" s="10"/>
    </row>
    <row r="46" spans="1:15" ht="15" customHeight="1">
      <c r="D46" s="13"/>
      <c r="I46" s="15"/>
    </row>
    <row r="47" spans="1:15" ht="15" customHeight="1">
      <c r="B47" s="54" t="s">
        <v>372</v>
      </c>
      <c r="C47" s="57" t="s">
        <v>395</v>
      </c>
      <c r="D47" s="57"/>
      <c r="E47" s="57"/>
      <c r="F47" s="57"/>
      <c r="I47" s="15"/>
    </row>
    <row r="48" spans="1:15" ht="15" customHeight="1">
      <c r="D48" s="13"/>
      <c r="I48" s="15"/>
    </row>
    <row r="49" spans="2:15" ht="15" customHeight="1">
      <c r="C49" s="57"/>
      <c r="D49" s="54" t="s">
        <v>402</v>
      </c>
      <c r="E49" s="16">
        <f>(I19/I15)/(I6/I12)</f>
        <v>1.2666666666666666</v>
      </c>
      <c r="F49" s="2" t="str">
        <f>IF(E49&gt;G49,"&gt;","&lt;")</f>
        <v>&lt;</v>
      </c>
      <c r="G49" s="2">
        <v>2.2999999999999998</v>
      </c>
      <c r="I49" s="15"/>
    </row>
    <row r="50" spans="2:15" ht="15" customHeight="1">
      <c r="D50" s="13"/>
      <c r="I50" s="15"/>
    </row>
    <row r="51" spans="2:15" ht="15" customHeight="1">
      <c r="D51" s="54" t="s">
        <v>374</v>
      </c>
      <c r="E51" s="192" t="s">
        <v>396</v>
      </c>
      <c r="F51" s="193"/>
      <c r="G51" s="193"/>
      <c r="H51" s="193"/>
      <c r="I51" s="62"/>
      <c r="J51" t="s">
        <v>400</v>
      </c>
    </row>
    <row r="52" spans="2:15">
      <c r="E52" s="13"/>
      <c r="I52"/>
    </row>
    <row r="53" spans="2:15" ht="15">
      <c r="D53" s="54" t="s">
        <v>374</v>
      </c>
      <c r="E53" s="201">
        <f>IF(E49&lt;2.3,6800*N15^3*(1+0.4*E49^3)/N18*4.448,"( need not be checked !)")</f>
        <v>7554.9574167329411</v>
      </c>
      <c r="F53" s="201"/>
      <c r="I53"/>
      <c r="N53" s="64">
        <f>IF(E53="( need not be checked !)","",E53/4.448)</f>
        <v>1698.5066134741323</v>
      </c>
      <c r="O53" t="s">
        <v>404</v>
      </c>
    </row>
    <row r="54" spans="2:15" ht="16.5">
      <c r="D54" s="11" t="s">
        <v>382</v>
      </c>
      <c r="E54" s="80">
        <f>IF(E53="( need not be checked !)","N/A",I4/E53)</f>
        <v>0.66237951108982329</v>
      </c>
      <c r="G54" s="67" t="str">
        <f>IF(E49&gt;2.3,"a pair of stiffener is not required !",IF(E53&gt;I4,"a pair of stiffener is not required !","a pair of stiffeners is required !"))</f>
        <v>a pair of stiffener is not required !</v>
      </c>
      <c r="I54" s="15"/>
    </row>
    <row r="55" spans="2:15">
      <c r="D55" s="13"/>
      <c r="I55" s="15"/>
    </row>
    <row r="56" spans="2:15">
      <c r="D56" s="13"/>
      <c r="I56" s="15"/>
    </row>
    <row r="57" spans="2:15" ht="15.4">
      <c r="B57" s="54" t="s">
        <v>376</v>
      </c>
      <c r="C57" s="57" t="s">
        <v>397</v>
      </c>
      <c r="D57" s="13"/>
      <c r="I57" s="15"/>
    </row>
    <row r="58" spans="2:15">
      <c r="D58" s="13"/>
      <c r="I58" s="15"/>
    </row>
    <row r="59" spans="2:15" ht="15.4">
      <c r="C59" s="57"/>
      <c r="D59" s="54" t="s">
        <v>402</v>
      </c>
      <c r="E59" s="16">
        <f>(I19/I15)/(I6/I12)</f>
        <v>1.2666666666666666</v>
      </c>
      <c r="F59" s="2" t="str">
        <f>IF(E59&gt;G59,"&gt;","&lt;")</f>
        <v>&lt;</v>
      </c>
      <c r="G59" s="2">
        <v>1.7</v>
      </c>
      <c r="I59" s="15"/>
    </row>
    <row r="60" spans="2:15">
      <c r="D60" s="13"/>
      <c r="I60" s="15"/>
    </row>
    <row r="61" spans="2:15" ht="17.25">
      <c r="D61" s="54" t="s">
        <v>374</v>
      </c>
      <c r="E61" s="55" t="s">
        <v>399</v>
      </c>
      <c r="F61" s="55"/>
      <c r="G61" s="55"/>
      <c r="H61" s="60"/>
      <c r="I61" s="60"/>
      <c r="J61" t="s">
        <v>401</v>
      </c>
    </row>
    <row r="62" spans="2:15">
      <c r="D62" s="13"/>
      <c r="I62" s="15"/>
    </row>
    <row r="63" spans="2:15" ht="15">
      <c r="D63" s="54" t="s">
        <v>374</v>
      </c>
      <c r="E63" s="201">
        <f>IF(E59&lt;2.3,6800*N15^3*(0.4*E59^3)/N18*4.448,"( need not be checked !)")</f>
        <v>3387.6673043749379</v>
      </c>
      <c r="F63" s="201"/>
      <c r="I63" s="15"/>
      <c r="N63" s="64">
        <f>IF(E63="( need not be checked !)","",E63/4.448)</f>
        <v>761.61585080371799</v>
      </c>
      <c r="O63" t="s">
        <v>404</v>
      </c>
    </row>
    <row r="64" spans="2:15" ht="16.5">
      <c r="D64" s="11" t="s">
        <v>382</v>
      </c>
      <c r="E64" s="80">
        <f>IF(E63="( need not be checked !)","N/A",I4/E63)</f>
        <v>1.4771961206277129</v>
      </c>
      <c r="G64" s="67" t="str">
        <f>IF(E64&lt;1,"a pair of stiffener is not required !","a pair of stiffeners is required !")</f>
        <v>a pair of stiffeners is required !</v>
      </c>
      <c r="I64" s="15"/>
    </row>
    <row r="65" spans="1:18">
      <c r="D65" s="13"/>
      <c r="I65" s="15"/>
    </row>
    <row r="66" spans="1:18">
      <c r="D66" s="13"/>
      <c r="I66" s="15"/>
    </row>
    <row r="67" spans="1:18" ht="15.75">
      <c r="A67" s="86">
        <v>3.4</v>
      </c>
      <c r="B67" s="86" t="s">
        <v>405</v>
      </c>
      <c r="C67" s="87"/>
      <c r="D67" s="88"/>
      <c r="E67" s="87"/>
      <c r="I67" s="15"/>
    </row>
    <row r="68" spans="1:18">
      <c r="D68" s="13"/>
      <c r="I68" s="15"/>
    </row>
    <row r="69" spans="1:18" ht="16.899999999999999">
      <c r="D69" s="54" t="s">
        <v>406</v>
      </c>
      <c r="E69" s="55" t="s">
        <v>407</v>
      </c>
      <c r="I69"/>
      <c r="J69" t="s">
        <v>409</v>
      </c>
      <c r="N69"/>
      <c r="O69" s="64"/>
      <c r="R69" s="66"/>
    </row>
    <row r="70" spans="1:18" ht="13.9">
      <c r="D70" s="57"/>
      <c r="E70" s="65"/>
      <c r="I70"/>
      <c r="J70" s="15"/>
      <c r="N70"/>
      <c r="O70" s="64"/>
    </row>
    <row r="71" spans="1:18" ht="15.4">
      <c r="D71" s="54" t="s">
        <v>374</v>
      </c>
      <c r="E71" s="55" t="s">
        <v>408</v>
      </c>
      <c r="I71"/>
      <c r="J71" s="15"/>
      <c r="N71"/>
      <c r="O71" s="64"/>
    </row>
    <row r="72" spans="1:18">
      <c r="E72" s="13"/>
      <c r="I72"/>
      <c r="J72" s="15"/>
      <c r="N72"/>
      <c r="O72" s="64"/>
    </row>
    <row r="73" spans="1:18" ht="15">
      <c r="D73" s="54" t="s">
        <v>374</v>
      </c>
      <c r="E73" s="194">
        <f>0.6*4100*N15^3*N10^0.5/N19*4.448</f>
        <v>10251.877300985565</v>
      </c>
      <c r="F73" s="194"/>
      <c r="I73"/>
      <c r="J73" s="15"/>
      <c r="N73" s="64">
        <f>IF(E73="( need not be checked !)","",E73/4.448)</f>
        <v>2304.8285298978335</v>
      </c>
      <c r="O73" t="s">
        <v>404</v>
      </c>
    </row>
    <row r="74" spans="1:18" ht="16.5">
      <c r="D74" s="11" t="s">
        <v>382</v>
      </c>
      <c r="E74" s="80">
        <f>I4/E73</f>
        <v>0.48813001298005354</v>
      </c>
      <c r="G74" s="67" t="str">
        <f>IF(E74&lt;1,"a pair of stiffener is not required !","a pair of stiffeners is required !")</f>
        <v>a pair of stiffener is not required !</v>
      </c>
      <c r="I74"/>
      <c r="J74" s="15"/>
      <c r="N74"/>
      <c r="O74" s="64"/>
    </row>
    <row r="75" spans="1:18">
      <c r="E75" s="13"/>
      <c r="I75"/>
      <c r="J75" s="15"/>
      <c r="N75"/>
      <c r="O75" s="64"/>
    </row>
    <row r="76" spans="1:18">
      <c r="D76" s="13"/>
      <c r="I76" s="15"/>
    </row>
    <row r="77" spans="1:18" ht="15.75">
      <c r="A77" s="86">
        <v>3.4</v>
      </c>
      <c r="B77" s="86" t="s">
        <v>410</v>
      </c>
      <c r="C77" s="87"/>
      <c r="D77" s="88"/>
      <c r="E77" s="87"/>
      <c r="I77" s="15"/>
    </row>
    <row r="78" spans="1:18">
      <c r="D78" s="13"/>
      <c r="I78" s="15"/>
    </row>
    <row r="79" spans="1:18" ht="16.899999999999999">
      <c r="D79" s="54" t="s">
        <v>411</v>
      </c>
      <c r="E79" s="57" t="s">
        <v>412</v>
      </c>
      <c r="F79" s="57"/>
      <c r="I79" s="15"/>
      <c r="J79" t="s">
        <v>419</v>
      </c>
    </row>
    <row r="80" spans="1:18" ht="15">
      <c r="D80" s="54" t="s">
        <v>417</v>
      </c>
      <c r="E80" s="54" t="s">
        <v>418</v>
      </c>
      <c r="I80" s="15"/>
    </row>
    <row r="81" spans="1:15">
      <c r="I81" s="15"/>
    </row>
    <row r="82" spans="1:15" ht="16.899999999999999">
      <c r="D82" s="54" t="s">
        <v>411</v>
      </c>
      <c r="E82" s="68">
        <f>(5/3*N4-N10*N15*(N14+5*N16))/N88*25.4^2</f>
        <v>18421.853879693765</v>
      </c>
      <c r="F82" t="s">
        <v>65</v>
      </c>
      <c r="G82" s="67" t="str">
        <f>IF(E82&lt;0,"a pair of stiffener is not required !","a pair of stiffeners is required !")</f>
        <v>a pair of stiffeners is required !</v>
      </c>
      <c r="I82" s="15"/>
    </row>
    <row r="83" spans="1:15">
      <c r="I83" s="15"/>
    </row>
    <row r="84" spans="1:15">
      <c r="I84" s="15"/>
    </row>
    <row r="85" spans="1:15" ht="17.649999999999999">
      <c r="A85" s="85">
        <v>4</v>
      </c>
      <c r="B85" s="85" t="s">
        <v>423</v>
      </c>
      <c r="C85" s="87"/>
      <c r="D85" s="87"/>
      <c r="E85" s="87"/>
      <c r="I85" s="15"/>
    </row>
    <row r="86" spans="1:15" ht="15.75">
      <c r="A86" s="87"/>
      <c r="B86" s="86" t="s">
        <v>424</v>
      </c>
      <c r="C86" s="87"/>
      <c r="D86" s="88"/>
      <c r="E86" s="87"/>
      <c r="I86" s="15"/>
    </row>
    <row r="87" spans="1:15" ht="15.75">
      <c r="A87" s="86">
        <v>4.0999999999999996</v>
      </c>
      <c r="B87" s="86" t="s">
        <v>54</v>
      </c>
      <c r="C87" s="87"/>
      <c r="D87" s="88"/>
      <c r="E87" s="87"/>
      <c r="I87" s="15"/>
    </row>
    <row r="88" spans="1:15" ht="16.5">
      <c r="B88" t="s">
        <v>55</v>
      </c>
      <c r="H88" t="s">
        <v>415</v>
      </c>
      <c r="I88" s="3">
        <v>344.5</v>
      </c>
      <c r="J88" t="s">
        <v>44</v>
      </c>
      <c r="N88" s="64">
        <f t="shared" ref="N88:N90" si="2">I88/6.89</f>
        <v>50</v>
      </c>
      <c r="O88" t="s">
        <v>58</v>
      </c>
    </row>
    <row r="89" spans="1:15" ht="16.5">
      <c r="B89" t="s">
        <v>365</v>
      </c>
      <c r="H89" t="s">
        <v>416</v>
      </c>
      <c r="I89" s="3">
        <v>470</v>
      </c>
      <c r="J89" t="s">
        <v>46</v>
      </c>
      <c r="N89" s="64">
        <f t="shared" si="2"/>
        <v>68.214804063860669</v>
      </c>
      <c r="O89" t="s">
        <v>58</v>
      </c>
    </row>
    <row r="90" spans="1:15" ht="16.5">
      <c r="B90" t="s">
        <v>464</v>
      </c>
      <c r="H90" t="s">
        <v>465</v>
      </c>
      <c r="I90" s="3">
        <v>200000</v>
      </c>
      <c r="J90" t="s">
        <v>46</v>
      </c>
      <c r="N90" s="76">
        <f t="shared" si="2"/>
        <v>29027.57619738752</v>
      </c>
      <c r="O90" t="s">
        <v>58</v>
      </c>
    </row>
    <row r="91" spans="1:15">
      <c r="D91" s="13"/>
      <c r="I91" s="15"/>
    </row>
    <row r="92" spans="1:15" ht="13.9">
      <c r="B92" s="57"/>
      <c r="C92" s="57"/>
      <c r="D92" s="70"/>
      <c r="E92" s="57"/>
      <c r="I92" s="15"/>
    </row>
    <row r="93" spans="1:15" ht="15">
      <c r="B93" s="57"/>
      <c r="C93" s="65" t="s">
        <v>428</v>
      </c>
      <c r="D93" s="57"/>
      <c r="E93" s="54"/>
      <c r="I93" s="15"/>
    </row>
    <row r="94" spans="1:15" ht="13.9">
      <c r="B94" s="54" t="s">
        <v>429</v>
      </c>
      <c r="D94" s="71"/>
      <c r="E94" s="65"/>
      <c r="I94" s="15"/>
    </row>
    <row r="95" spans="1:15" ht="13.9">
      <c r="C95" s="57"/>
      <c r="D95" s="54"/>
      <c r="E95" s="57"/>
      <c r="I95" s="15"/>
    </row>
    <row r="96" spans="1:15" ht="13.9">
      <c r="B96" s="57"/>
      <c r="C96" s="57"/>
      <c r="D96" s="71"/>
      <c r="E96" s="54"/>
      <c r="I96" s="15"/>
    </row>
    <row r="97" spans="1:15" ht="13.9">
      <c r="B97" s="57" t="s">
        <v>430</v>
      </c>
      <c r="C97" s="57"/>
      <c r="D97" s="70"/>
      <c r="E97" s="196" t="s">
        <v>431</v>
      </c>
      <c r="I97" s="15"/>
    </row>
    <row r="98" spans="1:15" ht="13.9">
      <c r="B98" s="57"/>
      <c r="C98" s="57"/>
      <c r="D98" s="54"/>
      <c r="E98" s="197"/>
      <c r="I98" s="15"/>
    </row>
    <row r="99" spans="1:15" ht="13.9">
      <c r="B99" s="57"/>
      <c r="C99" s="57"/>
      <c r="D99" s="57"/>
      <c r="E99" s="57"/>
      <c r="I99" s="15"/>
    </row>
    <row r="100" spans="1:15" ht="13.9">
      <c r="B100" s="65" t="s">
        <v>432</v>
      </c>
      <c r="D100" s="72"/>
      <c r="E100" s="57"/>
      <c r="I100" s="15"/>
    </row>
    <row r="101" spans="1:15" ht="13.9">
      <c r="B101" s="57"/>
      <c r="C101" s="57"/>
      <c r="D101" s="57"/>
      <c r="E101" s="57"/>
      <c r="I101" s="15"/>
    </row>
    <row r="102" spans="1:15" ht="13.9">
      <c r="B102" s="57"/>
      <c r="C102" s="54"/>
      <c r="D102" s="56"/>
      <c r="E102" s="57"/>
      <c r="I102" s="15"/>
    </row>
    <row r="103" spans="1:15" ht="13.9">
      <c r="B103" s="57"/>
      <c r="C103" s="54"/>
      <c r="D103" s="56"/>
      <c r="E103" s="55"/>
      <c r="I103" s="15"/>
    </row>
    <row r="104" spans="1:15" ht="15">
      <c r="B104" s="57"/>
      <c r="C104" s="55" t="s">
        <v>433</v>
      </c>
      <c r="D104" s="73"/>
      <c r="E104" s="55"/>
      <c r="I104" s="15"/>
    </row>
    <row r="105" spans="1:15" ht="13.9">
      <c r="B105" s="57"/>
      <c r="I105" s="15"/>
    </row>
    <row r="106" spans="1:15" ht="14.45" customHeight="1">
      <c r="D106" s="13"/>
      <c r="I106" s="15"/>
    </row>
    <row r="107" spans="1:15" ht="15.75">
      <c r="A107" s="86">
        <v>4.2</v>
      </c>
      <c r="B107" s="86" t="s">
        <v>434</v>
      </c>
      <c r="C107" s="87"/>
      <c r="D107" s="87"/>
      <c r="E107" s="87"/>
      <c r="I107" s="15"/>
    </row>
    <row r="108" spans="1:15" ht="16.5">
      <c r="C108" s="11" t="s">
        <v>435</v>
      </c>
      <c r="D108" t="s">
        <v>436</v>
      </c>
      <c r="I108"/>
      <c r="J108" s="15"/>
      <c r="N108"/>
      <c r="O108" s="64"/>
    </row>
    <row r="109" spans="1:15">
      <c r="C109" s="11" t="s">
        <v>437</v>
      </c>
      <c r="D109" s="2">
        <f>I12/3-I15/2</f>
        <v>180</v>
      </c>
      <c r="E109" t="s">
        <v>2</v>
      </c>
      <c r="F109" t="s">
        <v>440</v>
      </c>
      <c r="I109"/>
      <c r="J109" s="15"/>
      <c r="N109"/>
      <c r="O109" s="64"/>
    </row>
    <row r="110" spans="1:15" ht="16.5">
      <c r="C110" s="11" t="s">
        <v>427</v>
      </c>
      <c r="D110" t="s">
        <v>439</v>
      </c>
      <c r="E110" s="13"/>
      <c r="I110"/>
      <c r="J110" s="15"/>
      <c r="N110"/>
      <c r="O110" s="64"/>
    </row>
    <row r="111" spans="1:15">
      <c r="C111" s="11" t="s">
        <v>437</v>
      </c>
      <c r="D111" s="83">
        <f>(I12-I15)/2-25.4</f>
        <v>254.6</v>
      </c>
      <c r="E111" t="s">
        <v>2</v>
      </c>
      <c r="F111" s="12" t="str">
        <f>IF(D111&gt;D109,"OK","NOT OK")</f>
        <v>OK</v>
      </c>
      <c r="I111"/>
      <c r="J111" s="15"/>
      <c r="N111" s="64">
        <f>D111/25.4</f>
        <v>10.023622047244094</v>
      </c>
      <c r="O111" t="s">
        <v>403</v>
      </c>
    </row>
    <row r="112" spans="1:15">
      <c r="E112" s="13"/>
      <c r="I112"/>
      <c r="J112" s="15"/>
    </row>
    <row r="113" spans="1:15">
      <c r="D113" s="13"/>
      <c r="I113" s="15"/>
      <c r="N113"/>
    </row>
    <row r="114" spans="1:15" ht="15.75">
      <c r="A114" s="86">
        <v>4.3</v>
      </c>
      <c r="B114" s="86" t="s">
        <v>447</v>
      </c>
      <c r="C114" s="87"/>
      <c r="D114" s="88"/>
      <c r="E114" s="87"/>
      <c r="I114" s="15"/>
      <c r="N114"/>
    </row>
    <row r="115" spans="1:15" ht="14.65">
      <c r="B115" s="1" t="s">
        <v>438</v>
      </c>
      <c r="E115" s="13"/>
      <c r="I115"/>
      <c r="J115" s="15"/>
    </row>
    <row r="116" spans="1:15" ht="16.899999999999999">
      <c r="C116" s="11" t="s">
        <v>442</v>
      </c>
      <c r="D116" t="s">
        <v>426</v>
      </c>
      <c r="E116" s="13"/>
      <c r="I116"/>
      <c r="J116" t="s">
        <v>445</v>
      </c>
      <c r="N116"/>
    </row>
    <row r="117" spans="1:15" ht="16.899999999999999">
      <c r="C117" s="11" t="s">
        <v>443</v>
      </c>
      <c r="D117" t="s">
        <v>441</v>
      </c>
      <c r="E117" s="13"/>
      <c r="I117"/>
      <c r="J117" s="15"/>
    </row>
    <row r="118" spans="1:15">
      <c r="C118" s="11" t="s">
        <v>437</v>
      </c>
      <c r="D118" s="74">
        <f>N111/(95/N88^0.5)*25.4</f>
        <v>18.950461735799472</v>
      </c>
      <c r="E118" s="17" t="s">
        <v>2</v>
      </c>
      <c r="F118" t="s">
        <v>440</v>
      </c>
      <c r="I118"/>
      <c r="J118" s="15"/>
    </row>
    <row r="119" spans="1:15" ht="16.5">
      <c r="C119" s="11" t="s">
        <v>444</v>
      </c>
      <c r="D119" s="15">
        <v>20</v>
      </c>
      <c r="E119" s="17" t="s">
        <v>2</v>
      </c>
      <c r="F119" s="12" t="str">
        <f>IF(D119&gt;D118,"OK","NOT OK")</f>
        <v>OK</v>
      </c>
      <c r="I119"/>
      <c r="J119" s="15"/>
      <c r="N119" s="64">
        <f>D119/25.4</f>
        <v>0.78740157480314965</v>
      </c>
      <c r="O119" t="s">
        <v>403</v>
      </c>
    </row>
    <row r="120" spans="1:15">
      <c r="E120" s="13"/>
      <c r="I120"/>
      <c r="J120" s="15"/>
    </row>
    <row r="121" spans="1:15">
      <c r="D121" s="13"/>
      <c r="I121" s="15"/>
      <c r="N121"/>
    </row>
    <row r="122" spans="1:15" ht="15.75">
      <c r="A122" s="86">
        <v>4.4000000000000004</v>
      </c>
      <c r="B122" s="86" t="s">
        <v>446</v>
      </c>
      <c r="C122" s="87"/>
      <c r="D122" s="88"/>
      <c r="E122" s="87"/>
      <c r="I122" s="15"/>
      <c r="N122"/>
    </row>
    <row r="123" spans="1:15">
      <c r="D123" s="13"/>
      <c r="N123"/>
    </row>
    <row r="124" spans="1:15" ht="16.5">
      <c r="B124" t="s">
        <v>450</v>
      </c>
      <c r="F124" s="60" t="s">
        <v>449</v>
      </c>
      <c r="I124" s="30">
        <f>25*I15</f>
        <v>1000</v>
      </c>
      <c r="J124" t="s">
        <v>2</v>
      </c>
      <c r="N124"/>
    </row>
    <row r="125" spans="1:15" ht="16.899999999999999">
      <c r="B125" t="s">
        <v>451</v>
      </c>
      <c r="F125" t="s">
        <v>452</v>
      </c>
      <c r="I125" s="30">
        <f>(I124*I15)+2*(D111*D119)</f>
        <v>50184</v>
      </c>
      <c r="J125" t="s">
        <v>65</v>
      </c>
      <c r="N125" s="64">
        <f>I125/25.4^2</f>
        <v>77.785355570711147</v>
      </c>
      <c r="O125" t="s">
        <v>448</v>
      </c>
    </row>
    <row r="126" spans="1:15" ht="16.899999999999999">
      <c r="B126" t="s">
        <v>453</v>
      </c>
      <c r="D126" s="13"/>
      <c r="F126" t="s">
        <v>457</v>
      </c>
      <c r="I126" s="82">
        <f>1/12*I15*I124^3+2*1/12*D111*D119^3</f>
        <v>3333672799.9999995</v>
      </c>
      <c r="J126" t="s">
        <v>66</v>
      </c>
      <c r="N126" s="64">
        <f>I126/25.4^4</f>
        <v>8009.1809386917175</v>
      </c>
      <c r="O126" t="s">
        <v>458</v>
      </c>
    </row>
    <row r="127" spans="1:15" ht="16.899999999999999">
      <c r="B127" t="s">
        <v>454</v>
      </c>
      <c r="F127" t="s">
        <v>455</v>
      </c>
      <c r="I127" s="61">
        <f>(I126/I125)^0.5</f>
        <v>257.73823404759509</v>
      </c>
      <c r="J127" t="s">
        <v>2</v>
      </c>
      <c r="N127" s="64">
        <f>I127/25.4</f>
        <v>10.147174568802956</v>
      </c>
      <c r="O127" t="s">
        <v>403</v>
      </c>
    </row>
    <row r="128" spans="1:15" ht="16.899999999999999">
      <c r="B128" t="s">
        <v>453</v>
      </c>
      <c r="D128" s="13"/>
      <c r="F128" t="s">
        <v>459</v>
      </c>
      <c r="I128" s="82">
        <f>1/12*I15^3*I124+2*(1/12*D111^3*D119+D111*D119*(D111/2+I15/2)^2)</f>
        <v>281310092.48000002</v>
      </c>
      <c r="J128" t="s">
        <v>66</v>
      </c>
      <c r="N128" s="64">
        <f>I128/25.4^4</f>
        <v>675.85020058129908</v>
      </c>
      <c r="O128" t="s">
        <v>458</v>
      </c>
    </row>
    <row r="129" spans="1:15" ht="16.899999999999999">
      <c r="D129" s="13"/>
      <c r="F129" s="75" t="s">
        <v>460</v>
      </c>
      <c r="I129" s="82"/>
    </row>
    <row r="130" spans="1:15" ht="16.899999999999999">
      <c r="B130" t="s">
        <v>454</v>
      </c>
      <c r="D130" s="13"/>
      <c r="F130" t="s">
        <v>456</v>
      </c>
      <c r="I130" s="61">
        <f>(I128/I125)^0.5</f>
        <v>74.870376917108331</v>
      </c>
      <c r="J130" t="s">
        <v>2</v>
      </c>
      <c r="N130" s="64">
        <f>I130/25.4</f>
        <v>2.9476526345318241</v>
      </c>
      <c r="O130" t="s">
        <v>403</v>
      </c>
    </row>
    <row r="131" spans="1:15">
      <c r="B131" s="11"/>
      <c r="D131" s="13"/>
      <c r="I131" s="30"/>
    </row>
    <row r="132" spans="1:15">
      <c r="D132" s="13"/>
      <c r="I132" s="30"/>
    </row>
    <row r="133" spans="1:15" ht="15.75">
      <c r="A133" s="86">
        <v>4.5</v>
      </c>
      <c r="B133" s="86" t="s">
        <v>461</v>
      </c>
      <c r="C133" s="87"/>
      <c r="D133" s="88"/>
      <c r="E133" s="87"/>
      <c r="I133" s="15"/>
    </row>
    <row r="134" spans="1:15">
      <c r="B134" s="81" t="s">
        <v>476</v>
      </c>
      <c r="D134" s="13"/>
      <c r="I134" s="15"/>
    </row>
    <row r="135" spans="1:15">
      <c r="B135" s="25"/>
      <c r="D135" s="13"/>
      <c r="I135" s="15"/>
    </row>
    <row r="136" spans="1:15">
      <c r="C136" t="s">
        <v>466</v>
      </c>
      <c r="D136" s="7">
        <f>D154*D155/D156</f>
        <v>7.2124653599360569</v>
      </c>
      <c r="E136" s="7" t="str">
        <f>IF(D136&lt;F136,"&lt;","&gt;")</f>
        <v>&lt;</v>
      </c>
      <c r="F136" s="7">
        <f>D153</f>
        <v>107.04965087111542</v>
      </c>
      <c r="I136" s="15"/>
      <c r="N136" s="64">
        <f>D136/25.4</f>
        <v>0.28395532913134086</v>
      </c>
      <c r="O136" t="s">
        <v>403</v>
      </c>
    </row>
    <row r="137" spans="1:15">
      <c r="D137" s="7"/>
      <c r="E137" s="7"/>
      <c r="F137" s="7"/>
      <c r="I137" s="15"/>
    </row>
    <row r="138" spans="1:15" ht="15.4">
      <c r="B138" t="s">
        <v>372</v>
      </c>
      <c r="C138" t="s">
        <v>462</v>
      </c>
      <c r="J138" t="s">
        <v>482</v>
      </c>
    </row>
    <row r="139" spans="1:15" ht="13.9">
      <c r="C139" s="54"/>
      <c r="D139" s="13"/>
      <c r="F139" s="54"/>
      <c r="I139"/>
    </row>
    <row r="140" spans="1:15" ht="15.4">
      <c r="C140" s="11" t="s">
        <v>470</v>
      </c>
      <c r="D140" s="191" t="s">
        <v>471</v>
      </c>
      <c r="E140" s="191"/>
      <c r="F140" s="191"/>
      <c r="I140"/>
    </row>
    <row r="141" spans="1:15" ht="15.4">
      <c r="D141" s="190" t="s">
        <v>472</v>
      </c>
      <c r="E141" s="190"/>
      <c r="F141" s="190"/>
      <c r="I141"/>
    </row>
    <row r="142" spans="1:15">
      <c r="D142" s="13"/>
    </row>
    <row r="143" spans="1:15">
      <c r="C143" s="11" t="s">
        <v>437</v>
      </c>
      <c r="D143" s="78">
        <f>IF(D136&lt;F136,(((1-N136^2/(2*D153^2))*N88)/(5/3+3/8*(N136/D153)-(N136^3)/(8*D153^3)))*6.89476,"N/A")</f>
        <v>206.71869764394825</v>
      </c>
      <c r="N143" s="79">
        <f>IF(D143="N/A","N/A",D143/6.89)</f>
        <v>30.002713736422098</v>
      </c>
      <c r="O143" t="s">
        <v>58</v>
      </c>
    </row>
    <row r="144" spans="1:15">
      <c r="D144" s="13"/>
      <c r="N144" s="79"/>
    </row>
    <row r="145" spans="2:15" ht="15.4">
      <c r="B145" t="s">
        <v>372</v>
      </c>
      <c r="C145" t="s">
        <v>468</v>
      </c>
      <c r="D145" s="13"/>
      <c r="I145"/>
      <c r="J145" t="s">
        <v>483</v>
      </c>
      <c r="N145" s="79"/>
    </row>
    <row r="146" spans="2:15">
      <c r="D146" s="13"/>
      <c r="I146"/>
      <c r="N146" s="79"/>
    </row>
    <row r="147" spans="2:15" ht="16.149999999999999">
      <c r="C147" s="11" t="s">
        <v>470</v>
      </c>
      <c r="D147" s="77" t="s">
        <v>473</v>
      </c>
      <c r="I147"/>
      <c r="N147" s="79"/>
    </row>
    <row r="148" spans="2:15" ht="15.4">
      <c r="D148" s="30" t="s">
        <v>474</v>
      </c>
      <c r="I148"/>
      <c r="N148" s="79"/>
    </row>
    <row r="149" spans="2:15">
      <c r="C149" s="11" t="s">
        <v>437</v>
      </c>
      <c r="D149" s="78" t="str">
        <f>IF(D136&lt;F136,"N/A",12*PI()^2*N90/(23*N136^2)*6.89476)</f>
        <v>N/A</v>
      </c>
      <c r="I149" s="15"/>
      <c r="N149" s="79" t="str">
        <f>IF(D149="N/A","N/A",D149/6.89)</f>
        <v>N/A</v>
      </c>
      <c r="O149" t="s">
        <v>58</v>
      </c>
    </row>
    <row r="150" spans="2:15">
      <c r="D150" s="13"/>
      <c r="I150" s="15"/>
      <c r="N150" s="79"/>
    </row>
    <row r="151" spans="2:15">
      <c r="B151" t="s">
        <v>469</v>
      </c>
      <c r="D151" s="13"/>
      <c r="I151" s="15"/>
      <c r="N151" s="79"/>
    </row>
    <row r="152" spans="2:15">
      <c r="C152" s="11" t="s">
        <v>463</v>
      </c>
      <c r="D152" s="30">
        <v>1</v>
      </c>
    </row>
    <row r="153" spans="2:15" ht="16.5">
      <c r="C153" s="11" t="s">
        <v>475</v>
      </c>
      <c r="D153" s="7">
        <f>(2*PI()^2*N90/(D152*N88))^0.5</f>
        <v>107.04965087111542</v>
      </c>
      <c r="E153" s="60" t="s">
        <v>481</v>
      </c>
    </row>
    <row r="154" spans="2:15">
      <c r="C154" s="11" t="s">
        <v>93</v>
      </c>
      <c r="D154" s="3">
        <v>0.75</v>
      </c>
    </row>
    <row r="155" spans="2:15">
      <c r="C155" s="11" t="s">
        <v>467</v>
      </c>
      <c r="D155" s="74">
        <f>I18</f>
        <v>720</v>
      </c>
      <c r="E155" t="s">
        <v>2</v>
      </c>
      <c r="N155" s="64">
        <f>D155/25.4</f>
        <v>28.346456692913389</v>
      </c>
      <c r="O155" t="s">
        <v>403</v>
      </c>
    </row>
    <row r="156" spans="2:15">
      <c r="C156" s="11" t="s">
        <v>134</v>
      </c>
      <c r="D156" s="7">
        <f>IF(I127&lt;I130,I127,I130)</f>
        <v>74.870376917108331</v>
      </c>
      <c r="E156" t="s">
        <v>2</v>
      </c>
      <c r="N156" s="64">
        <f>D156/25.4</f>
        <v>2.9476526345318241</v>
      </c>
      <c r="O156" t="s">
        <v>403</v>
      </c>
    </row>
    <row r="157" spans="2:15">
      <c r="D157" s="13"/>
      <c r="I157" s="15"/>
    </row>
    <row r="158" spans="2:15">
      <c r="D158" s="13"/>
      <c r="I158" s="15"/>
    </row>
    <row r="159" spans="2:15">
      <c r="B159" s="81" t="s">
        <v>480</v>
      </c>
      <c r="D159" s="13"/>
      <c r="I159" s="15"/>
    </row>
    <row r="160" spans="2:15" ht="16.5">
      <c r="C160" s="11" t="s">
        <v>477</v>
      </c>
      <c r="D160" s="2" t="s">
        <v>478</v>
      </c>
      <c r="I160"/>
      <c r="N160"/>
    </row>
    <row r="161" spans="1:15">
      <c r="C161" s="11" t="s">
        <v>437</v>
      </c>
      <c r="D161" s="7">
        <f>I4/I125*1000</f>
        <v>99.718017694882818</v>
      </c>
      <c r="E161" t="s">
        <v>46</v>
      </c>
      <c r="I161"/>
      <c r="N161"/>
    </row>
    <row r="162" spans="1:15">
      <c r="I162"/>
      <c r="N162"/>
    </row>
    <row r="163" spans="1:15" ht="16.5">
      <c r="C163" s="11" t="s">
        <v>479</v>
      </c>
      <c r="D163" s="80">
        <f>D161/D143</f>
        <v>0.48238509061544532</v>
      </c>
      <c r="F163" s="12" t="str">
        <f>IF(D163&lt;1,"OK","NOT OK")</f>
        <v>OK</v>
      </c>
      <c r="I163"/>
      <c r="N163"/>
    </row>
    <row r="164" spans="1:15">
      <c r="C164" s="11"/>
      <c r="D164" s="80"/>
      <c r="F164" s="12"/>
      <c r="I164"/>
      <c r="N164"/>
    </row>
    <row r="165" spans="1:15">
      <c r="I165"/>
      <c r="N165"/>
    </row>
    <row r="166" spans="1:15" ht="15.75">
      <c r="A166" s="86">
        <v>4.5999999999999996</v>
      </c>
      <c r="B166" s="86" t="s">
        <v>485</v>
      </c>
      <c r="C166" s="87"/>
      <c r="D166" s="87"/>
      <c r="E166" s="87"/>
      <c r="I166"/>
      <c r="N166"/>
    </row>
    <row r="167" spans="1:15">
      <c r="I167"/>
      <c r="N167"/>
    </row>
    <row r="168" spans="1:15" ht="16.5">
      <c r="B168" s="1" t="s">
        <v>110</v>
      </c>
      <c r="H168" t="s">
        <v>486</v>
      </c>
      <c r="I168" s="3">
        <v>30</v>
      </c>
      <c r="J168" t="s">
        <v>2</v>
      </c>
      <c r="K168" s="17" t="s">
        <v>111</v>
      </c>
      <c r="M168" s="17"/>
      <c r="N168" s="64">
        <f t="shared" ref="N168" si="3">I168/25.4</f>
        <v>1.1811023622047245</v>
      </c>
      <c r="O168" t="s">
        <v>403</v>
      </c>
    </row>
    <row r="169" spans="1:15" ht="16.5">
      <c r="B169" s="1" t="s">
        <v>56</v>
      </c>
      <c r="H169" t="s">
        <v>487</v>
      </c>
      <c r="I169" s="3">
        <v>20</v>
      </c>
      <c r="J169" t="s">
        <v>2</v>
      </c>
      <c r="K169" s="17" t="s">
        <v>111</v>
      </c>
      <c r="M169" s="17"/>
      <c r="N169" s="64">
        <f>I169/25.4</f>
        <v>0.78740157480314965</v>
      </c>
      <c r="O169" t="s">
        <v>403</v>
      </c>
    </row>
    <row r="170" spans="1:15" ht="15.75">
      <c r="B170" s="1" t="s">
        <v>57</v>
      </c>
      <c r="H170" s="1" t="s">
        <v>366</v>
      </c>
      <c r="I170" s="3">
        <v>483</v>
      </c>
      <c r="J170" t="s">
        <v>46</v>
      </c>
      <c r="L170" s="17"/>
      <c r="M170" s="17"/>
      <c r="N170" s="64">
        <f t="shared" ref="N170:N171" si="4">I170/6.89</f>
        <v>70.101596516690861</v>
      </c>
      <c r="O170" t="s">
        <v>58</v>
      </c>
    </row>
    <row r="171" spans="1:15" ht="15.75">
      <c r="B171" s="1" t="s">
        <v>488</v>
      </c>
      <c r="H171" s="1" t="s">
        <v>493</v>
      </c>
      <c r="I171" s="2">
        <f>0.3*I170</f>
        <v>144.9</v>
      </c>
      <c r="J171" t="s">
        <v>46</v>
      </c>
      <c r="N171" s="64">
        <f t="shared" si="4"/>
        <v>21.030478955007258</v>
      </c>
      <c r="O171" t="s">
        <v>58</v>
      </c>
    </row>
    <row r="172" spans="1:15">
      <c r="I172"/>
      <c r="N172"/>
    </row>
    <row r="173" spans="1:15">
      <c r="A173" s="89" t="s">
        <v>498</v>
      </c>
      <c r="B173" s="89" t="s">
        <v>484</v>
      </c>
      <c r="C173" s="87"/>
      <c r="D173" s="87"/>
      <c r="E173" s="87"/>
      <c r="I173"/>
      <c r="N173"/>
    </row>
    <row r="174" spans="1:15">
      <c r="I174"/>
      <c r="N174"/>
    </row>
    <row r="175" spans="1:15" ht="16.899999999999999">
      <c r="B175" t="s">
        <v>496</v>
      </c>
      <c r="G175" t="s">
        <v>489</v>
      </c>
      <c r="I175" s="5">
        <f>2*4*0.707*I168*D111</f>
        <v>43200.527999999991</v>
      </c>
      <c r="J175" t="s">
        <v>65</v>
      </c>
      <c r="N175" s="64">
        <f>I175/25.4^2</f>
        <v>66.960952321904628</v>
      </c>
      <c r="O175" t="s">
        <v>448</v>
      </c>
    </row>
    <row r="176" spans="1:15" ht="16.5">
      <c r="G176" t="s">
        <v>491</v>
      </c>
      <c r="I176" s="7">
        <f>I4/I175*1000</f>
        <v>115.83768142833812</v>
      </c>
      <c r="J176" t="s">
        <v>46</v>
      </c>
      <c r="N176" s="64">
        <f t="shared" ref="N176" si="5">I176/6.89</f>
        <v>16.812435620948929</v>
      </c>
      <c r="O176" t="s">
        <v>58</v>
      </c>
    </row>
    <row r="177" spans="1:15" ht="15.75">
      <c r="G177" s="1" t="s">
        <v>494</v>
      </c>
      <c r="I177" s="80">
        <f>I176/I171</f>
        <v>0.79943189391537683</v>
      </c>
      <c r="K177" s="12" t="str">
        <f>IF(I177&lt;1,"OK","NOT OK")</f>
        <v>OK</v>
      </c>
      <c r="N177"/>
    </row>
    <row r="178" spans="1:15">
      <c r="N178"/>
    </row>
    <row r="179" spans="1:15">
      <c r="A179" s="89" t="s">
        <v>499</v>
      </c>
      <c r="B179" s="89" t="s">
        <v>78</v>
      </c>
      <c r="C179" s="87"/>
      <c r="D179" s="87"/>
      <c r="E179" s="87"/>
      <c r="N179"/>
    </row>
    <row r="180" spans="1:15" ht="15.75">
      <c r="A180" s="10"/>
      <c r="B180" s="52"/>
      <c r="N180"/>
    </row>
    <row r="181" spans="1:15" ht="16.899999999999999">
      <c r="B181" t="s">
        <v>497</v>
      </c>
      <c r="G181" t="s">
        <v>490</v>
      </c>
      <c r="I181" s="2">
        <f>2*2*0.707*I169*I18</f>
        <v>40723.199999999997</v>
      </c>
      <c r="J181" t="s">
        <v>65</v>
      </c>
      <c r="N181" s="64">
        <f>I181/25.4^2</f>
        <v>63.121086242172481</v>
      </c>
      <c r="O181" t="s">
        <v>448</v>
      </c>
    </row>
    <row r="182" spans="1:15" ht="16.5">
      <c r="G182" t="s">
        <v>492</v>
      </c>
      <c r="I182" s="7">
        <f>I4/I181*1000</f>
        <v>122.88447371522868</v>
      </c>
      <c r="J182" t="s">
        <v>46</v>
      </c>
      <c r="N182" s="64">
        <f t="shared" ref="N182" si="6">I182/6.89</f>
        <v>17.835192121223322</v>
      </c>
      <c r="O182" t="s">
        <v>58</v>
      </c>
    </row>
    <row r="183" spans="1:15" ht="15.75">
      <c r="G183" s="1" t="s">
        <v>495</v>
      </c>
      <c r="I183" s="80">
        <f>I182/I171</f>
        <v>0.84806400079522892</v>
      </c>
      <c r="K183" s="12" t="str">
        <f>IF(I183&lt;1,"OK","NOT OK")</f>
        <v>OK</v>
      </c>
      <c r="N183"/>
    </row>
    <row r="184" spans="1:15">
      <c r="I184"/>
      <c r="N184"/>
    </row>
    <row r="185" spans="1:15">
      <c r="I185"/>
      <c r="N185"/>
    </row>
    <row r="186" spans="1:15">
      <c r="I186"/>
      <c r="N186"/>
    </row>
  </sheetData>
  <mergeCells count="7">
    <mergeCell ref="D141:F141"/>
    <mergeCell ref="E51:H51"/>
    <mergeCell ref="E53:F53"/>
    <mergeCell ref="E63:F63"/>
    <mergeCell ref="E73:F73"/>
    <mergeCell ref="E97:E98"/>
    <mergeCell ref="D140:F140"/>
  </mergeCells>
  <phoneticPr fontId="62" type="noConversion"/>
  <conditionalFormatting sqref="D163:D164">
    <cfRule type="cellIs" dxfId="18" priority="10" operator="greaterThan">
      <formula>1</formula>
    </cfRule>
  </conditionalFormatting>
  <conditionalFormatting sqref="E32">
    <cfRule type="cellIs" dxfId="17" priority="19" operator="greaterThan">
      <formula>1</formula>
    </cfRule>
  </conditionalFormatting>
  <conditionalFormatting sqref="E42">
    <cfRule type="cellIs" dxfId="16" priority="20" operator="greaterThan">
      <formula>1</formula>
    </cfRule>
  </conditionalFormatting>
  <conditionalFormatting sqref="E54">
    <cfRule type="cellIs" dxfId="15" priority="21" operator="greaterThan">
      <formula>1</formula>
    </cfRule>
  </conditionalFormatting>
  <conditionalFormatting sqref="E64">
    <cfRule type="cellIs" dxfId="14" priority="22" operator="greaterThan">
      <formula>1</formula>
    </cfRule>
  </conditionalFormatting>
  <conditionalFormatting sqref="E74">
    <cfRule type="cellIs" dxfId="13" priority="18" operator="greaterThan">
      <formula>1</formula>
    </cfRule>
  </conditionalFormatting>
  <conditionalFormatting sqref="F111">
    <cfRule type="containsText" dxfId="12" priority="13" operator="containsText" text="NOT OK">
      <formula>NOT(ISERROR(SEARCH("NOT OK",F111)))</formula>
    </cfRule>
  </conditionalFormatting>
  <conditionalFormatting sqref="F119">
    <cfRule type="containsText" dxfId="11" priority="12" operator="containsText" text="NOT OK">
      <formula>NOT(ISERROR(SEARCH("NOT OK",F119)))</formula>
    </cfRule>
  </conditionalFormatting>
  <conditionalFormatting sqref="F163:F164">
    <cfRule type="containsText" dxfId="10" priority="11" operator="containsText" text="NOT OK">
      <formula>NOT(ISERROR(SEARCH("NOT OK",F163)))</formula>
    </cfRule>
  </conditionalFormatting>
  <conditionalFormatting sqref="G32">
    <cfRule type="containsText" dxfId="9" priority="23" operator="containsText" text="NOT OK, Stiffener Required">
      <formula>NOT(ISERROR(SEARCH("NOT OK, Stiffener Required",G32)))</formula>
    </cfRule>
  </conditionalFormatting>
  <conditionalFormatting sqref="G42">
    <cfRule type="containsText" dxfId="8" priority="24" operator="containsText" text="NOT OK, Stiffener Required">
      <formula>NOT(ISERROR(SEARCH("NOT OK, Stiffener Required",G42)))</formula>
    </cfRule>
  </conditionalFormatting>
  <conditionalFormatting sqref="G54">
    <cfRule type="containsText" dxfId="7" priority="25" operator="containsText" text="a pair of stiffeners is required !">
      <formula>NOT(ISERROR(SEARCH("a pair of stiffeners is required !",G54)))</formula>
    </cfRule>
    <cfRule type="containsText" priority="26" operator="containsText" text="a pair of stiffeners is required !">
      <formula>NOT(ISERROR(SEARCH("a pair of stiffeners is required !",G54)))</formula>
    </cfRule>
  </conditionalFormatting>
  <conditionalFormatting sqref="G64">
    <cfRule type="containsText" dxfId="6" priority="3" operator="containsText" text="a pair of stiffeners is required !">
      <formula>NOT(ISERROR(SEARCH("a pair of stiffeners is required !",G64)))</formula>
    </cfRule>
    <cfRule type="containsText" priority="4" operator="containsText" text="a pair of stiffeners is required !">
      <formula>NOT(ISERROR(SEARCH("a pair of stiffeners is required !",G64)))</formula>
    </cfRule>
  </conditionalFormatting>
  <conditionalFormatting sqref="G74">
    <cfRule type="containsText" dxfId="5" priority="1" operator="containsText" text="a pair of stiffeners is required !">
      <formula>NOT(ISERROR(SEARCH("a pair of stiffeners is required !",G74)))</formula>
    </cfRule>
    <cfRule type="containsText" priority="2" operator="containsText" text="a pair of stiffeners is required !">
      <formula>NOT(ISERROR(SEARCH("a pair of stiffeners is required !",G74)))</formula>
    </cfRule>
  </conditionalFormatting>
  <conditionalFormatting sqref="G82">
    <cfRule type="containsText" dxfId="4" priority="14" operator="containsText" text="a pair of stiffeners is required !">
      <formula>NOT(ISERROR(SEARCH("a pair of stiffeners is required !",G82)))</formula>
    </cfRule>
    <cfRule type="containsText" priority="15" operator="containsText" text="a pair of stiffeners is required !">
      <formula>NOT(ISERROR(SEARCH("a pair of stiffeners is required !",G82)))</formula>
    </cfRule>
  </conditionalFormatting>
  <conditionalFormatting sqref="I177">
    <cfRule type="cellIs" dxfId="3" priority="9" operator="greaterThan">
      <formula>1</formula>
    </cfRule>
  </conditionalFormatting>
  <conditionalFormatting sqref="I183">
    <cfRule type="cellIs" dxfId="2" priority="8" operator="greaterThan">
      <formula>1</formula>
    </cfRule>
  </conditionalFormatting>
  <conditionalFormatting sqref="K177">
    <cfRule type="containsText" dxfId="1" priority="7" operator="containsText" text="NOT OK">
      <formula>NOT(ISERROR(SEARCH("NOT OK",K177)))</formula>
    </cfRule>
  </conditionalFormatting>
  <conditionalFormatting sqref="K183">
    <cfRule type="containsText" dxfId="0" priority="6" operator="containsText" text="NOT OK">
      <formula>NOT(ISERROR(SEARCH("NOT OK",K183)))</formula>
    </cfRule>
  </conditionalFormatting>
  <pageMargins left="0.7" right="0.7" top="0.75" bottom="0.75" header="0.3" footer="0.3"/>
  <pageSetup paperSize="9" scale="70" orientation="portrait" horizontalDpi="300" verticalDpi="300" r:id="rId1"/>
  <rowBreaks count="2" manualBreakCount="2">
    <brk id="65" max="12" man="1"/>
    <brk id="131" max="12" man="1"/>
  </rowBreaks>
  <colBreaks count="1" manualBreakCount="1">
    <brk id="13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C176" sqref="C176"/>
    </sheetView>
  </sheetViews>
  <sheetFormatPr defaultRowHeight="13.5"/>
  <sheetData/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J28"/>
  <sheetViews>
    <sheetView workbookViewId="0">
      <selection activeCell="C176" sqref="C176"/>
    </sheetView>
  </sheetViews>
  <sheetFormatPr defaultRowHeight="13.5"/>
  <cols>
    <col min="1" max="1" width="0.59765625" customWidth="1"/>
    <col min="8" max="8" width="15.73046875" customWidth="1"/>
    <col min="9" max="9" width="9.1328125" style="2" customWidth="1"/>
  </cols>
  <sheetData>
    <row r="2" spans="2:10" ht="15.75">
      <c r="B2" s="14" t="s">
        <v>208</v>
      </c>
    </row>
    <row r="4" spans="2:10" ht="14.65">
      <c r="B4" s="1" t="s">
        <v>63</v>
      </c>
      <c r="C4" t="s">
        <v>64</v>
      </c>
      <c r="I4" s="4">
        <v>1.67</v>
      </c>
    </row>
    <row r="5" spans="2:10" ht="16.5">
      <c r="B5" t="s">
        <v>79</v>
      </c>
      <c r="C5" t="s">
        <v>80</v>
      </c>
      <c r="I5" s="4" t="e">
        <f>#REF!</f>
        <v>#REF!</v>
      </c>
      <c r="J5" t="s">
        <v>37</v>
      </c>
    </row>
    <row r="6" spans="2:10">
      <c r="B6" s="22" t="s">
        <v>172</v>
      </c>
    </row>
    <row r="7" spans="2:10">
      <c r="B7" s="22"/>
    </row>
    <row r="8" spans="2:10">
      <c r="B8" t="s">
        <v>162</v>
      </c>
      <c r="H8" t="s">
        <v>116</v>
      </c>
      <c r="I8" s="3">
        <f>415*2</f>
        <v>830</v>
      </c>
      <c r="J8" t="s">
        <v>2</v>
      </c>
    </row>
    <row r="9" spans="2:10">
      <c r="B9" t="s">
        <v>117</v>
      </c>
      <c r="H9" t="s">
        <v>118</v>
      </c>
      <c r="I9" s="3">
        <v>300</v>
      </c>
      <c r="J9" t="s">
        <v>2</v>
      </c>
    </row>
    <row r="10" spans="2:10" ht="16.5">
      <c r="B10" t="s">
        <v>163</v>
      </c>
      <c r="H10" t="s">
        <v>88</v>
      </c>
      <c r="I10" s="19">
        <v>30</v>
      </c>
      <c r="J10" t="s">
        <v>2</v>
      </c>
    </row>
    <row r="11" spans="2:10">
      <c r="B11" t="s">
        <v>169</v>
      </c>
      <c r="H11" t="s">
        <v>43</v>
      </c>
      <c r="I11" s="3">
        <v>335</v>
      </c>
      <c r="J11" t="s">
        <v>44</v>
      </c>
    </row>
    <row r="12" spans="2:10">
      <c r="B12" t="s">
        <v>170</v>
      </c>
      <c r="H12" t="s">
        <v>91</v>
      </c>
      <c r="I12" s="3">
        <v>800</v>
      </c>
      <c r="J12" t="s">
        <v>2</v>
      </c>
    </row>
    <row r="13" spans="2:10">
      <c r="B13" t="s">
        <v>171</v>
      </c>
      <c r="H13" t="s">
        <v>93</v>
      </c>
      <c r="I13" s="19">
        <v>0.7</v>
      </c>
    </row>
    <row r="15" spans="2:10">
      <c r="B15" t="s">
        <v>164</v>
      </c>
      <c r="H15" t="s">
        <v>103</v>
      </c>
      <c r="I15" s="2">
        <f>I12*I13</f>
        <v>560</v>
      </c>
      <c r="J15" t="s">
        <v>2</v>
      </c>
    </row>
    <row r="17" spans="2:10">
      <c r="B17" t="s">
        <v>165</v>
      </c>
    </row>
    <row r="18" spans="2:10">
      <c r="B18" t="s">
        <v>119</v>
      </c>
      <c r="E18" t="s">
        <v>166</v>
      </c>
      <c r="I18" s="21">
        <f>I9+I12*TAN(30/180*PI())</f>
        <v>761.8802153517006</v>
      </c>
      <c r="J18" t="s">
        <v>2</v>
      </c>
    </row>
    <row r="19" spans="2:10" ht="15.4">
      <c r="B19" t="s">
        <v>98</v>
      </c>
      <c r="E19" t="s">
        <v>167</v>
      </c>
      <c r="I19" s="5">
        <f>I18*I10</f>
        <v>22856.406460551018</v>
      </c>
      <c r="J19" t="s">
        <v>65</v>
      </c>
    </row>
    <row r="20" spans="2:10" ht="16.899999999999999">
      <c r="B20" t="s">
        <v>100</v>
      </c>
      <c r="E20" t="s">
        <v>168</v>
      </c>
      <c r="I20" s="5">
        <f>I10/12^0.5</f>
        <v>8.6602540378443873</v>
      </c>
      <c r="J20" t="s">
        <v>2</v>
      </c>
    </row>
    <row r="21" spans="2:10" ht="15.75">
      <c r="B21" s="1" t="s">
        <v>104</v>
      </c>
      <c r="E21" t="s">
        <v>67</v>
      </c>
      <c r="I21" s="5">
        <f>I15/I20</f>
        <v>64.663230149238075</v>
      </c>
    </row>
    <row r="22" spans="2:10" ht="16.5">
      <c r="B22" s="1" t="s">
        <v>68</v>
      </c>
      <c r="E22" t="s">
        <v>69</v>
      </c>
      <c r="I22" s="5">
        <f>205*1000*PI()^2/I21^2</f>
        <v>483.88127444754122</v>
      </c>
      <c r="J22" t="s">
        <v>70</v>
      </c>
    </row>
    <row r="23" spans="2:10" ht="14.65">
      <c r="B23" s="1" t="s">
        <v>71</v>
      </c>
      <c r="E23" t="s">
        <v>72</v>
      </c>
      <c r="I23" s="5">
        <f>IF(I22&lt;0.44*I11,0.877*I22,0.658^(I11/I22)*I11)</f>
        <v>250.72590906700725</v>
      </c>
      <c r="J23" t="s">
        <v>70</v>
      </c>
    </row>
    <row r="24" spans="2:10">
      <c r="E24" t="s">
        <v>73</v>
      </c>
    </row>
    <row r="25" spans="2:10">
      <c r="B25" t="s">
        <v>74</v>
      </c>
      <c r="E25" t="s">
        <v>75</v>
      </c>
      <c r="I25" s="5">
        <f>I23*I19/1000</f>
        <v>5730.6932878266716</v>
      </c>
      <c r="J25" t="s">
        <v>37</v>
      </c>
    </row>
    <row r="26" spans="2:10" ht="14.65">
      <c r="B26" t="s">
        <v>76</v>
      </c>
      <c r="E26" t="s">
        <v>77</v>
      </c>
      <c r="I26" s="5">
        <f>I25/I4</f>
        <v>3431.552866962079</v>
      </c>
      <c r="J26" t="s">
        <v>37</v>
      </c>
    </row>
    <row r="27" spans="2:10">
      <c r="B27" t="s">
        <v>102</v>
      </c>
      <c r="I27" s="7" t="e">
        <f>I5/I26</f>
        <v>#REF!</v>
      </c>
    </row>
    <row r="28" spans="2:10">
      <c r="B28" t="s">
        <v>60</v>
      </c>
      <c r="I28" s="2" t="e">
        <f>IF(I26&gt;I5, "OK", "NG")</f>
        <v>#REF!</v>
      </c>
    </row>
  </sheetData>
  <phoneticPr fontId="6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K44"/>
  <sheetViews>
    <sheetView workbookViewId="0">
      <selection activeCell="C176" sqref="C176"/>
    </sheetView>
  </sheetViews>
  <sheetFormatPr defaultRowHeight="13.5"/>
  <cols>
    <col min="2" max="2" width="18.1328125" customWidth="1"/>
    <col min="3" max="3" width="24.3984375" bestFit="1" customWidth="1"/>
    <col min="4" max="4" width="15.3984375" bestFit="1" customWidth="1"/>
    <col min="5" max="5" width="18.265625" bestFit="1" customWidth="1"/>
    <col min="6" max="7" width="18.3984375" bestFit="1" customWidth="1"/>
  </cols>
  <sheetData>
    <row r="1" spans="2:11">
      <c r="B1" s="37"/>
      <c r="C1" s="206" t="s">
        <v>219</v>
      </c>
      <c r="D1" s="208"/>
      <c r="E1" s="206" t="s">
        <v>220</v>
      </c>
      <c r="F1" s="208"/>
      <c r="G1" s="207"/>
    </row>
    <row r="2" spans="2:11">
      <c r="B2" s="37"/>
      <c r="C2" s="37" t="s">
        <v>191</v>
      </c>
      <c r="D2" s="37" t="s">
        <v>192</v>
      </c>
      <c r="E2" s="209" t="s">
        <v>195</v>
      </c>
      <c r="F2" s="210"/>
      <c r="G2" s="37" t="s">
        <v>193</v>
      </c>
      <c r="H2" s="37" t="s">
        <v>194</v>
      </c>
      <c r="J2">
        <f>0.88*345</f>
        <v>303.60000000000002</v>
      </c>
    </row>
    <row r="3" spans="2:11" ht="15.4">
      <c r="B3" s="37"/>
      <c r="C3" s="37"/>
      <c r="D3" s="37"/>
      <c r="E3" s="37" t="s">
        <v>244</v>
      </c>
      <c r="F3" s="51" t="s">
        <v>245</v>
      </c>
      <c r="G3" s="37"/>
      <c r="H3" s="37"/>
    </row>
    <row r="4" spans="2:11">
      <c r="B4" s="36" t="s">
        <v>190</v>
      </c>
      <c r="C4" s="39">
        <v>187</v>
      </c>
      <c r="D4" s="39">
        <v>289</v>
      </c>
      <c r="E4" s="49" t="s">
        <v>242</v>
      </c>
      <c r="F4" s="50">
        <v>0.93500000000000005</v>
      </c>
      <c r="G4" s="39">
        <v>1</v>
      </c>
      <c r="H4" s="39">
        <v>0.621</v>
      </c>
      <c r="I4" t="s">
        <v>221</v>
      </c>
    </row>
    <row r="5" spans="2:11">
      <c r="B5" s="36" t="s">
        <v>202</v>
      </c>
      <c r="C5" s="39">
        <v>129</v>
      </c>
      <c r="D5" s="39">
        <v>289</v>
      </c>
      <c r="E5" s="49" t="s">
        <v>243</v>
      </c>
      <c r="F5" s="50">
        <v>0.99199999999999999</v>
      </c>
      <c r="G5" s="39">
        <v>0.95199999999999996</v>
      </c>
      <c r="H5" s="39">
        <v>0.52900000000000003</v>
      </c>
      <c r="I5" t="s">
        <v>222</v>
      </c>
    </row>
    <row r="8" spans="2:11">
      <c r="B8" s="37"/>
      <c r="C8" s="37" t="s">
        <v>249</v>
      </c>
      <c r="D8" s="206" t="s">
        <v>220</v>
      </c>
      <c r="E8" s="208"/>
      <c r="F8" s="207"/>
    </row>
    <row r="9" spans="2:11">
      <c r="B9" s="37"/>
      <c r="C9" s="37" t="s">
        <v>219</v>
      </c>
      <c r="D9" s="37" t="s">
        <v>195</v>
      </c>
      <c r="E9" s="37" t="s">
        <v>193</v>
      </c>
      <c r="F9" s="37" t="s">
        <v>194</v>
      </c>
      <c r="J9">
        <v>330</v>
      </c>
      <c r="K9">
        <f>1000/0.33/0.3</f>
        <v>10101.010101010101</v>
      </c>
    </row>
    <row r="10" spans="2:11">
      <c r="B10" s="36" t="s">
        <v>246</v>
      </c>
      <c r="C10" s="2">
        <v>205</v>
      </c>
      <c r="D10" s="39">
        <v>0.74199999999999999</v>
      </c>
      <c r="E10" s="39">
        <v>0.56499999999999995</v>
      </c>
      <c r="F10" s="39">
        <v>0.32300000000000001</v>
      </c>
      <c r="J10">
        <v>300</v>
      </c>
    </row>
    <row r="11" spans="2:11">
      <c r="B11" s="36" t="s">
        <v>247</v>
      </c>
      <c r="C11" s="39">
        <v>230</v>
      </c>
      <c r="D11" s="39">
        <v>0.82099999999999995</v>
      </c>
      <c r="E11" s="39">
        <v>0.45900000000000002</v>
      </c>
      <c r="F11" s="39">
        <v>0.34</v>
      </c>
    </row>
    <row r="12" spans="2:11">
      <c r="B12" s="36" t="s">
        <v>248</v>
      </c>
      <c r="C12" s="39">
        <v>293</v>
      </c>
      <c r="D12" s="39">
        <v>0.999</v>
      </c>
      <c r="E12" s="39">
        <v>0.626</v>
      </c>
      <c r="F12" s="39">
        <v>0.371</v>
      </c>
    </row>
    <row r="14" spans="2:11">
      <c r="B14" s="37"/>
      <c r="C14" s="37" t="s">
        <v>307</v>
      </c>
      <c r="D14" s="205" t="s">
        <v>220</v>
      </c>
      <c r="E14" s="205"/>
      <c r="F14" s="205"/>
      <c r="G14" s="205"/>
    </row>
    <row r="15" spans="2:11">
      <c r="B15" s="37"/>
      <c r="C15" s="37" t="s">
        <v>306</v>
      </c>
      <c r="D15" s="206" t="s">
        <v>195</v>
      </c>
      <c r="E15" s="207"/>
      <c r="F15" s="37" t="s">
        <v>193</v>
      </c>
      <c r="G15" s="37" t="s">
        <v>194</v>
      </c>
    </row>
    <row r="16" spans="2:11" ht="15.4">
      <c r="B16" s="37"/>
      <c r="C16" s="37"/>
      <c r="D16" s="37" t="s">
        <v>244</v>
      </c>
      <c r="E16" s="51" t="s">
        <v>309</v>
      </c>
      <c r="F16" s="37"/>
      <c r="G16" s="37"/>
    </row>
    <row r="17" spans="2:7">
      <c r="B17" s="36" t="s">
        <v>305</v>
      </c>
      <c r="C17" s="2">
        <v>0.90400000000000003</v>
      </c>
      <c r="D17" s="49" t="s">
        <v>308</v>
      </c>
      <c r="E17" s="2">
        <v>0.53100000000000003</v>
      </c>
      <c r="F17" s="39">
        <v>0.92</v>
      </c>
      <c r="G17" s="39">
        <v>0.90500000000000003</v>
      </c>
    </row>
    <row r="18" spans="2:7">
      <c r="B18" s="36" t="s">
        <v>311</v>
      </c>
      <c r="C18" s="39">
        <v>0.85499999999999998</v>
      </c>
      <c r="D18" s="49" t="s">
        <v>310</v>
      </c>
      <c r="E18" s="39">
        <v>0.95699999999999996</v>
      </c>
      <c r="F18" s="39">
        <v>0.90800000000000003</v>
      </c>
      <c r="G18" s="39">
        <v>0.85899999999999999</v>
      </c>
    </row>
    <row r="19" spans="2:7">
      <c r="B19" s="36" t="s">
        <v>312</v>
      </c>
      <c r="C19" s="39">
        <v>0.89800000000000002</v>
      </c>
      <c r="D19" s="49" t="s">
        <v>314</v>
      </c>
      <c r="E19" s="39">
        <v>0.378</v>
      </c>
      <c r="F19" s="39">
        <v>0.96</v>
      </c>
      <c r="G19" s="39">
        <v>0.58499999999999996</v>
      </c>
    </row>
    <row r="20" spans="2:7">
      <c r="B20" s="36" t="s">
        <v>313</v>
      </c>
      <c r="C20" s="39">
        <v>0.83099999999999996</v>
      </c>
      <c r="D20" s="49" t="s">
        <v>315</v>
      </c>
      <c r="E20" s="39">
        <v>0.91800000000000004</v>
      </c>
      <c r="F20" s="39">
        <v>0.90600000000000003</v>
      </c>
      <c r="G20" s="39">
        <v>0.85699999999999998</v>
      </c>
    </row>
    <row r="21" spans="2:7" ht="13.9" thickBot="1">
      <c r="C21" s="30"/>
      <c r="D21" s="30"/>
      <c r="E21" s="30"/>
      <c r="F21" s="30"/>
    </row>
    <row r="22" spans="2:7" ht="14.65" thickBot="1">
      <c r="B22" s="41" t="s">
        <v>223</v>
      </c>
      <c r="C22" s="202" t="s">
        <v>224</v>
      </c>
      <c r="D22" s="203"/>
      <c r="E22" s="203"/>
      <c r="F22" s="204"/>
    </row>
    <row r="23" spans="2:7" ht="14.65" thickBot="1">
      <c r="B23" s="42"/>
      <c r="C23" s="43" t="s">
        <v>225</v>
      </c>
      <c r="D23" s="43" t="s">
        <v>226</v>
      </c>
      <c r="E23" s="43" t="s">
        <v>227</v>
      </c>
      <c r="F23" s="43" t="s">
        <v>228</v>
      </c>
    </row>
    <row r="24" spans="2:7" ht="32.25" customHeight="1" thickBot="1">
      <c r="B24" s="44" t="s">
        <v>250</v>
      </c>
      <c r="C24" s="45" t="s">
        <v>251</v>
      </c>
      <c r="D24" s="45" t="s">
        <v>252</v>
      </c>
      <c r="E24" s="45" t="s">
        <v>253</v>
      </c>
      <c r="F24" s="45" t="s">
        <v>254</v>
      </c>
    </row>
    <row r="25" spans="2:7" ht="14.25" thickBot="1">
      <c r="B25" s="46" t="s">
        <v>232</v>
      </c>
      <c r="C25" s="47" t="s">
        <v>255</v>
      </c>
      <c r="D25" s="47" t="s">
        <v>256</v>
      </c>
      <c r="E25" s="47" t="s">
        <v>257</v>
      </c>
      <c r="F25" s="47" t="s">
        <v>258</v>
      </c>
    </row>
    <row r="26" spans="2:7" ht="14.25" thickBot="1">
      <c r="B26" s="46" t="s">
        <v>259</v>
      </c>
      <c r="C26" s="47" t="s">
        <v>260</v>
      </c>
      <c r="D26" s="47" t="s">
        <v>261</v>
      </c>
      <c r="E26" s="47" t="s">
        <v>262</v>
      </c>
      <c r="F26" s="47" t="s">
        <v>263</v>
      </c>
    </row>
    <row r="27" spans="2:7" ht="13.9" thickBot="1"/>
    <row r="28" spans="2:7" ht="14.65" thickBot="1">
      <c r="B28" s="41" t="s">
        <v>223</v>
      </c>
      <c r="C28" s="202" t="s">
        <v>224</v>
      </c>
      <c r="D28" s="203"/>
      <c r="E28" s="203"/>
      <c r="F28" s="204"/>
    </row>
    <row r="29" spans="2:7" ht="14.65" thickBot="1">
      <c r="B29" s="42"/>
      <c r="C29" s="43" t="s">
        <v>225</v>
      </c>
      <c r="D29" s="43" t="s">
        <v>226</v>
      </c>
      <c r="E29" s="43" t="s">
        <v>227</v>
      </c>
      <c r="F29" s="43" t="s">
        <v>228</v>
      </c>
    </row>
    <row r="30" spans="2:7" ht="33.75" customHeight="1" thickBot="1">
      <c r="B30" s="44" t="s">
        <v>264</v>
      </c>
      <c r="C30" s="45" t="s">
        <v>265</v>
      </c>
      <c r="D30" s="45" t="s">
        <v>266</v>
      </c>
      <c r="E30" s="45" t="s">
        <v>267</v>
      </c>
      <c r="F30" s="45" t="s">
        <v>268</v>
      </c>
    </row>
    <row r="31" spans="2:7" ht="14.25" thickBot="1">
      <c r="B31" s="46" t="s">
        <v>269</v>
      </c>
      <c r="C31" s="47" t="s">
        <v>270</v>
      </c>
      <c r="D31" s="47" t="s">
        <v>271</v>
      </c>
      <c r="E31" s="47" t="s">
        <v>272</v>
      </c>
      <c r="F31" s="47" t="s">
        <v>273</v>
      </c>
    </row>
    <row r="32" spans="2:7" ht="14.25" thickBot="1">
      <c r="B32" s="46" t="s">
        <v>274</v>
      </c>
      <c r="C32" s="47" t="s">
        <v>275</v>
      </c>
      <c r="D32" s="47" t="s">
        <v>276</v>
      </c>
      <c r="E32" s="47" t="s">
        <v>277</v>
      </c>
      <c r="F32" s="47" t="s">
        <v>278</v>
      </c>
    </row>
    <row r="33" spans="2:6" ht="13.9" thickBot="1"/>
    <row r="34" spans="2:6" ht="14.65" thickBot="1">
      <c r="B34" s="41" t="s">
        <v>223</v>
      </c>
      <c r="C34" s="202" t="s">
        <v>224</v>
      </c>
      <c r="D34" s="203"/>
      <c r="E34" s="203"/>
      <c r="F34" s="204"/>
    </row>
    <row r="35" spans="2:6" ht="14.65" thickBot="1">
      <c r="B35" s="42"/>
      <c r="C35" s="43" t="s">
        <v>225</v>
      </c>
      <c r="D35" s="43" t="s">
        <v>226</v>
      </c>
      <c r="E35" s="43" t="s">
        <v>227</v>
      </c>
      <c r="F35" s="43" t="s">
        <v>228</v>
      </c>
    </row>
    <row r="36" spans="2:6" ht="31.5" customHeight="1" thickBot="1">
      <c r="B36" s="44" t="s">
        <v>229</v>
      </c>
      <c r="C36" s="45" t="s">
        <v>279</v>
      </c>
      <c r="D36" s="45" t="s">
        <v>280</v>
      </c>
      <c r="E36" s="48" t="s">
        <v>281</v>
      </c>
      <c r="F36" s="45" t="s">
        <v>282</v>
      </c>
    </row>
    <row r="37" spans="2:6" ht="14.25" thickBot="1">
      <c r="B37" s="46" t="s">
        <v>231</v>
      </c>
      <c r="C37" s="47" t="s">
        <v>283</v>
      </c>
      <c r="D37" s="47" t="s">
        <v>284</v>
      </c>
      <c r="E37" s="47" t="s">
        <v>285</v>
      </c>
      <c r="F37" s="47" t="s">
        <v>286</v>
      </c>
    </row>
    <row r="38" spans="2:6" ht="14.25" thickBot="1">
      <c r="B38" s="46" t="s">
        <v>230</v>
      </c>
      <c r="C38" s="47" t="s">
        <v>287</v>
      </c>
      <c r="D38" s="47" t="s">
        <v>233</v>
      </c>
      <c r="E38" s="47" t="s">
        <v>288</v>
      </c>
      <c r="F38" s="47" t="s">
        <v>289</v>
      </c>
    </row>
    <row r="39" spans="2:6" ht="13.9" thickBot="1"/>
    <row r="40" spans="2:6" ht="14.65" thickBot="1">
      <c r="B40" s="41" t="s">
        <v>223</v>
      </c>
      <c r="C40" s="202" t="s">
        <v>224</v>
      </c>
      <c r="D40" s="203"/>
      <c r="E40" s="203"/>
      <c r="F40" s="204"/>
    </row>
    <row r="41" spans="2:6" ht="14.65" thickBot="1">
      <c r="B41" s="42"/>
      <c r="C41" s="43" t="s">
        <v>225</v>
      </c>
      <c r="D41" s="43" t="s">
        <v>226</v>
      </c>
      <c r="E41" s="43" t="s">
        <v>227</v>
      </c>
      <c r="F41" s="43" t="s">
        <v>228</v>
      </c>
    </row>
    <row r="42" spans="2:6" ht="30" customHeight="1" thickBot="1">
      <c r="B42" s="44" t="s">
        <v>290</v>
      </c>
      <c r="C42" s="45" t="s">
        <v>291</v>
      </c>
      <c r="D42" s="45" t="s">
        <v>292</v>
      </c>
      <c r="E42" s="45" t="s">
        <v>293</v>
      </c>
      <c r="F42" s="45" t="s">
        <v>294</v>
      </c>
    </row>
    <row r="43" spans="2:6" ht="14.25" thickBot="1">
      <c r="B43" s="46" t="s">
        <v>295</v>
      </c>
      <c r="C43" s="47" t="s">
        <v>296</v>
      </c>
      <c r="D43" s="47" t="s">
        <v>297</v>
      </c>
      <c r="E43" s="47" t="s">
        <v>298</v>
      </c>
      <c r="F43" s="47" t="s">
        <v>299</v>
      </c>
    </row>
    <row r="44" spans="2:6" ht="14.25" thickBot="1">
      <c r="B44" s="46" t="s">
        <v>300</v>
      </c>
      <c r="C44" s="47" t="s">
        <v>301</v>
      </c>
      <c r="D44" s="47" t="s">
        <v>302</v>
      </c>
      <c r="E44" s="47" t="s">
        <v>303</v>
      </c>
      <c r="F44" s="47" t="s">
        <v>304</v>
      </c>
    </row>
  </sheetData>
  <mergeCells count="10">
    <mergeCell ref="E1:G1"/>
    <mergeCell ref="C1:D1"/>
    <mergeCell ref="E2:F2"/>
    <mergeCell ref="D8:F8"/>
    <mergeCell ref="C22:F22"/>
    <mergeCell ref="C28:F28"/>
    <mergeCell ref="C34:F34"/>
    <mergeCell ref="C40:F40"/>
    <mergeCell ref="D14:G14"/>
    <mergeCell ref="D15:E15"/>
  </mergeCells>
  <phoneticPr fontId="62" type="noConversion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2"/>
  <sheetViews>
    <sheetView workbookViewId="0">
      <selection activeCell="C176" sqref="C176"/>
    </sheetView>
  </sheetViews>
  <sheetFormatPr defaultRowHeight="13.5"/>
  <sheetData>
    <row r="12" spans="2:2" ht="15.4">
      <c r="B12" t="s">
        <v>354</v>
      </c>
    </row>
  </sheetData>
  <phoneticPr fontId="62" type="noConversion"/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E18" sqref="E18"/>
    </sheetView>
  </sheetViews>
  <sheetFormatPr defaultRowHeight="13.5"/>
  <cols>
    <col min="1" max="1" width="40" customWidth="1"/>
    <col min="2" max="2" width="31" customWidth="1"/>
  </cols>
  <sheetData>
    <row r="1" spans="1:4">
      <c r="A1" s="8" t="s">
        <v>125</v>
      </c>
    </row>
    <row r="3" spans="1:4">
      <c r="A3" t="s">
        <v>120</v>
      </c>
      <c r="B3" t="s">
        <v>197</v>
      </c>
      <c r="C3" s="24">
        <v>3640</v>
      </c>
      <c r="D3" t="s">
        <v>7</v>
      </c>
    </row>
    <row r="4" spans="1:4">
      <c r="A4" t="s">
        <v>121</v>
      </c>
      <c r="B4" t="s">
        <v>122</v>
      </c>
      <c r="C4" s="24">
        <v>3.7</v>
      </c>
      <c r="D4" t="s">
        <v>123</v>
      </c>
    </row>
    <row r="5" spans="1:4">
      <c r="A5" t="s">
        <v>124</v>
      </c>
      <c r="B5" s="25" t="s">
        <v>210</v>
      </c>
    </row>
    <row r="6" spans="1:4">
      <c r="A6" t="s">
        <v>126</v>
      </c>
      <c r="B6" t="s">
        <v>127</v>
      </c>
      <c r="C6" s="24">
        <v>335</v>
      </c>
      <c r="D6" t="s">
        <v>1</v>
      </c>
    </row>
    <row r="7" spans="1:4">
      <c r="A7" t="s">
        <v>128</v>
      </c>
      <c r="B7" t="s">
        <v>129</v>
      </c>
      <c r="C7" s="24">
        <v>200000</v>
      </c>
      <c r="D7" t="s">
        <v>1</v>
      </c>
    </row>
    <row r="8" spans="1:4">
      <c r="A8" t="s">
        <v>130</v>
      </c>
      <c r="B8" t="s">
        <v>131</v>
      </c>
      <c r="C8" s="24">
        <v>243</v>
      </c>
      <c r="D8" t="s">
        <v>132</v>
      </c>
    </row>
    <row r="9" spans="1:4">
      <c r="A9" t="s">
        <v>133</v>
      </c>
      <c r="B9" t="s">
        <v>134</v>
      </c>
      <c r="C9" s="24">
        <v>13.7</v>
      </c>
      <c r="D9" t="s">
        <v>135</v>
      </c>
    </row>
    <row r="10" spans="1:4">
      <c r="A10" t="s">
        <v>136</v>
      </c>
      <c r="B10" t="s">
        <v>5</v>
      </c>
      <c r="C10" s="24">
        <v>1.67</v>
      </c>
    </row>
    <row r="11" spans="1:4">
      <c r="A11" t="s">
        <v>137</v>
      </c>
      <c r="B11" t="s">
        <v>138</v>
      </c>
      <c r="C11" s="24">
        <v>1</v>
      </c>
    </row>
    <row r="13" spans="1:4">
      <c r="B13" t="s">
        <v>140</v>
      </c>
      <c r="C13" s="23">
        <f>C11*C4/C9*100</f>
        <v>27.007299270072991</v>
      </c>
    </row>
    <row r="14" spans="1:4" ht="14.65">
      <c r="A14" t="s">
        <v>143</v>
      </c>
      <c r="B14" t="s">
        <v>144</v>
      </c>
      <c r="C14" s="23">
        <f>PI()^2*C7/(C13^2)</f>
        <v>2706.2469686493232</v>
      </c>
      <c r="D14" t="s">
        <v>1</v>
      </c>
    </row>
    <row r="15" spans="1:4">
      <c r="B15" t="s">
        <v>141</v>
      </c>
      <c r="C15" s="23">
        <f>4.71*(C7/C6)^0.5</f>
        <v>115.08361658363953</v>
      </c>
      <c r="D15" t="s">
        <v>142</v>
      </c>
    </row>
    <row r="16" spans="1:4">
      <c r="A16" t="s">
        <v>139</v>
      </c>
      <c r="B16" t="s">
        <v>146</v>
      </c>
      <c r="C16" s="23">
        <f>0.658^(C6/C14)*C6</f>
        <v>318.08516473169283</v>
      </c>
      <c r="D16" t="s">
        <v>1</v>
      </c>
    </row>
    <row r="17" spans="1:7">
      <c r="A17" t="s">
        <v>148</v>
      </c>
      <c r="B17" t="s">
        <v>145</v>
      </c>
      <c r="C17" s="23">
        <f>C16*C8/10</f>
        <v>7729.4695029801351</v>
      </c>
      <c r="D17" t="s">
        <v>7</v>
      </c>
    </row>
    <row r="18" spans="1:7" ht="14.65">
      <c r="A18" t="s">
        <v>147</v>
      </c>
      <c r="B18" t="s">
        <v>149</v>
      </c>
      <c r="C18" s="23">
        <f>C17/C10</f>
        <v>4628.4248520839137</v>
      </c>
      <c r="D18" t="s">
        <v>7</v>
      </c>
      <c r="E18" t="s">
        <v>198</v>
      </c>
      <c r="G18">
        <f>C3/C18</f>
        <v>0.78644465802682684</v>
      </c>
    </row>
    <row r="20" spans="1:7">
      <c r="A20" s="33" t="s">
        <v>150</v>
      </c>
    </row>
    <row r="23" spans="1:7">
      <c r="A23" s="8" t="s">
        <v>152</v>
      </c>
    </row>
    <row r="25" spans="1:7">
      <c r="A25" t="s">
        <v>216</v>
      </c>
      <c r="B25" t="s">
        <v>10</v>
      </c>
      <c r="C25" s="35">
        <f>C3</f>
        <v>3640</v>
      </c>
      <c r="D25" t="s">
        <v>7</v>
      </c>
    </row>
    <row r="26" spans="1:7">
      <c r="A26" t="s">
        <v>14</v>
      </c>
      <c r="B26" t="s">
        <v>15</v>
      </c>
      <c r="C26" s="3">
        <v>480</v>
      </c>
      <c r="D26" t="s">
        <v>1</v>
      </c>
    </row>
    <row r="27" spans="1:7">
      <c r="A27" t="s">
        <v>4</v>
      </c>
      <c r="B27" t="s">
        <v>16</v>
      </c>
      <c r="C27" s="19">
        <v>800</v>
      </c>
      <c r="D27" t="s">
        <v>2</v>
      </c>
    </row>
    <row r="28" spans="1:7">
      <c r="A28" t="s">
        <v>8</v>
      </c>
      <c r="B28" t="s">
        <v>9</v>
      </c>
      <c r="C28" s="19">
        <v>14</v>
      </c>
      <c r="D28" t="s">
        <v>2</v>
      </c>
    </row>
    <row r="29" spans="1:7" ht="14.65">
      <c r="A29" t="s">
        <v>3</v>
      </c>
      <c r="B29" s="1" t="s">
        <v>5</v>
      </c>
      <c r="C29" s="4">
        <v>2</v>
      </c>
    </row>
    <row r="30" spans="1:7">
      <c r="A30" t="s">
        <v>6</v>
      </c>
      <c r="B30" s="38" t="s">
        <v>113</v>
      </c>
      <c r="C30" s="5">
        <f>0.6*C26/C29*4*C27*0.707*C28/1000</f>
        <v>4560.9983999999995</v>
      </c>
      <c r="D30" t="s">
        <v>7</v>
      </c>
      <c r="E30" t="str">
        <f>IF(C30&gt;C25, "&gt; F, OK","Re-check")</f>
        <v>&gt; F, OK</v>
      </c>
      <c r="G30">
        <f>C25/C30</f>
        <v>0.79807087851642311</v>
      </c>
    </row>
  </sheetData>
  <phoneticPr fontId="6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4"/>
  <sheetViews>
    <sheetView topLeftCell="A34" zoomScale="85" zoomScaleNormal="85" workbookViewId="0">
      <selection activeCell="G70" sqref="G70"/>
    </sheetView>
  </sheetViews>
  <sheetFormatPr defaultRowHeight="13.5"/>
  <cols>
    <col min="1" max="1" width="9.1328125" style="17"/>
    <col min="2" max="2" width="13.86328125" style="17" customWidth="1"/>
    <col min="3" max="4" width="9.1328125" style="17"/>
    <col min="5" max="5" width="31.265625" style="17" customWidth="1"/>
    <col min="6" max="6" width="9.1328125" style="30"/>
    <col min="7" max="7" width="9.1328125" style="17"/>
    <col min="8" max="8" width="10.3984375" style="17" customWidth="1"/>
  </cols>
  <sheetData>
    <row r="1" spans="1:12">
      <c r="A1" s="17" t="s">
        <v>158</v>
      </c>
      <c r="E1" s="17" t="s">
        <v>10</v>
      </c>
      <c r="F1" s="30">
        <f>roll!C3</f>
        <v>2004</v>
      </c>
      <c r="G1" s="17" t="s">
        <v>7</v>
      </c>
    </row>
    <row r="3" spans="1:12">
      <c r="A3" s="34" t="s">
        <v>234</v>
      </c>
    </row>
    <row r="4" spans="1:12">
      <c r="A4" s="17" t="s">
        <v>114</v>
      </c>
      <c r="E4" s="17" t="s">
        <v>27</v>
      </c>
      <c r="F4" s="19">
        <v>0</v>
      </c>
      <c r="G4" s="17" t="s">
        <v>2</v>
      </c>
    </row>
    <row r="5" spans="1:12" ht="16.5">
      <c r="A5" s="17" t="s">
        <v>4</v>
      </c>
      <c r="E5" s="17" t="s">
        <v>337</v>
      </c>
      <c r="F5" s="19">
        <v>800</v>
      </c>
      <c r="G5" s="17" t="s">
        <v>2</v>
      </c>
    </row>
    <row r="6" spans="1:12" ht="16.5">
      <c r="A6" s="17" t="s">
        <v>31</v>
      </c>
      <c r="E6" s="17" t="s">
        <v>338</v>
      </c>
      <c r="F6" s="19">
        <v>335</v>
      </c>
      <c r="G6" s="17" t="s">
        <v>1</v>
      </c>
    </row>
    <row r="7" spans="1:12">
      <c r="A7" s="17" t="s">
        <v>155</v>
      </c>
      <c r="E7" s="17" t="s">
        <v>156</v>
      </c>
      <c r="F7" s="19">
        <v>20</v>
      </c>
      <c r="G7" s="17" t="s">
        <v>2</v>
      </c>
    </row>
    <row r="8" spans="1:12" ht="14.65">
      <c r="A8" s="17" t="s">
        <v>3</v>
      </c>
      <c r="E8" s="31" t="s">
        <v>5</v>
      </c>
      <c r="F8" s="32">
        <v>1.67</v>
      </c>
      <c r="J8" s="69"/>
      <c r="K8" s="69"/>
      <c r="L8" s="69"/>
    </row>
    <row r="9" spans="1:12" ht="15.75">
      <c r="A9" s="17" t="s">
        <v>3</v>
      </c>
      <c r="E9" s="31" t="s">
        <v>346</v>
      </c>
      <c r="F9" s="53">
        <v>1.5</v>
      </c>
      <c r="J9" s="69"/>
      <c r="K9" s="69"/>
      <c r="L9" s="69"/>
    </row>
    <row r="10" spans="1:12" ht="14.65">
      <c r="E10" s="31"/>
      <c r="F10" s="31"/>
      <c r="J10" s="69"/>
      <c r="K10" s="69"/>
      <c r="L10" s="69"/>
    </row>
    <row r="11" spans="1:12" ht="16.5">
      <c r="A11" s="17" t="s">
        <v>22</v>
      </c>
      <c r="E11" s="17" t="s">
        <v>340</v>
      </c>
      <c r="F11" s="21">
        <f>F6/F8*F5*F7/1000</f>
        <v>3209.5808383233539</v>
      </c>
      <c r="G11" s="17" t="s">
        <v>7</v>
      </c>
      <c r="J11" s="69" t="s">
        <v>355</v>
      </c>
      <c r="K11" s="69" t="s">
        <v>420</v>
      </c>
      <c r="L11" s="69"/>
    </row>
    <row r="12" spans="1:12" ht="16.5">
      <c r="A12" s="17" t="s">
        <v>23</v>
      </c>
      <c r="E12" s="17" t="s">
        <v>339</v>
      </c>
      <c r="F12" s="21">
        <f>F6/F8*F7*F5^2/6/1000000</f>
        <v>427.94411177644713</v>
      </c>
      <c r="G12" s="17" t="s">
        <v>24</v>
      </c>
      <c r="J12" s="69" t="s">
        <v>357</v>
      </c>
      <c r="K12" s="69" t="s">
        <v>421</v>
      </c>
      <c r="L12" s="69"/>
    </row>
    <row r="13" spans="1:12" ht="16.5">
      <c r="A13" s="17" t="s">
        <v>25</v>
      </c>
      <c r="E13" s="17" t="s">
        <v>359</v>
      </c>
      <c r="F13" s="21">
        <f>0.6*F6/F9*F5*F7/1000</f>
        <v>2144</v>
      </c>
      <c r="G13" s="17" t="s">
        <v>7</v>
      </c>
      <c r="J13" s="69" t="s">
        <v>356</v>
      </c>
      <c r="K13" s="69" t="s">
        <v>422</v>
      </c>
      <c r="L13" s="69"/>
    </row>
    <row r="14" spans="1:12">
      <c r="J14" s="69"/>
      <c r="K14" s="69"/>
      <c r="L14" s="69"/>
    </row>
    <row r="15" spans="1:12" ht="14.65">
      <c r="A15" s="17" t="s">
        <v>11</v>
      </c>
      <c r="E15" s="31" t="s">
        <v>12</v>
      </c>
      <c r="F15" s="19">
        <v>34</v>
      </c>
      <c r="G15" s="17" t="s">
        <v>13</v>
      </c>
    </row>
    <row r="16" spans="1:12" ht="16.5">
      <c r="A16" s="17" t="s">
        <v>179</v>
      </c>
      <c r="E16" s="17" t="s">
        <v>341</v>
      </c>
      <c r="F16" s="21">
        <f>F1*COS(F15/180*PI())</f>
        <v>1661.3912954003035</v>
      </c>
      <c r="G16" s="17" t="s">
        <v>7</v>
      </c>
      <c r="H16" s="17" t="str">
        <f>IF(F16&lt;F11, "&lt; Pwt, OK","Re-check")</f>
        <v>&lt; Pwt, OK</v>
      </c>
      <c r="J16">
        <f>F16/F11</f>
        <v>0.51763497449972129</v>
      </c>
    </row>
    <row r="17" spans="1:10" ht="16.5">
      <c r="A17" s="17" t="s">
        <v>180</v>
      </c>
      <c r="E17" s="17" t="s">
        <v>342</v>
      </c>
      <c r="F17" s="21">
        <f>F1*SIN(F15/180*PI())</f>
        <v>1120.6225785553765</v>
      </c>
      <c r="G17" s="17" t="s">
        <v>7</v>
      </c>
      <c r="H17" s="17" t="str">
        <f>IF(F17&lt;F13, "&lt; Pwv, OK","Re-check")</f>
        <v>&lt; Pwv, OK</v>
      </c>
      <c r="J17">
        <f>F17/F13</f>
        <v>0.5226784414903809</v>
      </c>
    </row>
    <row r="18" spans="1:10" ht="16.5">
      <c r="A18" s="17" t="s">
        <v>28</v>
      </c>
      <c r="E18" s="17" t="s">
        <v>343</v>
      </c>
      <c r="F18" s="21">
        <f>F16*F4/1000</f>
        <v>0</v>
      </c>
      <c r="G18" s="17" t="s">
        <v>24</v>
      </c>
      <c r="H18" s="17" t="str">
        <f>IF(F18&lt;F12, "&lt; Pwb, OK","Re-check")</f>
        <v>&lt; Pwb, OK</v>
      </c>
      <c r="J18">
        <f>F18/F12</f>
        <v>0</v>
      </c>
    </row>
    <row r="20" spans="1:10">
      <c r="A20" s="17" t="s">
        <v>181</v>
      </c>
      <c r="F20" s="18">
        <f>(F16/F11)+(F17/F13)^2+F18/F12</f>
        <v>0.79082772769853482</v>
      </c>
      <c r="H20" s="17" t="str">
        <f>IF(F20&lt;1, "&lt; 1.0, OK","Re-check")</f>
        <v>&lt; 1.0, OK</v>
      </c>
      <c r="J20" s="69" t="s">
        <v>358</v>
      </c>
    </row>
    <row r="21" spans="1:10">
      <c r="F21" s="18"/>
    </row>
    <row r="22" spans="1:10" ht="15.75">
      <c r="A22" s="34" t="s">
        <v>235</v>
      </c>
      <c r="F22" s="17"/>
      <c r="H22" s="30"/>
      <c r="I22" s="17"/>
    </row>
    <row r="23" spans="1:10">
      <c r="F23" s="17"/>
      <c r="H23" s="30"/>
      <c r="I23" s="17"/>
    </row>
    <row r="24" spans="1:10" ht="14.65">
      <c r="A24" s="31" t="s">
        <v>63</v>
      </c>
      <c r="B24" s="17" t="s">
        <v>64</v>
      </c>
      <c r="F24" s="32">
        <v>1.67</v>
      </c>
    </row>
    <row r="25" spans="1:10" ht="16.5">
      <c r="A25" s="17" t="s">
        <v>173</v>
      </c>
      <c r="B25" s="17" t="s">
        <v>80</v>
      </c>
      <c r="F25" s="32">
        <f>F1</f>
        <v>2004</v>
      </c>
      <c r="G25" s="17" t="s">
        <v>37</v>
      </c>
    </row>
    <row r="27" spans="1:10" ht="16.5">
      <c r="A27" s="17" t="s">
        <v>81</v>
      </c>
      <c r="E27" s="17" t="s">
        <v>174</v>
      </c>
      <c r="F27" s="19">
        <v>273</v>
      </c>
      <c r="G27" s="17" t="s">
        <v>2</v>
      </c>
    </row>
    <row r="28" spans="1:10" ht="16.5">
      <c r="A28" s="17" t="s">
        <v>82</v>
      </c>
      <c r="E28" s="17" t="s">
        <v>175</v>
      </c>
      <c r="F28" s="19">
        <v>400</v>
      </c>
      <c r="G28" s="17" t="s">
        <v>2</v>
      </c>
    </row>
    <row r="29" spans="1:10" ht="14.65">
      <c r="A29" s="17" t="s">
        <v>85</v>
      </c>
      <c r="E29" s="31" t="s">
        <v>12</v>
      </c>
      <c r="F29" s="19">
        <v>34</v>
      </c>
      <c r="G29" s="17" t="s">
        <v>86</v>
      </c>
    </row>
    <row r="30" spans="1:10" ht="16.5">
      <c r="A30" s="17" t="s">
        <v>87</v>
      </c>
      <c r="E30" s="17" t="s">
        <v>176</v>
      </c>
      <c r="F30" s="19">
        <v>20</v>
      </c>
      <c r="G30" s="17" t="s">
        <v>2</v>
      </c>
    </row>
    <row r="31" spans="1:10">
      <c r="A31" s="17" t="s">
        <v>89</v>
      </c>
      <c r="E31" s="17" t="s">
        <v>43</v>
      </c>
      <c r="F31" s="19">
        <v>335</v>
      </c>
      <c r="G31" s="17" t="s">
        <v>44</v>
      </c>
    </row>
    <row r="32" spans="1:10" ht="16.5">
      <c r="A32" s="17" t="s">
        <v>90</v>
      </c>
      <c r="E32" s="17" t="s">
        <v>321</v>
      </c>
      <c r="F32" s="19">
        <v>50</v>
      </c>
      <c r="G32" s="17" t="s">
        <v>2</v>
      </c>
    </row>
    <row r="33" spans="1:7">
      <c r="A33" s="17" t="s">
        <v>92</v>
      </c>
      <c r="E33" s="17" t="s">
        <v>93</v>
      </c>
      <c r="F33" s="19">
        <v>2</v>
      </c>
    </row>
    <row r="35" spans="1:7" ht="16.5">
      <c r="A35" s="17" t="s">
        <v>94</v>
      </c>
      <c r="E35" s="17" t="s">
        <v>322</v>
      </c>
      <c r="F35" s="30">
        <f>F32*F33</f>
        <v>100</v>
      </c>
      <c r="G35" s="17" t="s">
        <v>2</v>
      </c>
    </row>
    <row r="37" spans="1:7">
      <c r="A37" s="17" t="s">
        <v>95</v>
      </c>
    </row>
    <row r="38" spans="1:7" ht="16.5">
      <c r="A38" s="17" t="s">
        <v>320</v>
      </c>
      <c r="F38" s="21">
        <f>F27+2*F28/1.732</f>
        <v>734.89376443418018</v>
      </c>
      <c r="G38" s="17" t="s">
        <v>2</v>
      </c>
    </row>
    <row r="39" spans="1:7" ht="16.5">
      <c r="A39" s="17" t="s">
        <v>323</v>
      </c>
      <c r="F39" s="29">
        <v>800</v>
      </c>
      <c r="G39" s="17" t="s">
        <v>2</v>
      </c>
    </row>
    <row r="40" spans="1:7" ht="16.5">
      <c r="A40" s="17" t="s">
        <v>325</v>
      </c>
      <c r="C40" s="17" t="s">
        <v>326</v>
      </c>
      <c r="F40" s="21">
        <f>MIN(F38,F39)</f>
        <v>734.89376443418018</v>
      </c>
      <c r="G40" s="17" t="s">
        <v>2</v>
      </c>
    </row>
    <row r="41" spans="1:7" ht="16.899999999999999">
      <c r="A41" s="17" t="s">
        <v>324</v>
      </c>
      <c r="C41" s="17" t="s">
        <v>99</v>
      </c>
      <c r="F41" s="21">
        <f>F40*F30</f>
        <v>14697.875288683605</v>
      </c>
      <c r="G41" s="17" t="s">
        <v>184</v>
      </c>
    </row>
    <row r="42" spans="1:7" ht="16.899999999999999">
      <c r="A42" s="17" t="s">
        <v>327</v>
      </c>
      <c r="C42" s="17" t="s">
        <v>101</v>
      </c>
      <c r="F42" s="21">
        <f>F30/12^0.5</f>
        <v>5.7735026918962582</v>
      </c>
      <c r="G42" s="17" t="s">
        <v>2</v>
      </c>
    </row>
    <row r="43" spans="1:7" ht="15.75">
      <c r="A43" s="31" t="s">
        <v>328</v>
      </c>
      <c r="C43" s="17" t="s">
        <v>67</v>
      </c>
      <c r="F43" s="21">
        <f>F35/F42</f>
        <v>17.320508075688771</v>
      </c>
    </row>
    <row r="44" spans="1:7" ht="16.5">
      <c r="A44" s="31" t="s">
        <v>329</v>
      </c>
      <c r="C44" s="17" t="s">
        <v>69</v>
      </c>
      <c r="F44" s="21">
        <f>200*1000*PI()^2/F43^2</f>
        <v>6579.7362673929065</v>
      </c>
      <c r="G44" s="17" t="s">
        <v>70</v>
      </c>
    </row>
    <row r="45" spans="1:7" ht="15.75">
      <c r="A45" s="31" t="s">
        <v>330</v>
      </c>
      <c r="C45" s="17" t="s">
        <v>332</v>
      </c>
      <c r="F45" s="21">
        <f>IF(F44&lt;0.44*F31,0.877*F44,0.658^(F31/F44)*F31)</f>
        <v>327.93666770135093</v>
      </c>
      <c r="G45" s="17" t="s">
        <v>70</v>
      </c>
    </row>
    <row r="46" spans="1:7" ht="16.5">
      <c r="C46" s="17" t="s">
        <v>331</v>
      </c>
    </row>
    <row r="47" spans="1:7" ht="16.5">
      <c r="A47" s="17" t="s">
        <v>334</v>
      </c>
      <c r="C47" s="17" t="s">
        <v>333</v>
      </c>
      <c r="F47" s="21">
        <f>F45*F41/1000</f>
        <v>4819.9722444609333</v>
      </c>
      <c r="G47" s="17" t="s">
        <v>37</v>
      </c>
    </row>
    <row r="48" spans="1:7" ht="16.5">
      <c r="A48" s="17" t="s">
        <v>335</v>
      </c>
      <c r="C48" s="17" t="s">
        <v>77</v>
      </c>
      <c r="F48" s="21">
        <f>F47/F24</f>
        <v>2886.2109248269062</v>
      </c>
      <c r="G48" s="17" t="s">
        <v>37</v>
      </c>
    </row>
    <row r="49" spans="1:7" ht="16.5">
      <c r="A49" s="17" t="s">
        <v>336</v>
      </c>
      <c r="F49" s="18">
        <f>F25/F48</f>
        <v>0.69433594847895086</v>
      </c>
    </row>
    <row r="50" spans="1:7">
      <c r="A50" s="17" t="s">
        <v>60</v>
      </c>
      <c r="F50" s="30" t="str">
        <f>IF(F48&gt;F25, "OK", "NG")</f>
        <v>OK</v>
      </c>
    </row>
    <row r="51" spans="1:7">
      <c r="F51" s="18"/>
    </row>
    <row r="52" spans="1:7">
      <c r="F52" s="18"/>
    </row>
    <row r="53" spans="1:7">
      <c r="A53" s="34" t="s">
        <v>236</v>
      </c>
    </row>
    <row r="54" spans="1:7">
      <c r="A54" s="17" t="s">
        <v>114</v>
      </c>
      <c r="E54" s="17" t="s">
        <v>27</v>
      </c>
      <c r="F54" s="19">
        <v>0</v>
      </c>
      <c r="G54" s="17" t="s">
        <v>2</v>
      </c>
    </row>
    <row r="55" spans="1:7" ht="16.5">
      <c r="A55" s="17" t="s">
        <v>4</v>
      </c>
      <c r="E55" s="17" t="s">
        <v>337</v>
      </c>
      <c r="F55" s="19">
        <v>1000</v>
      </c>
      <c r="G55" s="17" t="s">
        <v>2</v>
      </c>
    </row>
    <row r="56" spans="1:7">
      <c r="A56" s="17" t="s">
        <v>154</v>
      </c>
      <c r="E56" s="17" t="s">
        <v>0</v>
      </c>
      <c r="F56" s="19">
        <v>235</v>
      </c>
      <c r="G56" s="17" t="s">
        <v>1</v>
      </c>
    </row>
    <row r="57" spans="1:7">
      <c r="A57" s="17" t="s">
        <v>155</v>
      </c>
      <c r="E57" s="17" t="s">
        <v>156</v>
      </c>
      <c r="F57" s="19">
        <v>20</v>
      </c>
      <c r="G57" s="17" t="s">
        <v>2</v>
      </c>
    </row>
    <row r="58" spans="1:7" ht="14.65">
      <c r="A58" s="17" t="s">
        <v>3</v>
      </c>
      <c r="E58" s="31" t="s">
        <v>5</v>
      </c>
      <c r="F58" s="32">
        <v>1.67</v>
      </c>
    </row>
    <row r="59" spans="1:7" ht="15.75">
      <c r="A59" s="17" t="s">
        <v>3</v>
      </c>
      <c r="E59" s="31" t="s">
        <v>346</v>
      </c>
      <c r="F59" s="53">
        <v>1.5</v>
      </c>
    </row>
    <row r="60" spans="1:7" ht="16.5">
      <c r="A60" s="17" t="s">
        <v>159</v>
      </c>
      <c r="E60" s="17" t="s">
        <v>344</v>
      </c>
      <c r="F60" s="19">
        <v>480</v>
      </c>
      <c r="G60" s="17" t="s">
        <v>1</v>
      </c>
    </row>
    <row r="61" spans="1:7" ht="16.5">
      <c r="A61" s="17" t="s">
        <v>177</v>
      </c>
      <c r="E61" s="17" t="s">
        <v>345</v>
      </c>
      <c r="F61" s="19">
        <v>12</v>
      </c>
      <c r="G61" s="17" t="s">
        <v>2</v>
      </c>
    </row>
    <row r="62" spans="1:7" ht="15.75">
      <c r="A62" s="17" t="s">
        <v>3</v>
      </c>
      <c r="E62" s="31" t="s">
        <v>360</v>
      </c>
      <c r="F62" s="32">
        <v>2</v>
      </c>
    </row>
    <row r="63" spans="1:7" ht="14.65">
      <c r="E63" s="31"/>
      <c r="F63" s="31"/>
    </row>
    <row r="64" spans="1:7" ht="16.5">
      <c r="A64" s="17" t="s">
        <v>22</v>
      </c>
      <c r="C64" s="17" t="s">
        <v>362</v>
      </c>
      <c r="F64" s="21">
        <f>F56/F58*F55*F57/1000+F60/F62*2*F55*0.707*F61/1000</f>
        <v>6886.6912574850303</v>
      </c>
      <c r="G64" s="17" t="s">
        <v>7</v>
      </c>
    </row>
    <row r="65" spans="1:10" ht="16.5">
      <c r="A65" s="17" t="s">
        <v>23</v>
      </c>
      <c r="C65" s="17" t="s">
        <v>361</v>
      </c>
      <c r="F65" s="21">
        <f>F56/F58*F57*F55^2/6/1000000+2*F60/F62*0.707*F61*F55^2/6/1000000</f>
        <v>1147.7818762475049</v>
      </c>
      <c r="G65" s="17" t="s">
        <v>24</v>
      </c>
    </row>
    <row r="66" spans="1:10" ht="16.5">
      <c r="A66" s="17" t="s">
        <v>25</v>
      </c>
      <c r="C66" s="17" t="s">
        <v>363</v>
      </c>
      <c r="F66" s="21">
        <f>0.6*F56/F59*F55*F57/1000+0.6*F60/F62*2*F55*0.707*F61/1000</f>
        <v>4323.3919999999998</v>
      </c>
      <c r="G66" s="17" t="s">
        <v>7</v>
      </c>
    </row>
    <row r="67" spans="1:10">
      <c r="F67" s="21"/>
    </row>
    <row r="68" spans="1:10" ht="14.65">
      <c r="A68" s="17" t="s">
        <v>11</v>
      </c>
      <c r="E68" s="31" t="s">
        <v>12</v>
      </c>
      <c r="F68" s="19">
        <v>34</v>
      </c>
      <c r="G68" s="17" t="s">
        <v>13</v>
      </c>
    </row>
    <row r="69" spans="1:10" ht="16.5">
      <c r="A69" s="17" t="s">
        <v>26</v>
      </c>
      <c r="E69" s="17" t="s">
        <v>342</v>
      </c>
      <c r="F69" s="21">
        <f>F1*SIN(F68/180*PI())</f>
        <v>1120.6225785553765</v>
      </c>
      <c r="G69" s="17" t="s">
        <v>7</v>
      </c>
      <c r="H69" s="17" t="str">
        <f>IF(F69&lt;F64, "&lt; Pwt, OK","Re-check")</f>
        <v>&lt; Pwt, OK</v>
      </c>
      <c r="J69">
        <f>F69/F64</f>
        <v>0.16272292987396386</v>
      </c>
    </row>
    <row r="70" spans="1:10" ht="16.5">
      <c r="A70" s="17" t="s">
        <v>20</v>
      </c>
      <c r="E70" s="17" t="s">
        <v>341</v>
      </c>
      <c r="F70" s="21">
        <f>F1*COS(F68/180*PI())</f>
        <v>1661.3912954003035</v>
      </c>
      <c r="G70" s="17" t="s">
        <v>7</v>
      </c>
      <c r="H70" s="17" t="str">
        <f>IF(F70&lt;F66, "&lt; Pwv, OK","Re-check")</f>
        <v>&lt; Pwv, OK</v>
      </c>
      <c r="J70">
        <f>F70/F66</f>
        <v>0.38427958774043702</v>
      </c>
    </row>
    <row r="71" spans="1:10">
      <c r="A71" s="17" t="s">
        <v>28</v>
      </c>
      <c r="E71" s="17" t="s">
        <v>182</v>
      </c>
      <c r="F71" s="21">
        <f>F1*F54/1000</f>
        <v>0</v>
      </c>
      <c r="G71" s="17" t="s">
        <v>24</v>
      </c>
      <c r="H71" s="17" t="str">
        <f>IF(F71&lt;F65, "&lt; Pwb, OK","Re-check")</f>
        <v>&lt; Pwb, OK</v>
      </c>
      <c r="J71">
        <f>F71/F65</f>
        <v>0</v>
      </c>
    </row>
    <row r="72" spans="1:10">
      <c r="F72" s="21"/>
    </row>
    <row r="73" spans="1:10" ht="16.5">
      <c r="A73" s="17" t="s">
        <v>347</v>
      </c>
      <c r="F73" s="18">
        <f>F69/F64+(F70/F66)^2+(F71/F65)</f>
        <v>0.31039373142792409</v>
      </c>
      <c r="H73" s="17" t="str">
        <f>IF(F73&lt;1, "&lt; 1.0, OK","Re-check")</f>
        <v>&lt; 1.0, OK</v>
      </c>
    </row>
    <row r="76" spans="1:10">
      <c r="A76" s="27" t="s">
        <v>32</v>
      </c>
      <c r="F76" s="18"/>
    </row>
    <row r="77" spans="1:10" ht="16.5">
      <c r="A77" s="17" t="s">
        <v>153</v>
      </c>
      <c r="E77" s="17" t="s">
        <v>348</v>
      </c>
      <c r="F77" s="19">
        <v>20</v>
      </c>
      <c r="G77" s="17" t="s">
        <v>2</v>
      </c>
    </row>
    <row r="78" spans="1:10" ht="16.5">
      <c r="A78" s="17" t="s">
        <v>33</v>
      </c>
      <c r="C78" s="17" t="s">
        <v>364</v>
      </c>
      <c r="F78" s="21">
        <f>0.6*F56/F59*2*F55*F77/1000</f>
        <v>3760</v>
      </c>
      <c r="G78" s="17" t="s">
        <v>7</v>
      </c>
      <c r="H78" s="17" t="str">
        <f>IF(F78&gt;F69, "&gt; Fv, OK","Re-check")</f>
        <v>&gt; Fv, OK</v>
      </c>
      <c r="J78">
        <f>F69/F78</f>
        <v>0.2980379198285576</v>
      </c>
    </row>
    <row r="79" spans="1:10" ht="10.5" customHeight="1">
      <c r="F79" s="18"/>
    </row>
    <row r="80" spans="1:10">
      <c r="A80" s="27" t="s">
        <v>211</v>
      </c>
      <c r="B80" s="6"/>
      <c r="C80" s="6"/>
      <c r="D80" s="6"/>
      <c r="E80" s="6"/>
      <c r="F80" s="18"/>
    </row>
    <row r="81" spans="1:11" ht="16.5">
      <c r="A81" s="17" t="s">
        <v>212</v>
      </c>
      <c r="B81" s="6"/>
      <c r="E81" s="17" t="s">
        <v>345</v>
      </c>
      <c r="F81" s="19">
        <v>12</v>
      </c>
      <c r="G81" s="17" t="s">
        <v>2</v>
      </c>
    </row>
    <row r="82" spans="1:11" ht="16.5">
      <c r="A82" s="17" t="s">
        <v>213</v>
      </c>
      <c r="B82" s="6"/>
      <c r="E82" s="17" t="s">
        <v>344</v>
      </c>
      <c r="F82" s="19">
        <v>413</v>
      </c>
      <c r="G82" s="17" t="s">
        <v>1</v>
      </c>
    </row>
    <row r="83" spans="1:11" ht="14.65">
      <c r="A83" s="17" t="s">
        <v>3</v>
      </c>
      <c r="B83" s="6"/>
      <c r="E83" s="31" t="s">
        <v>5</v>
      </c>
      <c r="F83" s="32">
        <v>2</v>
      </c>
    </row>
    <row r="84" spans="1:11" ht="16.5">
      <c r="A84" s="17" t="s">
        <v>34</v>
      </c>
      <c r="B84" s="6"/>
      <c r="C84" s="17" t="s">
        <v>349</v>
      </c>
      <c r="F84" s="21">
        <f>0.6*F82/F83*2*F55*0.707*F81/1000</f>
        <v>2102.3351999999995</v>
      </c>
      <c r="G84" s="17" t="s">
        <v>7</v>
      </c>
      <c r="H84" s="17" t="str">
        <f>IF(F84&gt;F69, "&gt; Fv, OK","Re-check")</f>
        <v>&gt; Fv, OK</v>
      </c>
      <c r="J84">
        <f>F69/F84</f>
        <v>0.53303706209903012</v>
      </c>
      <c r="K84" s="26"/>
    </row>
    <row r="86" spans="1:11">
      <c r="A86" s="34" t="s">
        <v>237</v>
      </c>
      <c r="F86" s="17"/>
      <c r="H86" s="30"/>
    </row>
    <row r="87" spans="1:11">
      <c r="F87" s="17"/>
      <c r="H87" s="30"/>
    </row>
    <row r="88" spans="1:11" ht="14.65">
      <c r="A88" s="31" t="s">
        <v>63</v>
      </c>
      <c r="B88" s="17" t="s">
        <v>64</v>
      </c>
      <c r="F88" s="32">
        <v>1.67</v>
      </c>
    </row>
    <row r="89" spans="1:11" ht="16.5">
      <c r="A89" s="17" t="s">
        <v>173</v>
      </c>
      <c r="B89" s="17" t="s">
        <v>80</v>
      </c>
      <c r="F89" s="32">
        <f>F1</f>
        <v>2004</v>
      </c>
      <c r="G89" s="17" t="s">
        <v>37</v>
      </c>
    </row>
    <row r="91" spans="1:11" ht="16.5">
      <c r="A91" s="17" t="s">
        <v>81</v>
      </c>
      <c r="E91" s="17" t="s">
        <v>174</v>
      </c>
      <c r="F91" s="19">
        <v>273</v>
      </c>
      <c r="G91" s="17" t="s">
        <v>2</v>
      </c>
    </row>
    <row r="92" spans="1:11" ht="16.5">
      <c r="A92" s="17" t="s">
        <v>82</v>
      </c>
      <c r="E92" s="17" t="s">
        <v>175</v>
      </c>
      <c r="F92" s="19">
        <v>400</v>
      </c>
      <c r="G92" s="17" t="s">
        <v>2</v>
      </c>
    </row>
    <row r="93" spans="1:11" ht="14.65">
      <c r="A93" s="17" t="s">
        <v>85</v>
      </c>
      <c r="E93" s="31" t="s">
        <v>12</v>
      </c>
      <c r="F93" s="19">
        <v>34</v>
      </c>
      <c r="G93" s="17" t="s">
        <v>86</v>
      </c>
    </row>
    <row r="94" spans="1:11" ht="16.5">
      <c r="A94" s="17" t="s">
        <v>87</v>
      </c>
      <c r="E94" s="17" t="s">
        <v>176</v>
      </c>
      <c r="F94" s="19">
        <v>20</v>
      </c>
      <c r="G94" s="17" t="s">
        <v>2</v>
      </c>
    </row>
    <row r="95" spans="1:11" ht="16.5">
      <c r="A95" s="17" t="s">
        <v>89</v>
      </c>
      <c r="E95" s="17" t="s">
        <v>350</v>
      </c>
      <c r="F95" s="19">
        <v>335</v>
      </c>
      <c r="G95" s="17" t="s">
        <v>44</v>
      </c>
    </row>
    <row r="96" spans="1:11" ht="16.5">
      <c r="A96" s="17" t="s">
        <v>90</v>
      </c>
      <c r="E96" s="17" t="s">
        <v>351</v>
      </c>
      <c r="F96" s="19">
        <v>165</v>
      </c>
      <c r="G96" s="17" t="s">
        <v>2</v>
      </c>
    </row>
    <row r="97" spans="1:7">
      <c r="A97" s="17" t="s">
        <v>92</v>
      </c>
      <c r="E97" s="17" t="s">
        <v>93</v>
      </c>
      <c r="F97" s="19">
        <v>2</v>
      </c>
    </row>
    <row r="99" spans="1:7" ht="16.5">
      <c r="A99" s="17" t="s">
        <v>94</v>
      </c>
      <c r="E99" s="17" t="s">
        <v>353</v>
      </c>
      <c r="F99" s="30">
        <f>F96*F97</f>
        <v>330</v>
      </c>
      <c r="G99" s="17" t="s">
        <v>2</v>
      </c>
    </row>
    <row r="101" spans="1:7">
      <c r="A101" s="17" t="s">
        <v>95</v>
      </c>
    </row>
    <row r="102" spans="1:7" ht="16.5">
      <c r="A102" s="17" t="s">
        <v>320</v>
      </c>
      <c r="F102" s="21">
        <f>F91+2*F92/1.732</f>
        <v>734.89376443418018</v>
      </c>
      <c r="G102" s="17" t="s">
        <v>2</v>
      </c>
    </row>
    <row r="103" spans="1:7" ht="16.5">
      <c r="A103" s="17" t="s">
        <v>323</v>
      </c>
      <c r="F103" s="29">
        <v>1000</v>
      </c>
      <c r="G103" s="17" t="s">
        <v>2</v>
      </c>
    </row>
    <row r="104" spans="1:7" ht="16.5">
      <c r="A104" s="17" t="s">
        <v>325</v>
      </c>
      <c r="C104" s="17" t="s">
        <v>97</v>
      </c>
      <c r="F104" s="21">
        <f>MIN(F102,F103)</f>
        <v>734.89376443418018</v>
      </c>
      <c r="G104" s="17" t="s">
        <v>2</v>
      </c>
    </row>
    <row r="105" spans="1:7" ht="16.899999999999999">
      <c r="A105" s="17" t="s">
        <v>324</v>
      </c>
      <c r="C105" s="17" t="s">
        <v>99</v>
      </c>
      <c r="F105" s="21">
        <f>F104*F94</f>
        <v>14697.875288683605</v>
      </c>
      <c r="G105" s="17" t="s">
        <v>184</v>
      </c>
    </row>
    <row r="106" spans="1:7" ht="16.899999999999999">
      <c r="A106" s="17" t="s">
        <v>327</v>
      </c>
      <c r="C106" s="17" t="s">
        <v>101</v>
      </c>
      <c r="F106" s="21">
        <f>F94/12^0.5</f>
        <v>5.7735026918962582</v>
      </c>
      <c r="G106" s="17" t="s">
        <v>2</v>
      </c>
    </row>
    <row r="107" spans="1:7" ht="15.75">
      <c r="A107" s="31" t="s">
        <v>328</v>
      </c>
      <c r="C107" s="17" t="s">
        <v>67</v>
      </c>
      <c r="F107" s="21">
        <f>F99/F106</f>
        <v>57.157676649772945</v>
      </c>
    </row>
    <row r="108" spans="1:7" ht="16.5">
      <c r="A108" s="31" t="s">
        <v>329</v>
      </c>
      <c r="C108" s="17" t="s">
        <v>69</v>
      </c>
      <c r="F108" s="21">
        <f>200*1000*PI()^2/F107^2</f>
        <v>604.19984089925674</v>
      </c>
      <c r="G108" s="17" t="s">
        <v>70</v>
      </c>
    </row>
    <row r="109" spans="1:7" ht="15.75">
      <c r="A109" s="31" t="s">
        <v>330</v>
      </c>
      <c r="C109" s="17" t="s">
        <v>72</v>
      </c>
      <c r="F109" s="21">
        <f>IF(F108&lt;0.44*F95,0.877*F108,0.658^(F95/F108)*F95)</f>
        <v>265.61936437298795</v>
      </c>
      <c r="G109" s="17" t="s">
        <v>70</v>
      </c>
    </row>
    <row r="110" spans="1:7" ht="16.5">
      <c r="C110" s="17" t="s">
        <v>352</v>
      </c>
    </row>
    <row r="111" spans="1:7" ht="16.5">
      <c r="A111" s="17" t="s">
        <v>334</v>
      </c>
      <c r="C111" s="17" t="s">
        <v>75</v>
      </c>
      <c r="F111" s="21">
        <f>F109*F105/1000</f>
        <v>3904.040291813586</v>
      </c>
      <c r="G111" s="17" t="s">
        <v>37</v>
      </c>
    </row>
    <row r="112" spans="1:7" ht="16.5">
      <c r="A112" s="17" t="s">
        <v>335</v>
      </c>
      <c r="C112" s="17" t="s">
        <v>77</v>
      </c>
      <c r="F112" s="21">
        <f>F111/F88</f>
        <v>2337.7486777326862</v>
      </c>
      <c r="G112" s="17" t="s">
        <v>37</v>
      </c>
    </row>
    <row r="113" spans="1:6" ht="16.5">
      <c r="A113" s="17" t="s">
        <v>336</v>
      </c>
      <c r="F113" s="18">
        <f>F89/F112</f>
        <v>0.85723500523744101</v>
      </c>
    </row>
    <row r="114" spans="1:6">
      <c r="A114" s="17" t="s">
        <v>60</v>
      </c>
      <c r="F114" s="30" t="str">
        <f>IF(F112&gt;F89, "OK", "NG")</f>
        <v>OK</v>
      </c>
    </row>
  </sheetData>
  <phoneticPr fontId="62" type="noConversion"/>
  <pageMargins left="0.7" right="0.7" top="0.75" bottom="0.75" header="0.3" footer="0.3"/>
  <pageSetup paperSize="8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2"/>
  <sheetViews>
    <sheetView workbookViewId="0">
      <selection activeCell="E18" sqref="E18"/>
    </sheetView>
  </sheetViews>
  <sheetFormatPr defaultRowHeight="13.5"/>
  <cols>
    <col min="1" max="1" width="9.1328125" style="17"/>
    <col min="2" max="2" width="13.86328125" style="17" customWidth="1"/>
    <col min="3" max="4" width="9.1328125" style="17"/>
    <col min="5" max="5" width="31.265625" style="17" customWidth="1"/>
    <col min="6" max="6" width="9.59765625" style="30" bestFit="1" customWidth="1"/>
    <col min="7" max="7" width="9.1328125" style="17"/>
    <col min="8" max="8" width="12.59765625" style="17" customWidth="1"/>
  </cols>
  <sheetData>
    <row r="1" spans="1:10">
      <c r="A1" s="17" t="s">
        <v>158</v>
      </c>
      <c r="E1" s="17" t="s">
        <v>10</v>
      </c>
      <c r="F1" s="35">
        <f>roll!C3</f>
        <v>2004</v>
      </c>
      <c r="G1" s="17" t="s">
        <v>7</v>
      </c>
    </row>
    <row r="3" spans="1:10">
      <c r="A3" s="34" t="s">
        <v>238</v>
      </c>
    </row>
    <row r="4" spans="1:10">
      <c r="A4" s="17" t="s">
        <v>114</v>
      </c>
      <c r="E4" s="17" t="s">
        <v>27</v>
      </c>
      <c r="F4" s="19">
        <v>0</v>
      </c>
      <c r="G4" s="17" t="s">
        <v>2</v>
      </c>
    </row>
    <row r="5" spans="1:10">
      <c r="A5" s="17" t="s">
        <v>4</v>
      </c>
      <c r="E5" s="17" t="s">
        <v>16</v>
      </c>
      <c r="F5" s="19">
        <v>800</v>
      </c>
      <c r="G5" s="17" t="s">
        <v>2</v>
      </c>
    </row>
    <row r="6" spans="1:10">
      <c r="A6" s="17" t="s">
        <v>31</v>
      </c>
      <c r="E6" s="17" t="s">
        <v>0</v>
      </c>
      <c r="F6" s="19">
        <v>335</v>
      </c>
      <c r="G6" s="17" t="s">
        <v>1</v>
      </c>
    </row>
    <row r="7" spans="1:10">
      <c r="A7" s="17" t="s">
        <v>155</v>
      </c>
      <c r="E7" s="17" t="s">
        <v>156</v>
      </c>
      <c r="F7" s="19">
        <v>20</v>
      </c>
      <c r="G7" s="17" t="s">
        <v>2</v>
      </c>
    </row>
    <row r="8" spans="1:10" ht="14.65">
      <c r="A8" s="17" t="s">
        <v>3</v>
      </c>
      <c r="E8" s="31" t="s">
        <v>5</v>
      </c>
      <c r="F8" s="32">
        <v>1.67</v>
      </c>
    </row>
    <row r="9" spans="1:10" ht="14.65">
      <c r="E9" s="31"/>
      <c r="F9" s="31"/>
    </row>
    <row r="10" spans="1:10">
      <c r="A10" s="17" t="s">
        <v>22</v>
      </c>
      <c r="E10" s="17" t="s">
        <v>199</v>
      </c>
      <c r="F10" s="21">
        <f>F6/F8*F5*F7/1000</f>
        <v>3209.5808383233539</v>
      </c>
      <c r="G10" s="17" t="s">
        <v>7</v>
      </c>
    </row>
    <row r="11" spans="1:10">
      <c r="A11" s="17" t="s">
        <v>23</v>
      </c>
      <c r="E11" s="17" t="s">
        <v>200</v>
      </c>
      <c r="F11" s="21">
        <f>F6/F8*F7*F5^2/6/1000000</f>
        <v>427.94411177644713</v>
      </c>
      <c r="G11" s="17" t="s">
        <v>24</v>
      </c>
    </row>
    <row r="12" spans="1:10">
      <c r="A12" s="17" t="s">
        <v>25</v>
      </c>
      <c r="E12" s="17" t="s">
        <v>201</v>
      </c>
      <c r="F12" s="21">
        <f>F10*0.6</f>
        <v>1925.7485029940121</v>
      </c>
      <c r="G12" s="17" t="s">
        <v>7</v>
      </c>
    </row>
    <row r="14" spans="1:10" ht="14.65">
      <c r="A14" s="17" t="s">
        <v>11</v>
      </c>
      <c r="E14" s="31" t="s">
        <v>12</v>
      </c>
      <c r="F14" s="19">
        <v>44</v>
      </c>
      <c r="G14" s="17" t="s">
        <v>13</v>
      </c>
    </row>
    <row r="15" spans="1:10">
      <c r="A15" s="17" t="s">
        <v>179</v>
      </c>
      <c r="E15" s="17" t="s">
        <v>21</v>
      </c>
      <c r="F15" s="21">
        <f>F1*COS(F14/180*PI())</f>
        <v>1441.5569598786569</v>
      </c>
      <c r="G15" s="17" t="s">
        <v>7</v>
      </c>
      <c r="H15" s="17" t="str">
        <f>IF(F15&lt;F10, "&lt; Pwt, OK","Re-check")</f>
        <v>&lt; Pwt, OK</v>
      </c>
      <c r="J15">
        <f>F15/F10</f>
        <v>0.44914181399204417</v>
      </c>
    </row>
    <row r="16" spans="1:10">
      <c r="A16" s="17" t="s">
        <v>180</v>
      </c>
      <c r="E16" s="17" t="s">
        <v>19</v>
      </c>
      <c r="F16" s="21">
        <f>F1*SIN(F14/180*PI())</f>
        <v>1392.0953743998305</v>
      </c>
      <c r="G16" s="17" t="s">
        <v>7</v>
      </c>
      <c r="H16" s="17" t="str">
        <f>IF(F16&lt;F12, "&lt; Pwv, OK","Re-check")</f>
        <v>&lt; Pwv, OK</v>
      </c>
      <c r="J16">
        <f>F16/F12</f>
        <v>0.72288534678100647</v>
      </c>
    </row>
    <row r="17" spans="1:10">
      <c r="A17" s="17" t="s">
        <v>28</v>
      </c>
      <c r="E17" s="17" t="s">
        <v>30</v>
      </c>
      <c r="F17" s="21">
        <f>F15*F4/1000</f>
        <v>0</v>
      </c>
      <c r="G17" s="17" t="s">
        <v>24</v>
      </c>
      <c r="H17" s="17" t="str">
        <f>IF(F17&lt;F11, "&lt; Pwb, OK","Re-check")</f>
        <v>&lt; Pwb, OK</v>
      </c>
      <c r="J17">
        <f>F17/F11</f>
        <v>0</v>
      </c>
    </row>
    <row r="19" spans="1:10">
      <c r="A19" s="17" t="s">
        <v>181</v>
      </c>
      <c r="F19" s="18">
        <f>(F15/F10)+(F16/F12)^2+F17/F11</f>
        <v>0.97170503858274015</v>
      </c>
      <c r="H19" s="17" t="str">
        <f>IF(F19&lt;1, "&lt; 1.0, OK","Re-check")</f>
        <v>&lt; 1.0, OK</v>
      </c>
    </row>
    <row r="20" spans="1:10">
      <c r="F20" s="18"/>
    </row>
    <row r="21" spans="1:10" ht="15.75">
      <c r="A21" s="34" t="s">
        <v>239</v>
      </c>
      <c r="F21" s="17"/>
      <c r="H21" s="30"/>
      <c r="I21" s="17"/>
    </row>
    <row r="22" spans="1:10">
      <c r="F22" s="17"/>
      <c r="H22" s="30"/>
      <c r="I22" s="17"/>
    </row>
    <row r="23" spans="1:10" ht="14.65">
      <c r="A23" s="31" t="s">
        <v>63</v>
      </c>
      <c r="B23" s="17" t="s">
        <v>64</v>
      </c>
      <c r="F23" s="32">
        <v>1.67</v>
      </c>
    </row>
    <row r="24" spans="1:10" ht="16.5">
      <c r="A24" s="17" t="s">
        <v>173</v>
      </c>
      <c r="B24" s="17" t="s">
        <v>80</v>
      </c>
      <c r="F24" s="32">
        <f>F1</f>
        <v>2004</v>
      </c>
      <c r="G24" s="17" t="s">
        <v>37</v>
      </c>
    </row>
    <row r="26" spans="1:10" ht="16.5">
      <c r="A26" s="17" t="s">
        <v>81</v>
      </c>
      <c r="E26" s="17" t="s">
        <v>174</v>
      </c>
      <c r="F26" s="19">
        <v>273</v>
      </c>
      <c r="G26" s="17" t="s">
        <v>2</v>
      </c>
    </row>
    <row r="27" spans="1:10" ht="16.5">
      <c r="A27" s="17" t="s">
        <v>82</v>
      </c>
      <c r="E27" s="17" t="s">
        <v>175</v>
      </c>
      <c r="F27" s="19">
        <v>400</v>
      </c>
      <c r="G27" s="17" t="s">
        <v>2</v>
      </c>
    </row>
    <row r="28" spans="1:10" ht="14.65">
      <c r="A28" s="17" t="s">
        <v>85</v>
      </c>
      <c r="E28" s="31" t="s">
        <v>12</v>
      </c>
      <c r="F28" s="19">
        <v>44</v>
      </c>
      <c r="G28" s="17" t="s">
        <v>86</v>
      </c>
    </row>
    <row r="29" spans="1:10" ht="16.5">
      <c r="A29" s="17" t="s">
        <v>87</v>
      </c>
      <c r="E29" s="17" t="s">
        <v>176</v>
      </c>
      <c r="F29" s="19">
        <v>20</v>
      </c>
      <c r="G29" s="17" t="s">
        <v>2</v>
      </c>
    </row>
    <row r="30" spans="1:10">
      <c r="A30" s="17" t="s">
        <v>89</v>
      </c>
      <c r="E30" s="17" t="s">
        <v>43</v>
      </c>
      <c r="F30" s="19">
        <v>335</v>
      </c>
      <c r="G30" s="17" t="s">
        <v>44</v>
      </c>
    </row>
    <row r="31" spans="1:10">
      <c r="A31" s="17" t="s">
        <v>90</v>
      </c>
      <c r="E31" s="17" t="s">
        <v>91</v>
      </c>
      <c r="F31" s="19">
        <v>50</v>
      </c>
      <c r="G31" s="17" t="s">
        <v>2</v>
      </c>
    </row>
    <row r="32" spans="1:10">
      <c r="A32" s="17" t="s">
        <v>92</v>
      </c>
      <c r="E32" s="17" t="s">
        <v>93</v>
      </c>
      <c r="F32" s="19">
        <v>2</v>
      </c>
    </row>
    <row r="34" spans="1:7">
      <c r="A34" s="17" t="s">
        <v>94</v>
      </c>
      <c r="E34" s="17" t="s">
        <v>103</v>
      </c>
      <c r="F34" s="30">
        <f>F31*F32</f>
        <v>100</v>
      </c>
      <c r="G34" s="17" t="s">
        <v>2</v>
      </c>
    </row>
    <row r="36" spans="1:7">
      <c r="A36" s="17" t="s">
        <v>95</v>
      </c>
    </row>
    <row r="37" spans="1:7">
      <c r="A37" s="17" t="s">
        <v>105</v>
      </c>
      <c r="F37" s="21">
        <f>F26+2*F27/1.732</f>
        <v>734.89376443418018</v>
      </c>
      <c r="G37" s="17" t="s">
        <v>2</v>
      </c>
    </row>
    <row r="38" spans="1:7" ht="14.65">
      <c r="A38" s="17" t="s">
        <v>183</v>
      </c>
      <c r="F38" s="29">
        <v>800</v>
      </c>
      <c r="G38" s="17" t="s">
        <v>2</v>
      </c>
    </row>
    <row r="39" spans="1:7">
      <c r="A39" s="17" t="s">
        <v>96</v>
      </c>
      <c r="C39" s="17" t="s">
        <v>97</v>
      </c>
      <c r="F39" s="21">
        <f>MIN(F37,F38)</f>
        <v>734.89376443418018</v>
      </c>
      <c r="G39" s="17" t="s">
        <v>2</v>
      </c>
    </row>
    <row r="40" spans="1:7" ht="15.4">
      <c r="A40" s="17" t="s">
        <v>98</v>
      </c>
      <c r="C40" s="17" t="s">
        <v>99</v>
      </c>
      <c r="F40" s="21">
        <f>F39*F29</f>
        <v>14697.875288683605</v>
      </c>
      <c r="G40" s="17" t="s">
        <v>184</v>
      </c>
    </row>
    <row r="41" spans="1:7" ht="16.899999999999999">
      <c r="A41" s="17" t="s">
        <v>185</v>
      </c>
      <c r="C41" s="17" t="s">
        <v>101</v>
      </c>
      <c r="F41" s="21">
        <f>F29/12^0.5</f>
        <v>5.7735026918962582</v>
      </c>
      <c r="G41" s="17" t="s">
        <v>2</v>
      </c>
    </row>
    <row r="42" spans="1:7" ht="15.75">
      <c r="A42" s="31" t="s">
        <v>186</v>
      </c>
      <c r="C42" s="17" t="s">
        <v>67</v>
      </c>
      <c r="F42" s="21">
        <f>F34/F41</f>
        <v>17.320508075688771</v>
      </c>
    </row>
    <row r="43" spans="1:7" ht="16.5">
      <c r="A43" s="31" t="s">
        <v>187</v>
      </c>
      <c r="C43" s="17" t="s">
        <v>69</v>
      </c>
      <c r="F43" s="21">
        <f>200*1000*PI()^2/F42^2</f>
        <v>6579.7362673929065</v>
      </c>
      <c r="G43" s="17" t="s">
        <v>70</v>
      </c>
    </row>
    <row r="44" spans="1:7" ht="14.65">
      <c r="A44" s="31" t="s">
        <v>71</v>
      </c>
      <c r="C44" s="17" t="s">
        <v>72</v>
      </c>
      <c r="F44" s="21">
        <f>IF(F43&lt;0.44*F30,0.877*F43,0.658^(F30/F43)*F30)</f>
        <v>327.93666770135093</v>
      </c>
      <c r="G44" s="17" t="s">
        <v>70</v>
      </c>
    </row>
    <row r="45" spans="1:7">
      <c r="C45" s="17" t="s">
        <v>73</v>
      </c>
    </row>
    <row r="46" spans="1:7">
      <c r="A46" s="17" t="s">
        <v>74</v>
      </c>
      <c r="C46" s="17" t="s">
        <v>75</v>
      </c>
      <c r="F46" s="21">
        <f>F44*F40/1000</f>
        <v>4819.9722444609333</v>
      </c>
      <c r="G46" s="17" t="s">
        <v>37</v>
      </c>
    </row>
    <row r="47" spans="1:7" ht="14.65">
      <c r="A47" s="17" t="s">
        <v>188</v>
      </c>
      <c r="C47" s="17" t="s">
        <v>77</v>
      </c>
      <c r="F47" s="21">
        <f>F46/F23</f>
        <v>2886.2109248269062</v>
      </c>
      <c r="G47" s="17" t="s">
        <v>37</v>
      </c>
    </row>
    <row r="48" spans="1:7">
      <c r="A48" s="17" t="s">
        <v>102</v>
      </c>
      <c r="F48" s="18">
        <f>F24/F47</f>
        <v>0.69433594847895086</v>
      </c>
    </row>
    <row r="49" spans="1:7">
      <c r="A49" s="17" t="s">
        <v>60</v>
      </c>
      <c r="F49" s="30" t="str">
        <f>IF(F47&gt;F24, "OK", "NG")</f>
        <v>OK</v>
      </c>
    </row>
    <row r="52" spans="1:7">
      <c r="A52" s="34" t="s">
        <v>240</v>
      </c>
    </row>
    <row r="53" spans="1:7">
      <c r="A53" s="17" t="s">
        <v>4</v>
      </c>
      <c r="E53" s="17" t="s">
        <v>16</v>
      </c>
      <c r="F53" s="19">
        <f>1279-300-12</f>
        <v>967</v>
      </c>
      <c r="G53" s="17" t="s">
        <v>2</v>
      </c>
    </row>
    <row r="54" spans="1:7" hidden="1">
      <c r="A54" s="17" t="s">
        <v>154</v>
      </c>
      <c r="E54" s="17" t="s">
        <v>0</v>
      </c>
      <c r="F54" s="19">
        <v>235</v>
      </c>
      <c r="G54" s="17" t="s">
        <v>1</v>
      </c>
    </row>
    <row r="55" spans="1:7" hidden="1">
      <c r="A55" s="17" t="s">
        <v>155</v>
      </c>
      <c r="E55" s="17" t="s">
        <v>156</v>
      </c>
      <c r="F55" s="19">
        <v>0</v>
      </c>
      <c r="G55" s="17" t="s">
        <v>2</v>
      </c>
    </row>
    <row r="56" spans="1:7" ht="14.65" hidden="1">
      <c r="A56" s="17" t="s">
        <v>3</v>
      </c>
      <c r="E56" s="31" t="s">
        <v>5</v>
      </c>
      <c r="F56" s="32">
        <v>1.67</v>
      </c>
    </row>
    <row r="57" spans="1:7">
      <c r="A57" s="17" t="s">
        <v>159</v>
      </c>
      <c r="E57" s="17" t="s">
        <v>15</v>
      </c>
      <c r="F57" s="19">
        <v>480</v>
      </c>
      <c r="G57" s="17" t="s">
        <v>1</v>
      </c>
    </row>
    <row r="58" spans="1:7">
      <c r="A58" s="17" t="s">
        <v>177</v>
      </c>
      <c r="E58" s="17" t="s">
        <v>9</v>
      </c>
      <c r="F58" s="19">
        <v>12</v>
      </c>
      <c r="G58" s="17" t="s">
        <v>2</v>
      </c>
    </row>
    <row r="59" spans="1:7" ht="14.65">
      <c r="A59" s="17" t="s">
        <v>3</v>
      </c>
      <c r="E59" s="31" t="s">
        <v>160</v>
      </c>
      <c r="F59" s="32">
        <v>2</v>
      </c>
    </row>
    <row r="60" spans="1:7" ht="14.65">
      <c r="E60" s="31"/>
      <c r="F60" s="31"/>
    </row>
    <row r="61" spans="1:7">
      <c r="A61" s="17" t="s">
        <v>22</v>
      </c>
      <c r="C61" s="17" t="s">
        <v>204</v>
      </c>
      <c r="F61" s="21">
        <f>F54/F56*F53*F55/1000+F57/F59*2*F53*0.707*F58/1000</f>
        <v>3937.9334399999998</v>
      </c>
      <c r="G61" s="17" t="s">
        <v>7</v>
      </c>
    </row>
    <row r="62" spans="1:7">
      <c r="A62" s="17" t="s">
        <v>23</v>
      </c>
      <c r="C62" s="17" t="s">
        <v>205</v>
      </c>
      <c r="F62" s="21">
        <f>F54/F56*F55*F53^2/6/1000000+2*F57/F59*0.707*F58*F53^2/6/1000000</f>
        <v>634.66360607999991</v>
      </c>
      <c r="G62" s="17" t="s">
        <v>24</v>
      </c>
    </row>
    <row r="63" spans="1:7">
      <c r="A63" s="17" t="s">
        <v>25</v>
      </c>
      <c r="C63" s="17" t="s">
        <v>206</v>
      </c>
      <c r="F63" s="21">
        <f>F61*0.6</f>
        <v>2362.7600639999996</v>
      </c>
      <c r="G63" s="17" t="s">
        <v>7</v>
      </c>
    </row>
    <row r="64" spans="1:7">
      <c r="F64" s="21"/>
    </row>
    <row r="65" spans="1:10" ht="14.65">
      <c r="A65" s="17" t="s">
        <v>11</v>
      </c>
      <c r="E65" s="31" t="s">
        <v>12</v>
      </c>
      <c r="F65" s="19">
        <v>44</v>
      </c>
      <c r="G65" s="17" t="s">
        <v>13</v>
      </c>
    </row>
    <row r="66" spans="1:10">
      <c r="A66" s="17" t="s">
        <v>20</v>
      </c>
      <c r="E66" s="17" t="s">
        <v>21</v>
      </c>
      <c r="F66" s="21">
        <f>F1*COS(F65/180*PI())</f>
        <v>1441.5569598786569</v>
      </c>
      <c r="G66" s="17" t="s">
        <v>7</v>
      </c>
      <c r="H66" s="17" t="str">
        <f>IF(F66&lt;F63, "&lt; Pwv, OK","Re-check")</f>
        <v>&lt; Pwv, OK</v>
      </c>
      <c r="J66">
        <f>F66/F63</f>
        <v>0.61011567862637495</v>
      </c>
    </row>
    <row r="67" spans="1:10">
      <c r="A67" s="27" t="s">
        <v>214</v>
      </c>
    </row>
    <row r="84" spans="1:7">
      <c r="A84" s="34" t="s">
        <v>241</v>
      </c>
      <c r="F84" s="17"/>
    </row>
    <row r="85" spans="1:7">
      <c r="F85" s="17"/>
    </row>
    <row r="86" spans="1:7" ht="14.65">
      <c r="A86" s="31" t="s">
        <v>63</v>
      </c>
      <c r="B86" s="17" t="s">
        <v>64</v>
      </c>
      <c r="F86" s="32">
        <v>1.67</v>
      </c>
    </row>
    <row r="87" spans="1:7" ht="16.5">
      <c r="A87" s="17" t="s">
        <v>173</v>
      </c>
      <c r="B87" s="17" t="s">
        <v>80</v>
      </c>
      <c r="F87" s="32">
        <f>F1</f>
        <v>2004</v>
      </c>
      <c r="G87" s="17" t="s">
        <v>37</v>
      </c>
    </row>
    <row r="89" spans="1:7" ht="16.5">
      <c r="A89" s="17" t="s">
        <v>81</v>
      </c>
      <c r="E89" s="17" t="s">
        <v>174</v>
      </c>
      <c r="F89" s="19">
        <v>273</v>
      </c>
      <c r="G89" s="17" t="s">
        <v>2</v>
      </c>
    </row>
    <row r="90" spans="1:7" ht="16.5">
      <c r="A90" s="17" t="s">
        <v>82</v>
      </c>
      <c r="E90" s="17" t="s">
        <v>175</v>
      </c>
      <c r="F90" s="19">
        <v>600</v>
      </c>
      <c r="G90" s="17" t="s">
        <v>2</v>
      </c>
    </row>
    <row r="91" spans="1:7" ht="14.65">
      <c r="A91" s="17" t="s">
        <v>85</v>
      </c>
      <c r="E91" s="31" t="s">
        <v>12</v>
      </c>
      <c r="F91" s="19">
        <v>44</v>
      </c>
      <c r="G91" s="17" t="s">
        <v>86</v>
      </c>
    </row>
    <row r="92" spans="1:7" ht="16.5">
      <c r="A92" s="17" t="s">
        <v>87</v>
      </c>
      <c r="E92" s="17" t="s">
        <v>176</v>
      </c>
      <c r="F92" s="19">
        <v>20</v>
      </c>
      <c r="G92" s="17" t="s">
        <v>2</v>
      </c>
    </row>
    <row r="93" spans="1:7">
      <c r="A93" s="17" t="s">
        <v>89</v>
      </c>
      <c r="E93" s="17" t="s">
        <v>43</v>
      </c>
      <c r="F93" s="19">
        <v>335</v>
      </c>
      <c r="G93" s="17" t="s">
        <v>44</v>
      </c>
    </row>
    <row r="94" spans="1:7">
      <c r="A94" s="17" t="s">
        <v>90</v>
      </c>
      <c r="E94" s="17" t="s">
        <v>91</v>
      </c>
      <c r="F94" s="19">
        <v>250</v>
      </c>
      <c r="G94" s="17" t="s">
        <v>2</v>
      </c>
    </row>
    <row r="95" spans="1:7">
      <c r="A95" s="17" t="s">
        <v>92</v>
      </c>
      <c r="E95" s="17" t="s">
        <v>93</v>
      </c>
      <c r="F95" s="19">
        <v>0.7</v>
      </c>
    </row>
    <row r="97" spans="1:7">
      <c r="A97" s="17" t="s">
        <v>94</v>
      </c>
      <c r="E97" s="17" t="s">
        <v>103</v>
      </c>
      <c r="F97" s="30">
        <f>F94*F95</f>
        <v>175</v>
      </c>
      <c r="G97" s="17" t="s">
        <v>2</v>
      </c>
    </row>
    <row r="99" spans="1:7">
      <c r="A99" s="17" t="s">
        <v>95</v>
      </c>
    </row>
    <row r="100" spans="1:7">
      <c r="A100" s="17" t="s">
        <v>105</v>
      </c>
      <c r="F100" s="21">
        <f>F89+2*F90/1.732</f>
        <v>965.84064665127016</v>
      </c>
      <c r="G100" s="17" t="s">
        <v>2</v>
      </c>
    </row>
    <row r="101" spans="1:7" ht="14.65">
      <c r="A101" s="17" t="s">
        <v>183</v>
      </c>
      <c r="F101" s="29">
        <v>556</v>
      </c>
      <c r="G101" s="17" t="s">
        <v>2</v>
      </c>
    </row>
    <row r="102" spans="1:7">
      <c r="A102" s="17" t="s">
        <v>96</v>
      </c>
      <c r="C102" s="17" t="s">
        <v>97</v>
      </c>
      <c r="F102" s="21">
        <f>MIN(F100,F101)</f>
        <v>556</v>
      </c>
      <c r="G102" s="17" t="s">
        <v>2</v>
      </c>
    </row>
    <row r="103" spans="1:7" ht="15.4">
      <c r="A103" s="17" t="s">
        <v>98</v>
      </c>
      <c r="C103" s="17" t="s">
        <v>99</v>
      </c>
      <c r="F103" s="21">
        <f>F102*F92</f>
        <v>11120</v>
      </c>
      <c r="G103" s="17" t="s">
        <v>184</v>
      </c>
    </row>
    <row r="104" spans="1:7" ht="16.899999999999999">
      <c r="A104" s="17" t="s">
        <v>185</v>
      </c>
      <c r="C104" s="17" t="s">
        <v>101</v>
      </c>
      <c r="F104" s="21">
        <f>F92/12^0.5</f>
        <v>5.7735026918962582</v>
      </c>
      <c r="G104" s="17" t="s">
        <v>2</v>
      </c>
    </row>
    <row r="105" spans="1:7" ht="15.75">
      <c r="A105" s="31" t="s">
        <v>186</v>
      </c>
      <c r="C105" s="17" t="s">
        <v>67</v>
      </c>
      <c r="F105" s="21">
        <f>F97/F104</f>
        <v>30.310889132455351</v>
      </c>
    </row>
    <row r="106" spans="1:7" ht="16.5">
      <c r="A106" s="31" t="s">
        <v>187</v>
      </c>
      <c r="C106" s="17" t="s">
        <v>69</v>
      </c>
      <c r="F106" s="21">
        <f>200*1000*PI()^2/F105^2</f>
        <v>2148.4853118017654</v>
      </c>
      <c r="G106" s="17" t="s">
        <v>70</v>
      </c>
    </row>
    <row r="107" spans="1:7" ht="14.65">
      <c r="A107" s="31" t="s">
        <v>71</v>
      </c>
      <c r="C107" s="17" t="s">
        <v>72</v>
      </c>
      <c r="F107" s="21">
        <f>IF(F106&lt;0.44*F93,0.877*F106,0.658^(F93/F106)*F93)</f>
        <v>313.83537656472953</v>
      </c>
      <c r="G107" s="17" t="s">
        <v>70</v>
      </c>
    </row>
    <row r="108" spans="1:7">
      <c r="C108" s="17" t="s">
        <v>73</v>
      </c>
    </row>
    <row r="109" spans="1:7">
      <c r="A109" s="17" t="s">
        <v>74</v>
      </c>
      <c r="C109" s="17" t="s">
        <v>75</v>
      </c>
      <c r="F109" s="21">
        <f>F107*F103/1000</f>
        <v>3489.8493873997922</v>
      </c>
      <c r="G109" s="17" t="s">
        <v>37</v>
      </c>
    </row>
    <row r="110" spans="1:7" ht="14.65">
      <c r="A110" s="17" t="s">
        <v>188</v>
      </c>
      <c r="C110" s="17" t="s">
        <v>77</v>
      </c>
      <c r="F110" s="21">
        <f>F109/F86</f>
        <v>2089.7301720956839</v>
      </c>
      <c r="G110" s="17" t="s">
        <v>37</v>
      </c>
    </row>
    <row r="111" spans="1:7">
      <c r="A111" s="17" t="s">
        <v>102</v>
      </c>
      <c r="F111" s="18">
        <f>F87/F110</f>
        <v>0.95897548246159003</v>
      </c>
    </row>
    <row r="112" spans="1:7">
      <c r="A112" s="17" t="s">
        <v>60</v>
      </c>
      <c r="F112" s="30" t="str">
        <f>IF(F110&gt;F87, "OK", "NG")</f>
        <v>OK</v>
      </c>
    </row>
  </sheetData>
  <phoneticPr fontId="62" type="noConversion"/>
  <pageMargins left="0.7" right="0.7" top="0.75" bottom="0.75" header="0.3" footer="0.3"/>
  <pageSetup paperSize="8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3"/>
  <sheetViews>
    <sheetView workbookViewId="0">
      <selection activeCell="E18" sqref="E18"/>
    </sheetView>
  </sheetViews>
  <sheetFormatPr defaultRowHeight="13.5"/>
  <cols>
    <col min="1" max="1" width="9.1328125" style="17"/>
    <col min="2" max="2" width="13.86328125" style="17" customWidth="1"/>
    <col min="3" max="4" width="9.1328125" style="17"/>
    <col min="5" max="5" width="31.59765625" style="17" customWidth="1"/>
    <col min="6" max="6" width="9.59765625" style="30" bestFit="1" customWidth="1"/>
    <col min="7" max="7" width="9.1328125" style="17"/>
    <col min="8" max="8" width="10.3984375" customWidth="1"/>
  </cols>
  <sheetData>
    <row r="1" spans="1:10">
      <c r="A1" s="17" t="s">
        <v>157</v>
      </c>
      <c r="E1" s="17" t="s">
        <v>10</v>
      </c>
      <c r="F1" s="35">
        <f>pitch!C3</f>
        <v>3640</v>
      </c>
      <c r="G1" s="17" t="s">
        <v>7</v>
      </c>
    </row>
    <row r="3" spans="1:10">
      <c r="A3" s="34" t="s">
        <v>107</v>
      </c>
    </row>
    <row r="5" spans="1:10" ht="14.65">
      <c r="A5" s="17" t="s">
        <v>11</v>
      </c>
      <c r="E5" s="31" t="s">
        <v>12</v>
      </c>
      <c r="F5" s="19">
        <v>30</v>
      </c>
      <c r="G5" s="17" t="s">
        <v>13</v>
      </c>
    </row>
    <row r="6" spans="1:10">
      <c r="A6" s="17" t="s">
        <v>18</v>
      </c>
      <c r="E6" s="17" t="s">
        <v>19</v>
      </c>
      <c r="F6" s="21">
        <f>F1*SIN(F5/180*PI())</f>
        <v>1819.9999999999998</v>
      </c>
      <c r="G6" s="17" t="s">
        <v>7</v>
      </c>
    </row>
    <row r="7" spans="1:10">
      <c r="A7" s="17" t="s">
        <v>14</v>
      </c>
      <c r="E7" s="17" t="s">
        <v>15</v>
      </c>
      <c r="F7" s="19">
        <v>480</v>
      </c>
      <c r="G7" s="17" t="s">
        <v>1</v>
      </c>
    </row>
    <row r="8" spans="1:10">
      <c r="A8" s="17" t="s">
        <v>4</v>
      </c>
      <c r="E8" s="17" t="s">
        <v>16</v>
      </c>
      <c r="F8" s="19">
        <v>880</v>
      </c>
      <c r="G8" s="17" t="s">
        <v>2</v>
      </c>
    </row>
    <row r="9" spans="1:10">
      <c r="A9" s="17" t="s">
        <v>8</v>
      </c>
      <c r="E9" s="17" t="s">
        <v>9</v>
      </c>
      <c r="F9" s="19">
        <v>22</v>
      </c>
      <c r="G9" s="17" t="s">
        <v>2</v>
      </c>
    </row>
    <row r="10" spans="1:10" ht="14.65">
      <c r="A10" s="17" t="s">
        <v>3</v>
      </c>
      <c r="E10" s="31" t="s">
        <v>5</v>
      </c>
      <c r="F10" s="32">
        <v>2</v>
      </c>
    </row>
    <row r="11" spans="1:10">
      <c r="A11" s="17" t="s">
        <v>6</v>
      </c>
      <c r="C11" s="17" t="s">
        <v>17</v>
      </c>
      <c r="F11" s="21">
        <f>F7*0.6/F10*0.707*2*F9*F8/1000</f>
        <v>3942.0057599999996</v>
      </c>
      <c r="G11" s="17" t="s">
        <v>7</v>
      </c>
      <c r="H11" t="str">
        <f>IF(F11&gt;F6, "&gt; Fv, OK","Re-check")</f>
        <v>&gt; Fv, OK</v>
      </c>
      <c r="J11">
        <f>F6/F11</f>
        <v>0.46169389666239352</v>
      </c>
    </row>
    <row r="13" spans="1:10">
      <c r="A13" s="34" t="s">
        <v>108</v>
      </c>
    </row>
    <row r="15" spans="1:10" ht="14.65">
      <c r="A15" s="17" t="s">
        <v>11</v>
      </c>
      <c r="E15" s="31" t="s">
        <v>12</v>
      </c>
      <c r="F15" s="19">
        <v>30</v>
      </c>
      <c r="G15" s="17" t="s">
        <v>13</v>
      </c>
    </row>
    <row r="16" spans="1:10">
      <c r="A16" s="17" t="s">
        <v>20</v>
      </c>
      <c r="E16" s="17" t="s">
        <v>21</v>
      </c>
      <c r="F16" s="21">
        <f>F1*COS(F15/180*PI())</f>
        <v>3152.3324697753569</v>
      </c>
      <c r="G16" s="17" t="s">
        <v>7</v>
      </c>
    </row>
    <row r="17" spans="1:10">
      <c r="A17" s="17" t="s">
        <v>14</v>
      </c>
      <c r="E17" s="17" t="s">
        <v>15</v>
      </c>
      <c r="F17" s="19">
        <v>480</v>
      </c>
      <c r="G17" s="17" t="s">
        <v>1</v>
      </c>
    </row>
    <row r="18" spans="1:10">
      <c r="A18" s="17" t="s">
        <v>4</v>
      </c>
      <c r="E18" s="17" t="s">
        <v>16</v>
      </c>
      <c r="F18" s="19">
        <v>1280</v>
      </c>
      <c r="G18" s="17" t="s">
        <v>2</v>
      </c>
    </row>
    <row r="19" spans="1:10">
      <c r="A19" s="17" t="s">
        <v>8</v>
      </c>
      <c r="E19" s="17" t="s">
        <v>9</v>
      </c>
      <c r="F19" s="19">
        <v>22</v>
      </c>
      <c r="G19" s="17" t="s">
        <v>2</v>
      </c>
    </row>
    <row r="20" spans="1:10" ht="14.65">
      <c r="A20" s="17" t="s">
        <v>3</v>
      </c>
      <c r="E20" s="31" t="s">
        <v>5</v>
      </c>
      <c r="F20" s="32">
        <v>2</v>
      </c>
    </row>
    <row r="21" spans="1:10">
      <c r="A21" s="17" t="s">
        <v>6</v>
      </c>
      <c r="C21" s="17" t="s">
        <v>17</v>
      </c>
      <c r="F21" s="21">
        <f>F17*0.6/F20*0.707*2*F19*F18/1000</f>
        <v>5733.8265599999995</v>
      </c>
      <c r="G21" s="17" t="s">
        <v>7</v>
      </c>
      <c r="H21" t="str">
        <f>IF(F21&gt;F16, "&gt; Fh, OK","Re-check")</f>
        <v>&gt; Fh, OK</v>
      </c>
      <c r="J21">
        <f>F16/F21</f>
        <v>0.54977813451255786</v>
      </c>
    </row>
    <row r="23" spans="1:10">
      <c r="A23" s="34" t="s">
        <v>106</v>
      </c>
      <c r="F23" s="17"/>
      <c r="H23" s="2"/>
    </row>
    <row r="24" spans="1:10">
      <c r="F24" s="17"/>
      <c r="H24" s="2"/>
    </row>
    <row r="25" spans="1:10" ht="14.65">
      <c r="A25" s="31" t="s">
        <v>63</v>
      </c>
      <c r="B25" s="17" t="s">
        <v>64</v>
      </c>
      <c r="F25" s="32">
        <v>1.67</v>
      </c>
    </row>
    <row r="26" spans="1:10" ht="16.5">
      <c r="A26" s="17" t="s">
        <v>173</v>
      </c>
      <c r="B26" s="17" t="s">
        <v>80</v>
      </c>
      <c r="F26" s="32">
        <f>F1</f>
        <v>3640</v>
      </c>
      <c r="G26" s="17" t="s">
        <v>37</v>
      </c>
    </row>
    <row r="28" spans="1:10" ht="16.5">
      <c r="A28" s="17" t="s">
        <v>81</v>
      </c>
      <c r="E28" s="17" t="s">
        <v>174</v>
      </c>
      <c r="F28" s="19">
        <v>406</v>
      </c>
      <c r="G28" s="17" t="s">
        <v>2</v>
      </c>
    </row>
    <row r="29" spans="1:10" ht="16.5">
      <c r="A29" s="17" t="s">
        <v>82</v>
      </c>
      <c r="E29" s="17" t="s">
        <v>175</v>
      </c>
      <c r="F29" s="19">
        <v>800</v>
      </c>
      <c r="G29" s="17" t="s">
        <v>2</v>
      </c>
    </row>
    <row r="30" spans="1:10">
      <c r="A30" s="17" t="s">
        <v>83</v>
      </c>
      <c r="E30" s="17" t="s">
        <v>84</v>
      </c>
      <c r="F30" s="19">
        <v>100</v>
      </c>
      <c r="G30" s="17" t="s">
        <v>2</v>
      </c>
    </row>
    <row r="31" spans="1:10" ht="14.65">
      <c r="A31" s="17" t="s">
        <v>85</v>
      </c>
      <c r="E31" s="31" t="s">
        <v>12</v>
      </c>
      <c r="F31" s="19">
        <v>30</v>
      </c>
      <c r="G31" s="17" t="s">
        <v>86</v>
      </c>
    </row>
    <row r="32" spans="1:10" ht="16.5">
      <c r="A32" s="17" t="s">
        <v>87</v>
      </c>
      <c r="E32" s="17" t="s">
        <v>176</v>
      </c>
      <c r="F32" s="19">
        <v>30</v>
      </c>
      <c r="G32" s="17" t="s">
        <v>2</v>
      </c>
    </row>
    <row r="33" spans="1:15">
      <c r="A33" s="17" t="s">
        <v>89</v>
      </c>
      <c r="E33" s="17" t="s">
        <v>43</v>
      </c>
      <c r="F33" s="19">
        <v>335</v>
      </c>
      <c r="G33" s="17" t="s">
        <v>44</v>
      </c>
      <c r="O33" t="s">
        <v>207</v>
      </c>
    </row>
    <row r="34" spans="1:15">
      <c r="A34" s="17" t="s">
        <v>90</v>
      </c>
      <c r="E34" s="17" t="s">
        <v>91</v>
      </c>
      <c r="F34" s="19">
        <v>520</v>
      </c>
      <c r="G34" s="17" t="s">
        <v>2</v>
      </c>
    </row>
    <row r="35" spans="1:15">
      <c r="A35" s="17" t="s">
        <v>92</v>
      </c>
      <c r="E35" s="17" t="s">
        <v>93</v>
      </c>
      <c r="F35" s="19">
        <v>0.7</v>
      </c>
    </row>
    <row r="37" spans="1:15">
      <c r="A37" s="17" t="s">
        <v>94</v>
      </c>
      <c r="E37" s="17" t="s">
        <v>103</v>
      </c>
      <c r="F37" s="30">
        <f>F34*F35</f>
        <v>364</v>
      </c>
      <c r="G37" s="17" t="s">
        <v>2</v>
      </c>
    </row>
    <row r="39" spans="1:15">
      <c r="A39" s="17" t="s">
        <v>115</v>
      </c>
    </row>
    <row r="40" spans="1:15">
      <c r="A40" s="17" t="s">
        <v>105</v>
      </c>
      <c r="F40" s="21">
        <f>F28+2*F29/1.732</f>
        <v>1329.7875288683604</v>
      </c>
      <c r="G40" s="17" t="s">
        <v>2</v>
      </c>
    </row>
    <row r="41" spans="1:15" ht="14.65">
      <c r="A41" s="17" t="s">
        <v>189</v>
      </c>
      <c r="F41" s="21">
        <f>F28+F29/1.732+F30/COS(F31/180*PI())</f>
        <v>983.36381827210539</v>
      </c>
      <c r="G41" s="17" t="s">
        <v>2</v>
      </c>
      <c r="J41" s="6"/>
    </row>
    <row r="42" spans="1:15">
      <c r="A42" s="17" t="s">
        <v>96</v>
      </c>
      <c r="C42" s="17" t="s">
        <v>97</v>
      </c>
      <c r="F42" s="21">
        <f>MIN(F40,F41)</f>
        <v>983.36381827210539</v>
      </c>
      <c r="G42" s="17" t="s">
        <v>2</v>
      </c>
    </row>
    <row r="43" spans="1:15" ht="15.4">
      <c r="A43" s="17" t="s">
        <v>98</v>
      </c>
      <c r="C43" s="17" t="s">
        <v>99</v>
      </c>
      <c r="F43" s="21">
        <f>F42*F32</f>
        <v>29500.91454816316</v>
      </c>
      <c r="G43" s="17" t="s">
        <v>184</v>
      </c>
    </row>
    <row r="44" spans="1:15" ht="16.899999999999999">
      <c r="A44" s="17" t="s">
        <v>185</v>
      </c>
      <c r="C44" s="17" t="s">
        <v>101</v>
      </c>
      <c r="F44" s="21">
        <f>F32/12^0.5</f>
        <v>8.6602540378443873</v>
      </c>
      <c r="G44" s="17" t="s">
        <v>2</v>
      </c>
    </row>
    <row r="45" spans="1:15" ht="15.75">
      <c r="A45" s="31" t="s">
        <v>186</v>
      </c>
      <c r="C45" s="17" t="s">
        <v>67</v>
      </c>
      <c r="F45" s="21">
        <f>F37/F44</f>
        <v>42.031099597004754</v>
      </c>
    </row>
    <row r="46" spans="1:15" ht="16.5">
      <c r="A46" s="31" t="s">
        <v>187</v>
      </c>
      <c r="C46" s="17" t="s">
        <v>69</v>
      </c>
      <c r="F46" s="21">
        <f>205*1000*PI()^2/F45^2</f>
        <v>1145.2811229527599</v>
      </c>
      <c r="G46" s="17" t="s">
        <v>70</v>
      </c>
    </row>
    <row r="47" spans="1:15" ht="14.65">
      <c r="A47" s="31" t="s">
        <v>71</v>
      </c>
      <c r="C47" s="17" t="s">
        <v>72</v>
      </c>
      <c r="F47" s="21">
        <f>IF(F46&lt;0.44*F33,0.877*F46,0.658^(F33/F46)*F33)</f>
        <v>296.39784672011893</v>
      </c>
      <c r="G47" s="17" t="s">
        <v>70</v>
      </c>
    </row>
    <row r="48" spans="1:15">
      <c r="C48" s="17" t="s">
        <v>73</v>
      </c>
    </row>
    <row r="49" spans="1:8">
      <c r="A49" s="17" t="s">
        <v>74</v>
      </c>
      <c r="C49" s="17" t="s">
        <v>75</v>
      </c>
      <c r="F49" s="21">
        <f>F47*F43/1000</f>
        <v>8744.0075483497894</v>
      </c>
      <c r="G49" s="17" t="s">
        <v>37</v>
      </c>
    </row>
    <row r="50" spans="1:8" ht="14.65">
      <c r="A50" s="17" t="s">
        <v>188</v>
      </c>
      <c r="C50" s="17" t="s">
        <v>77</v>
      </c>
      <c r="F50" s="21">
        <f>F49/F25</f>
        <v>5235.932663682509</v>
      </c>
      <c r="G50" s="17" t="s">
        <v>37</v>
      </c>
    </row>
    <row r="51" spans="1:8">
      <c r="A51" s="17" t="s">
        <v>102</v>
      </c>
      <c r="F51" s="18">
        <f>F26/F50</f>
        <v>0.69519610617756378</v>
      </c>
    </row>
    <row r="52" spans="1:8">
      <c r="A52" s="17" t="s">
        <v>60</v>
      </c>
      <c r="F52" s="30" t="str">
        <f>IF(F50&gt;F26, "OK", "NG")</f>
        <v>OK</v>
      </c>
    </row>
    <row r="55" spans="1:8">
      <c r="A55" s="34" t="s">
        <v>217</v>
      </c>
      <c r="H55" s="17"/>
    </row>
    <row r="56" spans="1:8">
      <c r="A56" s="17" t="s">
        <v>114</v>
      </c>
      <c r="E56" s="17" t="s">
        <v>27</v>
      </c>
      <c r="F56" s="19">
        <v>77</v>
      </c>
      <c r="G56" s="17" t="s">
        <v>2</v>
      </c>
      <c r="H56" s="17"/>
    </row>
    <row r="57" spans="1:8">
      <c r="A57" s="17" t="s">
        <v>4</v>
      </c>
      <c r="E57" s="17" t="s">
        <v>16</v>
      </c>
      <c r="F57" s="19">
        <v>1783</v>
      </c>
      <c r="G57" s="17" t="s">
        <v>2</v>
      </c>
      <c r="H57" s="17"/>
    </row>
    <row r="58" spans="1:8" ht="15" hidden="1" customHeight="1">
      <c r="A58" s="17" t="s">
        <v>154</v>
      </c>
      <c r="E58" s="17" t="s">
        <v>0</v>
      </c>
      <c r="F58" s="19">
        <v>235</v>
      </c>
      <c r="G58" s="17" t="s">
        <v>1</v>
      </c>
      <c r="H58" s="17"/>
    </row>
    <row r="59" spans="1:8" ht="15" hidden="1" customHeight="1">
      <c r="A59" s="17" t="s">
        <v>155</v>
      </c>
      <c r="E59" s="17" t="s">
        <v>156</v>
      </c>
      <c r="F59" s="19">
        <v>0</v>
      </c>
      <c r="G59" s="17" t="s">
        <v>2</v>
      </c>
      <c r="H59" s="17"/>
    </row>
    <row r="60" spans="1:8" ht="15" hidden="1" customHeight="1">
      <c r="A60" s="17" t="s">
        <v>3</v>
      </c>
      <c r="E60" s="31" t="s">
        <v>5</v>
      </c>
      <c r="F60" s="32">
        <v>1.67</v>
      </c>
      <c r="H60" s="17"/>
    </row>
    <row r="61" spans="1:8">
      <c r="A61" s="17" t="s">
        <v>159</v>
      </c>
      <c r="E61" s="17" t="s">
        <v>15</v>
      </c>
      <c r="F61" s="19">
        <v>480</v>
      </c>
      <c r="G61" s="17" t="s">
        <v>1</v>
      </c>
      <c r="H61" s="17"/>
    </row>
    <row r="62" spans="1:8">
      <c r="A62" s="17" t="s">
        <v>177</v>
      </c>
      <c r="E62" s="17" t="s">
        <v>9</v>
      </c>
      <c r="F62" s="19">
        <v>22</v>
      </c>
      <c r="G62" s="17" t="s">
        <v>2</v>
      </c>
      <c r="H62" s="17"/>
    </row>
    <row r="63" spans="1:8" ht="14.65">
      <c r="A63" s="17" t="s">
        <v>3</v>
      </c>
      <c r="E63" s="31" t="s">
        <v>160</v>
      </c>
      <c r="F63" s="32">
        <v>2</v>
      </c>
      <c r="H63" s="17"/>
    </row>
    <row r="64" spans="1:8" ht="14.65">
      <c r="E64" s="31"/>
      <c r="F64" s="31"/>
      <c r="H64" s="17"/>
    </row>
    <row r="65" spans="1:10">
      <c r="A65" s="17" t="s">
        <v>22</v>
      </c>
      <c r="C65" s="17" t="s">
        <v>204</v>
      </c>
      <c r="F65" s="21">
        <f>F58/F60*F57*F59/1000+F61/F63*2*F57*0.707*F62/1000</f>
        <v>13311.735359999999</v>
      </c>
      <c r="G65" s="17" t="s">
        <v>7</v>
      </c>
      <c r="H65" s="17"/>
    </row>
    <row r="66" spans="1:10">
      <c r="A66" s="17" t="s">
        <v>23</v>
      </c>
      <c r="C66" s="17" t="s">
        <v>205</v>
      </c>
      <c r="F66" s="21">
        <f>F58/F60*F59*F57^2/6/1000000+2*F61/F63*0.707*F62*F57^2/6/1000000</f>
        <v>3955.8040244799995</v>
      </c>
      <c r="G66" s="17" t="s">
        <v>24</v>
      </c>
      <c r="H66" s="17"/>
    </row>
    <row r="67" spans="1:10">
      <c r="A67" s="17" t="s">
        <v>25</v>
      </c>
      <c r="C67" s="17" t="s">
        <v>206</v>
      </c>
      <c r="F67" s="21">
        <f>F65*0.6</f>
        <v>7987.0412159999987</v>
      </c>
      <c r="G67" s="17" t="s">
        <v>7</v>
      </c>
      <c r="H67" s="17"/>
    </row>
    <row r="68" spans="1:10">
      <c r="F68" s="21"/>
      <c r="H68" s="17"/>
    </row>
    <row r="69" spans="1:10" ht="14.65">
      <c r="A69" s="17" t="s">
        <v>11</v>
      </c>
      <c r="E69" s="31" t="s">
        <v>12</v>
      </c>
      <c r="F69" s="19">
        <v>30</v>
      </c>
      <c r="G69" s="17" t="s">
        <v>13</v>
      </c>
      <c r="H69" s="17"/>
    </row>
    <row r="70" spans="1:10">
      <c r="A70" s="17" t="s">
        <v>26</v>
      </c>
      <c r="E70" s="17" t="s">
        <v>19</v>
      </c>
      <c r="F70" s="21">
        <f>F1*SIN(F69/180*PI())</f>
        <v>1819.9999999999998</v>
      </c>
      <c r="G70" s="17" t="s">
        <v>7</v>
      </c>
      <c r="H70" s="17" t="str">
        <f>IF(F70&lt;F65, "&lt; Pwt, OK","Re-check")</f>
        <v>&lt; Pwt, OK</v>
      </c>
      <c r="J70">
        <f>F70/F65</f>
        <v>0.13672146799649118</v>
      </c>
    </row>
    <row r="71" spans="1:10">
      <c r="A71" s="17" t="s">
        <v>20</v>
      </c>
      <c r="E71" s="17" t="s">
        <v>21</v>
      </c>
      <c r="F71" s="21">
        <f>F1*COS(F69/180*PI())</f>
        <v>3152.3324697753569</v>
      </c>
      <c r="G71" s="17" t="s">
        <v>7</v>
      </c>
      <c r="H71" s="17" t="str">
        <f>IF(F71&lt;F67, "&lt; Pwv, OK","Re-check")</f>
        <v>&lt; Pwv, OK</v>
      </c>
      <c r="J71">
        <f>F71/F67</f>
        <v>0.394680881758875</v>
      </c>
    </row>
    <row r="72" spans="1:10">
      <c r="A72" s="17" t="s">
        <v>28</v>
      </c>
      <c r="E72" s="17" t="s">
        <v>215</v>
      </c>
      <c r="F72" s="21">
        <f>F70*F56/1000</f>
        <v>140.13999999999996</v>
      </c>
      <c r="G72" s="17" t="s">
        <v>24</v>
      </c>
      <c r="H72" s="17" t="str">
        <f>IF(F72&lt;F66, "&lt; Pwb, OK","Re-check")</f>
        <v>&lt; Pwb, OK</v>
      </c>
      <c r="J72">
        <f>F72/F66</f>
        <v>3.5426426368131751E-2</v>
      </c>
    </row>
    <row r="73" spans="1:10">
      <c r="F73" s="21"/>
      <c r="H73" s="17"/>
    </row>
    <row r="74" spans="1:10">
      <c r="A74" s="17" t="s">
        <v>29</v>
      </c>
      <c r="F74" s="18">
        <f>F70/F65+(F71/F67)^2+(F72/F66)</f>
        <v>0.327920892790586</v>
      </c>
      <c r="H74" s="17" t="str">
        <f>IF(F74&lt;1, "&lt; 1.0, OK","Re-check")</f>
        <v>&lt; 1.0, OK</v>
      </c>
    </row>
    <row r="75" spans="1:10" ht="11.25" customHeight="1">
      <c r="H75" s="17"/>
    </row>
    <row r="76" spans="1:10">
      <c r="H76" s="17"/>
    </row>
    <row r="77" spans="1:10">
      <c r="H77" s="17"/>
    </row>
    <row r="78" spans="1:10">
      <c r="H78" s="17"/>
    </row>
    <row r="79" spans="1:10">
      <c r="H79" s="17"/>
    </row>
    <row r="80" spans="1:10">
      <c r="H80" s="17"/>
    </row>
    <row r="81" spans="1:8">
      <c r="H81" s="17"/>
    </row>
    <row r="82" spans="1:8">
      <c r="H82" s="17"/>
    </row>
    <row r="83" spans="1:8">
      <c r="H83" s="17"/>
    </row>
    <row r="84" spans="1:8">
      <c r="A84" s="34" t="s">
        <v>218</v>
      </c>
      <c r="F84" s="17"/>
      <c r="H84" s="30"/>
    </row>
    <row r="85" spans="1:8">
      <c r="F85" s="17"/>
      <c r="H85" s="30"/>
    </row>
    <row r="86" spans="1:8" ht="14.65">
      <c r="A86" s="31" t="s">
        <v>63</v>
      </c>
      <c r="B86" s="17" t="s">
        <v>64</v>
      </c>
      <c r="F86" s="32">
        <v>1.67</v>
      </c>
      <c r="H86" s="17"/>
    </row>
    <row r="87" spans="1:8" ht="16.5">
      <c r="A87" s="17" t="s">
        <v>173</v>
      </c>
      <c r="B87" s="17" t="s">
        <v>80</v>
      </c>
      <c r="F87" s="32">
        <f>F1</f>
        <v>3640</v>
      </c>
      <c r="G87" s="17" t="s">
        <v>37</v>
      </c>
      <c r="H87" s="17"/>
    </row>
    <row r="88" spans="1:8">
      <c r="H88" s="17"/>
    </row>
    <row r="89" spans="1:8" ht="16.5">
      <c r="A89" s="17" t="s">
        <v>81</v>
      </c>
      <c r="E89" s="17" t="s">
        <v>174</v>
      </c>
      <c r="F89" s="19">
        <v>406</v>
      </c>
      <c r="G89" s="17" t="s">
        <v>2</v>
      </c>
      <c r="H89" s="17"/>
    </row>
    <row r="90" spans="1:8" ht="16.5">
      <c r="A90" s="17" t="s">
        <v>82</v>
      </c>
      <c r="E90" s="17" t="s">
        <v>175</v>
      </c>
      <c r="F90" s="19">
        <v>800</v>
      </c>
      <c r="G90" s="17" t="s">
        <v>2</v>
      </c>
      <c r="H90" s="17"/>
    </row>
    <row r="91" spans="1:8" ht="14.65">
      <c r="A91" s="17" t="s">
        <v>85</v>
      </c>
      <c r="E91" s="31" t="s">
        <v>12</v>
      </c>
      <c r="F91" s="19">
        <f>F69</f>
        <v>30</v>
      </c>
      <c r="G91" s="17" t="s">
        <v>86</v>
      </c>
      <c r="H91" s="17"/>
    </row>
    <row r="92" spans="1:8" ht="16.5">
      <c r="A92" s="17" t="s">
        <v>87</v>
      </c>
      <c r="E92" s="17" t="s">
        <v>176</v>
      </c>
      <c r="F92" s="19">
        <v>30</v>
      </c>
      <c r="G92" s="17" t="s">
        <v>2</v>
      </c>
      <c r="H92" s="17"/>
    </row>
    <row r="93" spans="1:8">
      <c r="A93" s="17" t="s">
        <v>89</v>
      </c>
      <c r="E93" s="17" t="s">
        <v>43</v>
      </c>
      <c r="F93" s="19">
        <v>335</v>
      </c>
      <c r="G93" s="17" t="s">
        <v>44</v>
      </c>
      <c r="H93" s="17"/>
    </row>
    <row r="94" spans="1:8">
      <c r="A94" s="17" t="s">
        <v>90</v>
      </c>
      <c r="E94" s="17" t="s">
        <v>91</v>
      </c>
      <c r="F94" s="19">
        <v>50</v>
      </c>
      <c r="G94" s="17" t="s">
        <v>2</v>
      </c>
      <c r="H94" s="17"/>
    </row>
    <row r="95" spans="1:8">
      <c r="A95" s="17" t="s">
        <v>92</v>
      </c>
      <c r="E95" s="17" t="s">
        <v>93</v>
      </c>
      <c r="F95" s="19">
        <v>2</v>
      </c>
      <c r="H95" s="17"/>
    </row>
    <row r="96" spans="1:8">
      <c r="H96" s="17"/>
    </row>
    <row r="97" spans="1:8">
      <c r="A97" s="17" t="s">
        <v>94</v>
      </c>
      <c r="E97" s="17" t="s">
        <v>103</v>
      </c>
      <c r="F97" s="30">
        <f>F94*F95</f>
        <v>100</v>
      </c>
      <c r="G97" s="17" t="s">
        <v>2</v>
      </c>
      <c r="H97" s="17"/>
    </row>
    <row r="98" spans="1:8">
      <c r="H98" s="17"/>
    </row>
    <row r="99" spans="1:8">
      <c r="A99" s="17" t="s">
        <v>95</v>
      </c>
      <c r="H99" s="17"/>
    </row>
    <row r="100" spans="1:8">
      <c r="A100" s="17" t="s">
        <v>105</v>
      </c>
      <c r="F100" s="21">
        <f>F89+2*F90/1.732</f>
        <v>1329.7875288683604</v>
      </c>
      <c r="G100" s="17" t="s">
        <v>2</v>
      </c>
      <c r="H100" s="17"/>
    </row>
    <row r="101" spans="1:8" ht="14.65">
      <c r="A101" s="17" t="s">
        <v>183</v>
      </c>
      <c r="F101" s="29">
        <v>1783</v>
      </c>
      <c r="G101" s="17" t="s">
        <v>2</v>
      </c>
      <c r="H101" s="17"/>
    </row>
    <row r="102" spans="1:8">
      <c r="A102" s="17" t="s">
        <v>96</v>
      </c>
      <c r="C102" s="17" t="s">
        <v>97</v>
      </c>
      <c r="F102" s="21">
        <f>MIN(F100,F101)</f>
        <v>1329.7875288683604</v>
      </c>
      <c r="G102" s="17" t="s">
        <v>2</v>
      </c>
      <c r="H102" s="17"/>
    </row>
    <row r="103" spans="1:8" ht="15.4">
      <c r="A103" s="17" t="s">
        <v>98</v>
      </c>
      <c r="C103" s="17" t="s">
        <v>99</v>
      </c>
      <c r="F103" s="21">
        <f>F102*F92</f>
        <v>39893.62586605081</v>
      </c>
      <c r="G103" s="17" t="s">
        <v>184</v>
      </c>
      <c r="H103" s="17"/>
    </row>
    <row r="104" spans="1:8" ht="16.899999999999999">
      <c r="A104" s="17" t="s">
        <v>185</v>
      </c>
      <c r="C104" s="17" t="s">
        <v>101</v>
      </c>
      <c r="F104" s="21">
        <f>F92/12^0.5</f>
        <v>8.6602540378443873</v>
      </c>
      <c r="G104" s="17" t="s">
        <v>2</v>
      </c>
      <c r="H104" s="17"/>
    </row>
    <row r="105" spans="1:8" ht="15.75">
      <c r="A105" s="31" t="s">
        <v>186</v>
      </c>
      <c r="C105" s="17" t="s">
        <v>67</v>
      </c>
      <c r="F105" s="21">
        <f>F97/F104</f>
        <v>11.547005383792515</v>
      </c>
      <c r="H105" s="17"/>
    </row>
    <row r="106" spans="1:8" ht="16.5">
      <c r="A106" s="31" t="s">
        <v>187</v>
      </c>
      <c r="C106" s="17" t="s">
        <v>69</v>
      </c>
      <c r="F106" s="21">
        <f>205*1000*PI()^2/F105^2</f>
        <v>15174.516766674889</v>
      </c>
      <c r="G106" s="17" t="s">
        <v>70</v>
      </c>
      <c r="H106" s="17"/>
    </row>
    <row r="107" spans="1:8" ht="14.65">
      <c r="A107" s="31" t="s">
        <v>71</v>
      </c>
      <c r="C107" s="17" t="s">
        <v>72</v>
      </c>
      <c r="F107" s="21">
        <f>IF(F106&lt;0.44*F93,0.877*F106,0.658^(F93/F106)*F93)</f>
        <v>331.91881674115956</v>
      </c>
      <c r="G107" s="17" t="s">
        <v>70</v>
      </c>
      <c r="H107" s="17"/>
    </row>
    <row r="108" spans="1:8">
      <c r="C108" s="17" t="s">
        <v>73</v>
      </c>
      <c r="H108" s="17"/>
    </row>
    <row r="109" spans="1:8">
      <c r="A109" s="17" t="s">
        <v>74</v>
      </c>
      <c r="C109" s="17" t="s">
        <v>75</v>
      </c>
      <c r="F109" s="21">
        <f>F107*F103/1000</f>
        <v>13241.445092974101</v>
      </c>
      <c r="G109" s="17" t="s">
        <v>37</v>
      </c>
      <c r="H109" s="17"/>
    </row>
    <row r="110" spans="1:8" ht="14.65">
      <c r="A110" s="17" t="s">
        <v>188</v>
      </c>
      <c r="C110" s="17" t="s">
        <v>77</v>
      </c>
      <c r="F110" s="21">
        <f>F109/F86</f>
        <v>7929.0090377090428</v>
      </c>
      <c r="G110" s="17" t="s">
        <v>37</v>
      </c>
      <c r="H110" s="17"/>
    </row>
    <row r="111" spans="1:8">
      <c r="A111" s="17" t="s">
        <v>102</v>
      </c>
      <c r="F111" s="18">
        <f>F87/F110</f>
        <v>0.45907376100705244</v>
      </c>
      <c r="H111" s="17"/>
    </row>
    <row r="112" spans="1:8">
      <c r="A112" s="17" t="s">
        <v>60</v>
      </c>
      <c r="F112" s="30" t="str">
        <f>IF(F110&gt;F87, "OK", "NG")</f>
        <v>OK</v>
      </c>
      <c r="H112" s="17"/>
    </row>
    <row r="113" spans="1:8">
      <c r="A113" s="33"/>
      <c r="F113" s="17"/>
      <c r="H113" s="30"/>
    </row>
  </sheetData>
  <phoneticPr fontId="62" type="noConversion"/>
  <pageMargins left="0.7" right="0.7" top="0.75" bottom="0.75" header="0.3" footer="0.3"/>
  <pageSetup paperSize="8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96"/>
  <sheetViews>
    <sheetView showGridLines="0" tabSelected="1" zoomScale="85" zoomScaleNormal="85" zoomScaleSheetLayoutView="100" zoomScalePageLayoutView="40" workbookViewId="0">
      <selection activeCell="I8" sqref="I8"/>
    </sheetView>
  </sheetViews>
  <sheetFormatPr defaultRowHeight="13.5"/>
  <cols>
    <col min="1" max="1" width="5.1328125" customWidth="1"/>
    <col min="2" max="2" width="5.3984375" customWidth="1"/>
    <col min="3" max="3" width="9.265625" customWidth="1"/>
    <col min="4" max="4" width="13.3984375" customWidth="1"/>
    <col min="5" max="5" width="10.3984375" customWidth="1"/>
    <col min="6" max="6" width="12.73046875" customWidth="1"/>
    <col min="7" max="7" width="12" customWidth="1"/>
    <col min="8" max="8" width="11.1328125" customWidth="1"/>
    <col min="9" max="9" width="11.265625" style="2" customWidth="1"/>
    <col min="10" max="11" width="11.265625" customWidth="1"/>
    <col min="12" max="12" width="11.86328125" customWidth="1"/>
    <col min="13" max="13" width="9.73046875" style="64" bestFit="1" customWidth="1"/>
  </cols>
  <sheetData>
    <row r="1" spans="1:14">
      <c r="A1" s="165" t="s">
        <v>663</v>
      </c>
      <c r="B1" s="166"/>
      <c r="C1" s="166"/>
      <c r="D1" s="166" t="s">
        <v>540</v>
      </c>
      <c r="E1" s="132"/>
      <c r="F1" s="133"/>
      <c r="G1" s="132"/>
      <c r="H1" s="134"/>
      <c r="I1" s="132"/>
      <c r="J1" s="135"/>
      <c r="K1" s="135"/>
      <c r="L1" s="136"/>
    </row>
    <row r="2" spans="1:14">
      <c r="A2" s="137"/>
      <c r="B2" s="106"/>
      <c r="C2" s="106"/>
      <c r="D2" s="106"/>
      <c r="E2" s="106"/>
      <c r="F2" s="106"/>
      <c r="G2" s="106"/>
      <c r="H2" s="106"/>
      <c r="I2" s="106"/>
      <c r="J2" s="112"/>
      <c r="K2" s="113"/>
      <c r="L2" s="138"/>
    </row>
    <row r="3" spans="1:14" ht="15">
      <c r="A3" s="137"/>
      <c r="B3" s="106"/>
      <c r="C3" s="106"/>
      <c r="D3" s="106"/>
      <c r="E3" s="164"/>
      <c r="F3" s="164"/>
      <c r="G3" s="163" t="s">
        <v>664</v>
      </c>
      <c r="H3" s="164"/>
      <c r="I3" s="164"/>
      <c r="J3" s="112"/>
      <c r="K3" s="113"/>
      <c r="L3" s="138"/>
    </row>
    <row r="4" spans="1:14" s="106" customFormat="1">
      <c r="A4" s="139"/>
      <c r="B4" s="111"/>
      <c r="C4" s="111"/>
      <c r="D4" s="112"/>
      <c r="E4" s="111"/>
      <c r="F4" s="2"/>
      <c r="G4" s="180"/>
      <c r="H4" s="110"/>
      <c r="I4" s="113"/>
      <c r="J4" s="112"/>
      <c r="K4" s="113"/>
      <c r="L4" s="138"/>
      <c r="M4" s="64"/>
    </row>
    <row r="5" spans="1:14" s="106" customFormat="1">
      <c r="A5" s="139"/>
      <c r="B5" s="111"/>
      <c r="C5" s="111"/>
      <c r="D5" s="111"/>
      <c r="E5" s="111"/>
      <c r="G5" s="113"/>
      <c r="H5" s="110"/>
      <c r="I5" s="113"/>
      <c r="J5" s="112"/>
      <c r="K5" s="113"/>
      <c r="L5" s="138"/>
      <c r="M5" s="64"/>
    </row>
    <row r="6" spans="1:14" s="106" customFormat="1">
      <c r="A6" s="139"/>
      <c r="B6" s="111"/>
      <c r="C6" s="111"/>
      <c r="D6" s="111"/>
      <c r="E6" s="111"/>
      <c r="G6" s="113"/>
      <c r="H6" s="110"/>
      <c r="I6" s="113"/>
      <c r="J6" s="112"/>
      <c r="K6" s="113"/>
      <c r="L6" s="138"/>
      <c r="M6" s="64"/>
    </row>
    <row r="7" spans="1:14" ht="17.649999999999999">
      <c r="A7" s="140">
        <v>1</v>
      </c>
      <c r="B7" s="85" t="s">
        <v>35</v>
      </c>
      <c r="C7" s="86"/>
      <c r="D7" s="86"/>
      <c r="E7" s="86"/>
      <c r="F7" s="86"/>
      <c r="G7" s="86"/>
      <c r="H7" s="87"/>
      <c r="I7" s="101"/>
      <c r="J7" s="87"/>
      <c r="K7" s="87"/>
      <c r="L7" s="141"/>
    </row>
    <row r="8" spans="1:14" ht="18.399999999999999">
      <c r="A8" s="142"/>
      <c r="B8" s="1" t="s">
        <v>665</v>
      </c>
      <c r="C8" s="10"/>
      <c r="D8" s="10"/>
      <c r="E8" s="10"/>
      <c r="F8" s="10"/>
      <c r="G8" s="10"/>
      <c r="H8" t="s">
        <v>666</v>
      </c>
      <c r="I8" s="119"/>
      <c r="J8" s="1" t="s">
        <v>37</v>
      </c>
      <c r="K8" s="22" t="s">
        <v>620</v>
      </c>
      <c r="L8" s="143" t="s">
        <v>667</v>
      </c>
    </row>
    <row r="9" spans="1:14" ht="18.399999999999999">
      <c r="A9" s="142"/>
      <c r="B9" s="1" t="s">
        <v>668</v>
      </c>
      <c r="C9" s="10"/>
      <c r="D9" s="10"/>
      <c r="E9" s="10"/>
      <c r="F9" s="10"/>
      <c r="G9" s="10"/>
      <c r="H9" s="129" t="s">
        <v>669</v>
      </c>
      <c r="I9" s="119"/>
      <c r="J9" t="s">
        <v>583</v>
      </c>
      <c r="L9" s="143"/>
    </row>
    <row r="10" spans="1:14" ht="18.399999999999999">
      <c r="A10" s="142"/>
      <c r="B10" s="1" t="s">
        <v>670</v>
      </c>
      <c r="C10" s="10"/>
      <c r="D10" s="10"/>
      <c r="E10" s="10"/>
      <c r="F10" s="10"/>
      <c r="G10" s="10"/>
      <c r="H10" t="s">
        <v>671</v>
      </c>
      <c r="I10" s="119"/>
      <c r="J10" s="1" t="s">
        <v>37</v>
      </c>
      <c r="K10" s="22" t="s">
        <v>620</v>
      </c>
      <c r="L10" s="143" t="s">
        <v>667</v>
      </c>
    </row>
    <row r="11" spans="1:14" ht="18.399999999999999">
      <c r="A11" s="142"/>
      <c r="B11" s="1" t="s">
        <v>672</v>
      </c>
      <c r="C11" s="10"/>
      <c r="D11" s="10"/>
      <c r="E11" s="10"/>
      <c r="F11" s="10"/>
      <c r="G11" s="10"/>
      <c r="H11" s="129" t="s">
        <v>673</v>
      </c>
      <c r="I11" s="119"/>
      <c r="J11" t="s">
        <v>583</v>
      </c>
      <c r="L11" s="143"/>
    </row>
    <row r="12" spans="1:14" ht="13.9" customHeight="1">
      <c r="A12" s="142"/>
      <c r="B12" s="1" t="s">
        <v>425</v>
      </c>
      <c r="C12" s="1"/>
      <c r="D12" s="1"/>
      <c r="E12" s="1"/>
      <c r="F12" s="1"/>
      <c r="G12" s="1"/>
      <c r="H12" s="127" t="s">
        <v>36</v>
      </c>
      <c r="I12" s="130">
        <f>(I8*SIN(I9*(PI()/180)))+(I10*SIN(I11*(PI()/180)))</f>
        <v>0</v>
      </c>
      <c r="J12" s="1" t="s">
        <v>37</v>
      </c>
      <c r="K12" s="124"/>
      <c r="L12" s="144"/>
      <c r="M12" s="64">
        <f>I12*0.2248</f>
        <v>0</v>
      </c>
      <c r="N12" t="s">
        <v>404</v>
      </c>
    </row>
    <row r="13" spans="1:14" ht="13.9" customHeight="1">
      <c r="A13" s="142"/>
      <c r="B13" s="1"/>
      <c r="C13" s="1"/>
      <c r="D13" s="1"/>
      <c r="E13" s="1"/>
      <c r="F13" s="1"/>
      <c r="G13" s="1"/>
      <c r="H13" s="127" t="s">
        <v>610</v>
      </c>
      <c r="I13" s="130">
        <f>(I8*COS(I9*(PI()/180)))+(I10*COS(I11*(PI()/180)))</f>
        <v>0</v>
      </c>
      <c r="J13" s="1" t="s">
        <v>37</v>
      </c>
      <c r="K13" s="124"/>
      <c r="L13" s="144"/>
    </row>
    <row r="14" spans="1:14" ht="14.65">
      <c r="A14" s="145"/>
      <c r="B14" s="1" t="s">
        <v>547</v>
      </c>
      <c r="H14" s="1" t="s">
        <v>39</v>
      </c>
      <c r="I14" s="120"/>
      <c r="J14" t="s">
        <v>2</v>
      </c>
      <c r="L14" s="143"/>
      <c r="M14" s="64">
        <f>I14/25.4</f>
        <v>0</v>
      </c>
      <c r="N14" t="s">
        <v>403</v>
      </c>
    </row>
    <row r="15" spans="1:14" ht="15.4">
      <c r="A15" s="145"/>
      <c r="B15" t="s">
        <v>546</v>
      </c>
      <c r="H15" s="63" t="s">
        <v>398</v>
      </c>
      <c r="I15" s="120"/>
      <c r="J15" t="s">
        <v>2</v>
      </c>
      <c r="L15" s="143"/>
      <c r="M15" s="64">
        <f>I15/25.4</f>
        <v>0</v>
      </c>
      <c r="N15" t="s">
        <v>403</v>
      </c>
    </row>
    <row r="16" spans="1:14" ht="15.4">
      <c r="A16" s="145"/>
      <c r="B16" t="s">
        <v>545</v>
      </c>
      <c r="H16" s="63"/>
      <c r="I16" s="30"/>
      <c r="L16" s="143"/>
    </row>
    <row r="17" spans="1:14">
      <c r="A17" s="145"/>
      <c r="B17" s="126" t="s">
        <v>593</v>
      </c>
      <c r="G17" s="11" t="s">
        <v>557</v>
      </c>
      <c r="H17" t="s">
        <v>565</v>
      </c>
      <c r="I17" s="120"/>
      <c r="J17" t="s">
        <v>2</v>
      </c>
      <c r="K17" s="128"/>
      <c r="L17" s="146"/>
    </row>
    <row r="18" spans="1:14">
      <c r="A18" s="145"/>
      <c r="B18" s="126" t="s">
        <v>674</v>
      </c>
      <c r="G18" s="11" t="s">
        <v>558</v>
      </c>
      <c r="H18" t="s">
        <v>564</v>
      </c>
      <c r="I18" s="120"/>
      <c r="J18" t="s">
        <v>2</v>
      </c>
      <c r="L18" s="143"/>
    </row>
    <row r="19" spans="1:14">
      <c r="A19" s="145"/>
      <c r="B19" s="126" t="s">
        <v>621</v>
      </c>
      <c r="G19" s="11" t="s">
        <v>559</v>
      </c>
      <c r="H19" s="126" t="s">
        <v>563</v>
      </c>
      <c r="I19" s="125">
        <f>I22*0.6*PI()*(I17^2-(I17-2*I18)^2)/4/1000</f>
        <v>0</v>
      </c>
      <c r="J19" t="s">
        <v>37</v>
      </c>
      <c r="K19" s="124" t="str">
        <f>IF(I12&lt;I19,"Okay","Not Okay")</f>
        <v>Not Okay</v>
      </c>
      <c r="L19" s="144" t="s">
        <v>566</v>
      </c>
    </row>
    <row r="20" spans="1:14" ht="17.649999999999999">
      <c r="A20" s="140">
        <v>2</v>
      </c>
      <c r="B20" s="85" t="s">
        <v>40</v>
      </c>
      <c r="C20" s="86"/>
      <c r="D20" s="85"/>
      <c r="E20" s="85"/>
      <c r="F20" s="87"/>
      <c r="G20" s="87"/>
      <c r="H20" s="87"/>
      <c r="I20" s="101"/>
      <c r="J20" s="87"/>
      <c r="K20" s="87"/>
      <c r="L20" s="141"/>
    </row>
    <row r="21" spans="1:14" ht="15.75">
      <c r="A21" s="147">
        <v>2.1</v>
      </c>
      <c r="B21" s="86" t="s">
        <v>41</v>
      </c>
      <c r="C21" s="86"/>
      <c r="D21" s="87"/>
      <c r="E21" s="87"/>
      <c r="F21" s="87"/>
      <c r="G21" s="87"/>
      <c r="H21" s="87"/>
      <c r="I21" s="101"/>
      <c r="J21" s="87"/>
      <c r="K21" s="87"/>
      <c r="L21" s="141"/>
    </row>
    <row r="22" spans="1:14" ht="16.5">
      <c r="A22" s="145"/>
      <c r="B22" t="s">
        <v>42</v>
      </c>
      <c r="H22" t="s">
        <v>413</v>
      </c>
      <c r="I22" s="120"/>
      <c r="J22" t="s">
        <v>44</v>
      </c>
      <c r="L22" s="143"/>
      <c r="M22" s="64">
        <f>I22/6.89</f>
        <v>0</v>
      </c>
      <c r="N22" t="s">
        <v>58</v>
      </c>
    </row>
    <row r="23" spans="1:14" ht="16.5">
      <c r="A23" s="145"/>
      <c r="B23" t="s">
        <v>365</v>
      </c>
      <c r="H23" t="s">
        <v>414</v>
      </c>
      <c r="I23" s="120"/>
      <c r="J23" t="s">
        <v>46</v>
      </c>
      <c r="L23" s="143"/>
      <c r="M23" s="64">
        <f>I23/6.89</f>
        <v>0</v>
      </c>
      <c r="N23" t="s">
        <v>58</v>
      </c>
    </row>
    <row r="24" spans="1:14" ht="15.75">
      <c r="A24" s="145"/>
      <c r="B24" t="s">
        <v>47</v>
      </c>
      <c r="H24" s="1" t="s">
        <v>367</v>
      </c>
      <c r="I24" s="181"/>
      <c r="J24" t="s">
        <v>2</v>
      </c>
      <c r="K24" s="59"/>
      <c r="L24" s="143"/>
      <c r="M24" s="64">
        <f t="shared" ref="M24:M31" si="0">I24/25.4</f>
        <v>0</v>
      </c>
      <c r="N24" t="s">
        <v>403</v>
      </c>
    </row>
    <row r="25" spans="1:14" ht="14.65">
      <c r="A25" s="145"/>
      <c r="B25" t="s">
        <v>48</v>
      </c>
      <c r="H25" s="1" t="s">
        <v>380</v>
      </c>
      <c r="I25" s="120"/>
      <c r="J25" t="s">
        <v>2</v>
      </c>
      <c r="L25" s="143"/>
      <c r="M25" s="64">
        <f t="shared" si="0"/>
        <v>0</v>
      </c>
      <c r="N25" t="s">
        <v>403</v>
      </c>
    </row>
    <row r="26" spans="1:14" ht="15.75">
      <c r="A26" s="145"/>
      <c r="B26" s="1" t="s">
        <v>49</v>
      </c>
      <c r="H26" s="1" t="s">
        <v>368</v>
      </c>
      <c r="I26" s="120"/>
      <c r="J26" t="s">
        <v>2</v>
      </c>
      <c r="L26" s="143"/>
      <c r="M26" s="64">
        <f t="shared" si="0"/>
        <v>0</v>
      </c>
      <c r="N26" t="s">
        <v>403</v>
      </c>
    </row>
    <row r="27" spans="1:14" ht="15.75">
      <c r="A27" s="145"/>
      <c r="B27" s="1" t="s">
        <v>50</v>
      </c>
      <c r="H27" s="1" t="s">
        <v>369</v>
      </c>
      <c r="I27" s="181"/>
      <c r="J27" t="s">
        <v>2</v>
      </c>
      <c r="L27" s="143"/>
      <c r="M27" s="64">
        <f t="shared" si="0"/>
        <v>0</v>
      </c>
      <c r="N27" t="s">
        <v>403</v>
      </c>
    </row>
    <row r="28" spans="1:14" ht="14.65">
      <c r="A28" s="145"/>
      <c r="B28" s="1" t="s">
        <v>550</v>
      </c>
      <c r="H28" s="1" t="s">
        <v>553</v>
      </c>
      <c r="I28" s="74">
        <f>(((I24*I26^3/12)+((I24*I26)*((I25/2)-(I26/2))^2))*2+(I27*(I25-I26-I26)^3/12))/(10)^4</f>
        <v>0</v>
      </c>
      <c r="J28" t="s">
        <v>551</v>
      </c>
      <c r="K28" s="122"/>
      <c r="L28" s="143"/>
    </row>
    <row r="29" spans="1:14" ht="14.65">
      <c r="A29" s="145"/>
      <c r="B29" s="1" t="s">
        <v>552</v>
      </c>
      <c r="H29" s="1" t="s">
        <v>554</v>
      </c>
      <c r="I29" s="74">
        <f>(((I26*I24^3/12)*2)+((I25-(2*I26))*I27^3/12))/(10)^4</f>
        <v>0</v>
      </c>
      <c r="J29" t="s">
        <v>551</v>
      </c>
      <c r="K29" s="122"/>
      <c r="L29" s="143"/>
    </row>
    <row r="30" spans="1:14" ht="14.65">
      <c r="A30" s="145"/>
      <c r="B30" s="1" t="s">
        <v>556</v>
      </c>
      <c r="H30" s="1"/>
      <c r="I30" s="181"/>
      <c r="J30" t="s">
        <v>2</v>
      </c>
      <c r="L30" s="143"/>
    </row>
    <row r="31" spans="1:14" ht="14.65">
      <c r="A31" s="145"/>
      <c r="B31" s="1" t="s">
        <v>381</v>
      </c>
      <c r="H31" s="1" t="s">
        <v>93</v>
      </c>
      <c r="I31" s="30">
        <f>I30+I26</f>
        <v>0</v>
      </c>
      <c r="J31" t="s">
        <v>2</v>
      </c>
      <c r="L31" s="143"/>
      <c r="M31" s="64">
        <f t="shared" si="0"/>
        <v>0</v>
      </c>
      <c r="N31" t="s">
        <v>403</v>
      </c>
    </row>
    <row r="32" spans="1:14" ht="16.5">
      <c r="A32" s="145"/>
      <c r="B32" s="1" t="s">
        <v>544</v>
      </c>
      <c r="H32" s="1" t="s">
        <v>51</v>
      </c>
      <c r="I32" s="61" t="e">
        <f>I28/(I25/20)</f>
        <v>#DIV/0!</v>
      </c>
      <c r="J32" t="s">
        <v>52</v>
      </c>
      <c r="L32" s="143"/>
    </row>
    <row r="33" spans="1:14" ht="14.65">
      <c r="A33" s="145"/>
      <c r="B33" s="1" t="s">
        <v>394</v>
      </c>
      <c r="H33" s="1" t="s">
        <v>392</v>
      </c>
      <c r="I33" s="61">
        <f>I25-2*I26</f>
        <v>0</v>
      </c>
      <c r="J33" t="s">
        <v>2</v>
      </c>
      <c r="L33" s="143"/>
      <c r="M33" s="64">
        <f t="shared" ref="M33:M34" si="1">I33/25.4</f>
        <v>0</v>
      </c>
      <c r="N33" t="s">
        <v>403</v>
      </c>
    </row>
    <row r="34" spans="1:14" ht="15.75">
      <c r="A34" s="145"/>
      <c r="B34" s="31" t="s">
        <v>393</v>
      </c>
      <c r="H34" s="1" t="s">
        <v>391</v>
      </c>
      <c r="I34" s="2">
        <f>I25-2*I31</f>
        <v>0</v>
      </c>
      <c r="J34" t="s">
        <v>2</v>
      </c>
      <c r="L34" s="143"/>
      <c r="M34" s="64">
        <f t="shared" si="1"/>
        <v>0</v>
      </c>
      <c r="N34" t="s">
        <v>403</v>
      </c>
    </row>
    <row r="35" spans="1:14" ht="14.65">
      <c r="A35" s="157"/>
      <c r="B35" s="159"/>
      <c r="C35" s="158"/>
      <c r="D35" s="158"/>
      <c r="E35" s="158"/>
      <c r="F35" s="158"/>
      <c r="G35" s="158"/>
      <c r="H35" s="159"/>
      <c r="I35" s="177"/>
      <c r="J35" s="158"/>
      <c r="K35" s="158"/>
      <c r="L35" s="162"/>
    </row>
    <row r="36" spans="1:14" ht="18">
      <c r="A36" s="167">
        <v>3</v>
      </c>
      <c r="B36" s="168" t="s">
        <v>112</v>
      </c>
      <c r="C36" s="169"/>
      <c r="D36" s="168"/>
      <c r="E36" s="168"/>
      <c r="F36" s="170"/>
      <c r="G36" s="170"/>
      <c r="H36" s="179"/>
      <c r="I36" s="171"/>
      <c r="J36" s="170"/>
      <c r="K36" s="170"/>
      <c r="L36" s="172"/>
    </row>
    <row r="37" spans="1:14" ht="15.75">
      <c r="A37" s="147">
        <v>3.1</v>
      </c>
      <c r="B37" s="86" t="s">
        <v>59</v>
      </c>
      <c r="C37" s="86"/>
      <c r="D37" s="86"/>
      <c r="E37" s="86"/>
      <c r="F37" s="86"/>
      <c r="G37" s="87"/>
      <c r="H37" s="87"/>
      <c r="I37" s="101"/>
      <c r="J37" s="87"/>
      <c r="K37" s="87"/>
      <c r="L37" s="141"/>
    </row>
    <row r="38" spans="1:14">
      <c r="A38" s="145"/>
      <c r="L38" s="143"/>
    </row>
    <row r="39" spans="1:14" ht="13.9">
      <c r="A39" s="145"/>
      <c r="B39" s="54" t="s">
        <v>370</v>
      </c>
      <c r="C39" s="121"/>
      <c r="D39" s="55" t="s">
        <v>548</v>
      </c>
      <c r="H39" s="11" t="s">
        <v>560</v>
      </c>
      <c r="I39" s="123"/>
      <c r="J39" t="s">
        <v>2</v>
      </c>
      <c r="L39" s="143"/>
      <c r="M39" s="64">
        <f>C39/25.4</f>
        <v>0</v>
      </c>
      <c r="N39" t="s">
        <v>403</v>
      </c>
    </row>
    <row r="40" spans="1:14" ht="13.9">
      <c r="A40" s="145"/>
      <c r="B40" s="54"/>
      <c r="C40" s="56"/>
      <c r="D40" s="55"/>
      <c r="H40" s="11" t="s">
        <v>561</v>
      </c>
      <c r="I40" s="123"/>
      <c r="J40" t="s">
        <v>2</v>
      </c>
      <c r="L40" s="143"/>
    </row>
    <row r="41" spans="1:14" ht="16.899999999999999">
      <c r="A41" s="145"/>
      <c r="B41" s="11" t="s">
        <v>372</v>
      </c>
      <c r="C41" t="s">
        <v>373</v>
      </c>
      <c r="D41" s="11" t="s">
        <v>374</v>
      </c>
      <c r="E41" t="s">
        <v>375</v>
      </c>
      <c r="H41" s="11" t="s">
        <v>562</v>
      </c>
      <c r="I41" s="60">
        <f>I14</f>
        <v>0</v>
      </c>
      <c r="J41" t="s">
        <v>2</v>
      </c>
      <c r="K41" s="60" t="s">
        <v>383</v>
      </c>
      <c r="L41" s="143"/>
    </row>
    <row r="42" spans="1:14">
      <c r="A42" s="145"/>
      <c r="B42" s="11"/>
      <c r="D42" s="11"/>
      <c r="K42" s="2"/>
      <c r="L42" s="143"/>
    </row>
    <row r="43" spans="1:14" ht="16.899999999999999">
      <c r="A43" s="145"/>
      <c r="B43" s="11" t="s">
        <v>376</v>
      </c>
      <c r="C43" t="s">
        <v>377</v>
      </c>
      <c r="D43" s="11" t="s">
        <v>374</v>
      </c>
      <c r="E43" t="s">
        <v>378</v>
      </c>
      <c r="K43" s="60" t="s">
        <v>384</v>
      </c>
      <c r="L43" s="143"/>
    </row>
    <row r="44" spans="1:14">
      <c r="A44" s="145"/>
      <c r="D44" s="11"/>
      <c r="L44" s="143"/>
    </row>
    <row r="45" spans="1:14" ht="15">
      <c r="A45" s="145"/>
      <c r="D45" s="11" t="s">
        <v>379</v>
      </c>
      <c r="E45" s="66">
        <f>IF(C39&gt;I25,I27*(I14+5*I31)*0.66*I22/1000,I27*(I14+2.5*I31)*0.66*I22/1000)</f>
        <v>0</v>
      </c>
      <c r="F45" t="s">
        <v>37</v>
      </c>
      <c r="L45" s="143"/>
      <c r="M45" s="64">
        <f>E45/4.448</f>
        <v>0</v>
      </c>
      <c r="N45" t="s">
        <v>404</v>
      </c>
    </row>
    <row r="46" spans="1:14" ht="16.5">
      <c r="A46" s="145"/>
      <c r="D46" s="11" t="s">
        <v>382</v>
      </c>
      <c r="E46" s="80" t="e">
        <f>I12/E45</f>
        <v>#DIV/0!</v>
      </c>
      <c r="G46" s="67" t="e">
        <f>IF(E46&lt;1,"a pair of stiffener is not required !","a pair of stiffeners is required !")</f>
        <v>#DIV/0!</v>
      </c>
      <c r="H46" s="59"/>
      <c r="L46" s="143"/>
    </row>
    <row r="47" spans="1:14">
      <c r="A47" s="145"/>
      <c r="D47" s="12"/>
      <c r="I47" s="15"/>
      <c r="L47" s="143"/>
    </row>
    <row r="48" spans="1:14" ht="15.75">
      <c r="A48" s="147">
        <v>3.2</v>
      </c>
      <c r="B48" s="86" t="s">
        <v>61</v>
      </c>
      <c r="C48" s="86"/>
      <c r="D48" s="86"/>
      <c r="E48" s="86"/>
      <c r="F48" s="86"/>
      <c r="G48" s="87"/>
      <c r="H48" s="87"/>
      <c r="I48" s="101"/>
      <c r="J48" s="87"/>
      <c r="K48" s="87"/>
      <c r="L48" s="141"/>
    </row>
    <row r="49" spans="1:14">
      <c r="A49" s="145"/>
      <c r="D49" s="13"/>
      <c r="L49" s="143"/>
    </row>
    <row r="50" spans="1:14" ht="16.899999999999999">
      <c r="A50" s="145"/>
      <c r="B50" s="11" t="s">
        <v>372</v>
      </c>
      <c r="C50" t="s">
        <v>385</v>
      </c>
      <c r="D50" s="11" t="s">
        <v>374</v>
      </c>
      <c r="E50" t="s">
        <v>386</v>
      </c>
      <c r="I50"/>
      <c r="K50" t="s">
        <v>390</v>
      </c>
      <c r="L50" s="143"/>
    </row>
    <row r="51" spans="1:14">
      <c r="A51" s="145"/>
      <c r="B51" s="11"/>
      <c r="D51" s="11"/>
      <c r="I51"/>
      <c r="L51" s="143"/>
    </row>
    <row r="52" spans="1:14" ht="16.899999999999999">
      <c r="A52" s="145"/>
      <c r="B52" s="11" t="s">
        <v>376</v>
      </c>
      <c r="C52" t="s">
        <v>387</v>
      </c>
      <c r="D52" s="11" t="s">
        <v>374</v>
      </c>
      <c r="E52" t="s">
        <v>388</v>
      </c>
      <c r="I52"/>
      <c r="K52" t="s">
        <v>389</v>
      </c>
      <c r="L52" s="143"/>
    </row>
    <row r="53" spans="1:14">
      <c r="A53" s="145"/>
      <c r="D53" s="13"/>
      <c r="L53" s="143"/>
    </row>
    <row r="54" spans="1:14" ht="15">
      <c r="A54" s="145"/>
      <c r="D54" s="11" t="s">
        <v>379</v>
      </c>
      <c r="E54" s="66" t="e">
        <f>IF(M39&gt;0.5*M25,67.5*M27^2*(1+3*(M14/M25)*(M27/M26)^1.5)*(M22*M26/M27)^0.5*4.448,34*M27^2*(1+3*(M14/M25)*(M27/M26)^1.5)*(M22*M26/M27)^0.5*4.448)</f>
        <v>#DIV/0!</v>
      </c>
      <c r="F54" t="s">
        <v>37</v>
      </c>
      <c r="L54" s="143"/>
      <c r="M54" s="64" t="e">
        <f>E54/4.448</f>
        <v>#DIV/0!</v>
      </c>
      <c r="N54" t="s">
        <v>404</v>
      </c>
    </row>
    <row r="55" spans="1:14" ht="16.5">
      <c r="A55" s="145"/>
      <c r="D55" s="11" t="s">
        <v>382</v>
      </c>
      <c r="E55" s="80" t="e">
        <f>I12/E54</f>
        <v>#DIV/0!</v>
      </c>
      <c r="G55" s="67" t="e">
        <f>IF(E55&lt;1,"a pair of stiffener is not required !","a pair of stiffeners is required !")</f>
        <v>#DIV/0!</v>
      </c>
      <c r="L55" s="143"/>
    </row>
    <row r="56" spans="1:14">
      <c r="A56" s="145"/>
      <c r="D56" s="13"/>
      <c r="L56" s="143"/>
    </row>
    <row r="57" spans="1:14" ht="15.75">
      <c r="A57" s="147">
        <v>3.3</v>
      </c>
      <c r="B57" s="86" t="s">
        <v>62</v>
      </c>
      <c r="C57" s="86"/>
      <c r="D57" s="86"/>
      <c r="E57" s="86"/>
      <c r="F57" s="86"/>
      <c r="G57" s="87"/>
      <c r="H57" s="87"/>
      <c r="I57" s="101"/>
      <c r="J57" s="87"/>
      <c r="K57" s="87"/>
      <c r="L57" s="141"/>
    </row>
    <row r="58" spans="1:14" ht="15" customHeight="1">
      <c r="A58" s="145"/>
      <c r="D58" s="13"/>
      <c r="I58" s="15"/>
      <c r="L58" s="143"/>
    </row>
    <row r="59" spans="1:14" ht="15" customHeight="1">
      <c r="A59" s="145"/>
      <c r="B59" s="54" t="s">
        <v>372</v>
      </c>
      <c r="C59" s="57" t="s">
        <v>395</v>
      </c>
      <c r="D59" s="57"/>
      <c r="E59" s="57"/>
      <c r="F59" s="57"/>
      <c r="I59" s="15"/>
      <c r="L59" s="143"/>
    </row>
    <row r="60" spans="1:14" ht="15" customHeight="1">
      <c r="A60" s="145"/>
      <c r="D60" s="13"/>
      <c r="I60" s="15"/>
      <c r="L60" s="143"/>
    </row>
    <row r="61" spans="1:14" ht="15" customHeight="1">
      <c r="A61" s="145"/>
      <c r="C61" s="57"/>
      <c r="D61" s="54" t="s">
        <v>402</v>
      </c>
      <c r="E61" s="16" t="e">
        <f>(I34/I27)/(I15/I24)</f>
        <v>#DIV/0!</v>
      </c>
      <c r="F61" s="2" t="e">
        <f>IF(E61&gt;G61,"&gt;","&lt;")</f>
        <v>#DIV/0!</v>
      </c>
      <c r="G61" s="2">
        <v>2.2999999999999998</v>
      </c>
      <c r="I61" s="15"/>
      <c r="L61" s="143"/>
    </row>
    <row r="62" spans="1:14" ht="15" customHeight="1">
      <c r="A62" s="145"/>
      <c r="D62" s="13"/>
      <c r="I62" s="15"/>
      <c r="L62" s="143"/>
    </row>
    <row r="63" spans="1:14" ht="15" customHeight="1">
      <c r="A63" s="145"/>
      <c r="D63" s="54" t="s">
        <v>374</v>
      </c>
      <c r="E63" s="192" t="s">
        <v>396</v>
      </c>
      <c r="F63" s="193"/>
      <c r="G63" s="193"/>
      <c r="H63" s="193"/>
      <c r="I63" s="62"/>
      <c r="K63" t="s">
        <v>400</v>
      </c>
      <c r="L63" s="143"/>
    </row>
    <row r="64" spans="1:14">
      <c r="A64" s="145"/>
      <c r="E64" s="13"/>
      <c r="I64"/>
      <c r="L64" s="143"/>
    </row>
    <row r="65" spans="1:17" ht="15">
      <c r="A65" s="145"/>
      <c r="D65" s="54" t="s">
        <v>374</v>
      </c>
      <c r="E65" s="194" t="e">
        <f>IF(E61&lt;2.3,6800*M27^3*(1+0.4*E61^3)/M33*4.448,"( need not be checked !)")</f>
        <v>#DIV/0!</v>
      </c>
      <c r="F65" s="194"/>
      <c r="I65"/>
      <c r="L65" s="143"/>
      <c r="M65" s="79" t="e">
        <f>IF(E65="( need not be checked !)",0.0001,E65/4.448)</f>
        <v>#DIV/0!</v>
      </c>
      <c r="N65" t="s">
        <v>404</v>
      </c>
    </row>
    <row r="66" spans="1:17" ht="16.5">
      <c r="A66" s="145"/>
      <c r="D66" s="11" t="s">
        <v>382</v>
      </c>
      <c r="E66" s="80" t="e">
        <f>IF(E65="( need not be checked !)","N/A",I12/E65)</f>
        <v>#DIV/0!</v>
      </c>
      <c r="G66" s="67" t="e">
        <f>IF(E61&gt;2.3,"a pair of stiffener is not required !",IF(E65&gt;I12,"a pair of stiffener is not required !","a pair of stiffeners is required !"))</f>
        <v>#DIV/0!</v>
      </c>
      <c r="I66" s="15"/>
      <c r="L66" s="143"/>
    </row>
    <row r="67" spans="1:17">
      <c r="A67" s="145"/>
      <c r="D67" s="13"/>
      <c r="I67" s="15"/>
      <c r="L67" s="143"/>
    </row>
    <row r="68" spans="1:17" ht="15.4">
      <c r="A68" s="145"/>
      <c r="B68" s="54" t="s">
        <v>376</v>
      </c>
      <c r="C68" s="57" t="s">
        <v>397</v>
      </c>
      <c r="D68" s="13"/>
      <c r="I68" s="15"/>
      <c r="L68" s="143"/>
    </row>
    <row r="69" spans="1:17">
      <c r="A69" s="145"/>
      <c r="D69" s="13"/>
      <c r="I69" s="15"/>
      <c r="L69" s="143"/>
    </row>
    <row r="70" spans="1:17" ht="15.4">
      <c r="A70" s="145"/>
      <c r="C70" s="57"/>
      <c r="D70" s="54" t="s">
        <v>402</v>
      </c>
      <c r="E70" s="16" t="e">
        <f>(I34/I27)/(I15/I24)</f>
        <v>#DIV/0!</v>
      </c>
      <c r="F70" s="2" t="e">
        <f>IF(E70&gt;G70,"&gt;","&lt;")</f>
        <v>#DIV/0!</v>
      </c>
      <c r="G70" s="2">
        <v>1.7</v>
      </c>
      <c r="I70" s="15"/>
      <c r="L70" s="143"/>
    </row>
    <row r="71" spans="1:17">
      <c r="A71" s="145"/>
      <c r="D71" s="13"/>
      <c r="I71" s="15"/>
      <c r="L71" s="143"/>
    </row>
    <row r="72" spans="1:17" ht="17.25">
      <c r="A72" s="145"/>
      <c r="D72" s="54" t="s">
        <v>374</v>
      </c>
      <c r="E72" s="55" t="s">
        <v>399</v>
      </c>
      <c r="F72" s="55"/>
      <c r="G72" s="55"/>
      <c r="H72" s="60"/>
      <c r="I72" s="60"/>
      <c r="K72" t="s">
        <v>401</v>
      </c>
      <c r="L72" s="143"/>
    </row>
    <row r="73" spans="1:17">
      <c r="A73" s="145"/>
      <c r="D73" s="13"/>
      <c r="I73" s="15"/>
      <c r="L73" s="143"/>
    </row>
    <row r="74" spans="1:17" ht="15">
      <c r="A74" s="145"/>
      <c r="D74" s="54" t="s">
        <v>374</v>
      </c>
      <c r="E74" s="194" t="e">
        <f>IF(E70&lt;1.7,6800*M27^3*(0.4*E70^3)/M33*4.448,"( need not be checked !)")</f>
        <v>#DIV/0!</v>
      </c>
      <c r="F74" s="194"/>
      <c r="I74" s="15"/>
      <c r="L74" s="143"/>
      <c r="M74" s="79" t="e">
        <f>IF(E74="( need not be checked !)",0.0001,E74/4.448)</f>
        <v>#DIV/0!</v>
      </c>
      <c r="N74" t="s">
        <v>404</v>
      </c>
    </row>
    <row r="75" spans="1:17" ht="16.5">
      <c r="A75" s="145"/>
      <c r="D75" s="11" t="s">
        <v>382</v>
      </c>
      <c r="E75" s="80" t="e">
        <f>IF(E74="( need not be checked !)","N/A",I12/E74)</f>
        <v>#DIV/0!</v>
      </c>
      <c r="G75" s="67" t="e">
        <f>IF(E70&gt;1.7,"a pair of stiffener is not required !",IF(E74&gt;I12,"a pair of stiffener is not required !","a pair of stiffeners is required !"))</f>
        <v>#DIV/0!</v>
      </c>
      <c r="I75" s="15"/>
      <c r="L75" s="143"/>
    </row>
    <row r="76" spans="1:17">
      <c r="A76" s="145"/>
      <c r="D76" s="13"/>
      <c r="I76" s="15"/>
      <c r="L76" s="143"/>
    </row>
    <row r="77" spans="1:17" ht="15.75">
      <c r="A77" s="147">
        <v>3.4</v>
      </c>
      <c r="B77" s="86" t="s">
        <v>405</v>
      </c>
      <c r="C77" s="87"/>
      <c r="D77" s="88"/>
      <c r="E77" s="87"/>
      <c r="F77" s="87"/>
      <c r="G77" s="87"/>
      <c r="H77" s="87"/>
      <c r="I77" s="103"/>
      <c r="J77" s="87"/>
      <c r="K77" s="87"/>
      <c r="L77" s="141"/>
    </row>
    <row r="78" spans="1:17">
      <c r="A78" s="145"/>
      <c r="D78" s="13"/>
      <c r="I78" s="15"/>
      <c r="L78" s="143"/>
    </row>
    <row r="79" spans="1:17" ht="16.899999999999999">
      <c r="A79" s="145"/>
      <c r="D79" s="54" t="s">
        <v>406</v>
      </c>
      <c r="E79" s="55" t="s">
        <v>407</v>
      </c>
      <c r="I79"/>
      <c r="K79" t="s">
        <v>409</v>
      </c>
      <c r="L79" s="143"/>
      <c r="M79" s="109"/>
      <c r="N79" s="64"/>
      <c r="Q79" s="66"/>
    </row>
    <row r="80" spans="1:17" ht="13.9">
      <c r="A80" s="145"/>
      <c r="D80" s="57"/>
      <c r="E80" s="65"/>
      <c r="I80"/>
      <c r="J80" s="15"/>
      <c r="L80" s="143"/>
      <c r="M80" s="109"/>
      <c r="N80" s="64"/>
    </row>
    <row r="81" spans="1:14" ht="15.4">
      <c r="A81" s="145"/>
      <c r="D81" s="54" t="s">
        <v>374</v>
      </c>
      <c r="E81" s="55" t="s">
        <v>408</v>
      </c>
      <c r="I81"/>
      <c r="J81" s="15"/>
      <c r="L81" s="143"/>
      <c r="M81" s="109"/>
      <c r="N81" s="64"/>
    </row>
    <row r="82" spans="1:14">
      <c r="A82" s="145"/>
      <c r="E82" s="13"/>
      <c r="I82"/>
      <c r="J82" s="15"/>
      <c r="L82" s="143"/>
      <c r="M82" s="109"/>
      <c r="N82" s="64"/>
    </row>
    <row r="83" spans="1:14" ht="15">
      <c r="A83" s="145"/>
      <c r="D83" s="54" t="s">
        <v>374</v>
      </c>
      <c r="E83" s="195" t="e">
        <f>0.6*4100*M27^3*M22^0.5/M34*4.448</f>
        <v>#DIV/0!</v>
      </c>
      <c r="F83" s="195"/>
      <c r="I83"/>
      <c r="J83" s="15"/>
      <c r="L83" s="143"/>
      <c r="M83" s="64" t="e">
        <f>IF(E83="( need not be checked !)",0.0001,E83/4.448)</f>
        <v>#DIV/0!</v>
      </c>
      <c r="N83" t="s">
        <v>404</v>
      </c>
    </row>
    <row r="84" spans="1:14" ht="16.5">
      <c r="A84" s="145"/>
      <c r="D84" s="11" t="s">
        <v>382</v>
      </c>
      <c r="E84" s="80" t="e">
        <f>I12/E83</f>
        <v>#DIV/0!</v>
      </c>
      <c r="G84" s="67" t="e">
        <f>IF(E84&lt;1,"a pair of stiffener is not required !","a pair of stiffeners is required !")</f>
        <v>#DIV/0!</v>
      </c>
      <c r="I84"/>
      <c r="J84" s="15"/>
      <c r="L84" s="143"/>
      <c r="M84" s="109"/>
      <c r="N84" s="64"/>
    </row>
    <row r="85" spans="1:14">
      <c r="A85" s="145"/>
      <c r="D85" s="13"/>
      <c r="I85" s="15"/>
      <c r="L85" s="143"/>
    </row>
    <row r="86" spans="1:14" ht="15.75">
      <c r="A86" s="147">
        <v>3.4</v>
      </c>
      <c r="B86" s="86" t="s">
        <v>410</v>
      </c>
      <c r="C86" s="87"/>
      <c r="D86" s="88"/>
      <c r="E86" s="87"/>
      <c r="F86" s="87"/>
      <c r="G86" s="87"/>
      <c r="H86" s="87"/>
      <c r="I86" s="103"/>
      <c r="J86" s="87"/>
      <c r="K86" s="87"/>
      <c r="L86" s="141"/>
    </row>
    <row r="87" spans="1:14">
      <c r="A87" s="145"/>
      <c r="D87" s="13"/>
      <c r="I87" s="15"/>
      <c r="L87" s="143"/>
    </row>
    <row r="88" spans="1:14" ht="16.899999999999999">
      <c r="A88" s="145"/>
      <c r="D88" s="54" t="s">
        <v>411</v>
      </c>
      <c r="E88" s="57" t="s">
        <v>412</v>
      </c>
      <c r="F88" s="57"/>
      <c r="I88" s="15"/>
      <c r="K88" t="s">
        <v>419</v>
      </c>
      <c r="L88" s="143"/>
    </row>
    <row r="89" spans="1:14" ht="15">
      <c r="A89" s="145"/>
      <c r="D89" s="54" t="s">
        <v>417</v>
      </c>
      <c r="E89" s="54" t="s">
        <v>418</v>
      </c>
      <c r="I89" s="15"/>
      <c r="L89" s="143"/>
    </row>
    <row r="90" spans="1:14">
      <c r="A90" s="145"/>
      <c r="I90" s="15"/>
      <c r="L90" s="143"/>
    </row>
    <row r="91" spans="1:14" ht="16.899999999999999">
      <c r="A91" s="145"/>
      <c r="D91" s="54" t="s">
        <v>411</v>
      </c>
      <c r="E91" s="68" t="e">
        <f>(5/3*M12-M22*M27*(M26+5*M31))/M97*25.4^2</f>
        <v>#DIV/0!</v>
      </c>
      <c r="F91" t="s">
        <v>65</v>
      </c>
      <c r="G91" s="67" t="e">
        <f>IF(E91&lt;0,"a pair of stiffener is not required !","a pair of stiffeners is required !")</f>
        <v>#DIV/0!</v>
      </c>
      <c r="I91" s="15"/>
      <c r="L91" s="143"/>
      <c r="M91" s="64" t="e">
        <f>E91/25.4^2</f>
        <v>#DIV/0!</v>
      </c>
      <c r="N91" t="s">
        <v>448</v>
      </c>
    </row>
    <row r="92" spans="1:14">
      <c r="A92" s="145"/>
      <c r="I92" s="15"/>
      <c r="L92" s="143"/>
    </row>
    <row r="93" spans="1:14">
      <c r="A93" s="157"/>
      <c r="B93" s="158"/>
      <c r="C93" s="158"/>
      <c r="D93" s="158"/>
      <c r="E93" s="158"/>
      <c r="F93" s="158"/>
      <c r="G93" s="158"/>
      <c r="H93" s="158"/>
      <c r="I93" s="175"/>
      <c r="J93" s="158"/>
      <c r="K93" s="158"/>
      <c r="L93" s="162"/>
    </row>
    <row r="94" spans="1:14" ht="17.649999999999999">
      <c r="A94" s="167">
        <v>4</v>
      </c>
      <c r="B94" s="168" t="s">
        <v>423</v>
      </c>
      <c r="C94" s="170"/>
      <c r="D94" s="170"/>
      <c r="E94" s="170"/>
      <c r="F94" s="170"/>
      <c r="G94" s="170"/>
      <c r="H94" s="170"/>
      <c r="I94" s="176"/>
      <c r="J94" s="170"/>
      <c r="K94" s="170"/>
      <c r="L94" s="172"/>
    </row>
    <row r="95" spans="1:14" ht="15.75">
      <c r="A95" s="148"/>
      <c r="B95" s="86" t="s">
        <v>424</v>
      </c>
      <c r="C95" s="87"/>
      <c r="D95" s="88"/>
      <c r="E95" s="87"/>
      <c r="F95" s="87"/>
      <c r="G95" s="87"/>
      <c r="H95" s="87"/>
      <c r="I95" s="103"/>
      <c r="J95" s="87"/>
      <c r="K95" s="87"/>
      <c r="L95" s="141"/>
    </row>
    <row r="96" spans="1:14" ht="15.75">
      <c r="A96" s="147">
        <v>4.0999999999999996</v>
      </c>
      <c r="B96" s="86" t="s">
        <v>54</v>
      </c>
      <c r="C96" s="87"/>
      <c r="D96" s="88"/>
      <c r="E96" s="87"/>
      <c r="F96" s="87"/>
      <c r="G96" s="87"/>
      <c r="H96" s="87"/>
      <c r="I96" s="103"/>
      <c r="J96" s="87"/>
      <c r="K96" s="87"/>
      <c r="L96" s="141"/>
    </row>
    <row r="97" spans="1:14" ht="16.5">
      <c r="A97" s="145"/>
      <c r="B97" t="s">
        <v>55</v>
      </c>
      <c r="H97" t="s">
        <v>415</v>
      </c>
      <c r="I97" s="3"/>
      <c r="J97" t="s">
        <v>44</v>
      </c>
      <c r="L97" s="143"/>
      <c r="M97" s="64">
        <f t="shared" ref="M97:M99" si="2">I97/6.89</f>
        <v>0</v>
      </c>
      <c r="N97" t="s">
        <v>58</v>
      </c>
    </row>
    <row r="98" spans="1:14" ht="16.5">
      <c r="A98" s="145"/>
      <c r="B98" t="s">
        <v>365</v>
      </c>
      <c r="H98" t="s">
        <v>416</v>
      </c>
      <c r="I98" s="3"/>
      <c r="J98" t="s">
        <v>46</v>
      </c>
      <c r="L98" s="143"/>
      <c r="M98" s="64">
        <f t="shared" si="2"/>
        <v>0</v>
      </c>
      <c r="N98" t="s">
        <v>58</v>
      </c>
    </row>
    <row r="99" spans="1:14" ht="16.5">
      <c r="A99" s="145"/>
      <c r="B99" t="s">
        <v>508</v>
      </c>
      <c r="H99" t="s">
        <v>465</v>
      </c>
      <c r="I99" s="3"/>
      <c r="J99" t="s">
        <v>46</v>
      </c>
      <c r="L99" s="143"/>
      <c r="M99" s="64">
        <f t="shared" si="2"/>
        <v>0</v>
      </c>
      <c r="N99" t="s">
        <v>58</v>
      </c>
    </row>
    <row r="100" spans="1:14" ht="16.5">
      <c r="A100" s="145"/>
      <c r="B100" t="s">
        <v>509</v>
      </c>
      <c r="H100" s="60" t="s">
        <v>449</v>
      </c>
      <c r="I100" s="30">
        <f>25*I27</f>
        <v>0</v>
      </c>
      <c r="J100" t="s">
        <v>2</v>
      </c>
      <c r="L100" s="143"/>
      <c r="M100" s="64">
        <f>I100/25.4</f>
        <v>0</v>
      </c>
      <c r="N100" t="s">
        <v>403</v>
      </c>
    </row>
    <row r="101" spans="1:14" ht="16.5">
      <c r="A101" s="145"/>
      <c r="B101" t="s">
        <v>507</v>
      </c>
      <c r="D101" s="13"/>
      <c r="H101" t="s">
        <v>510</v>
      </c>
      <c r="I101" s="3"/>
      <c r="J101" t="s">
        <v>2</v>
      </c>
      <c r="L101" s="143"/>
      <c r="M101" s="64">
        <f t="shared" ref="M101:M102" si="3">I101/25.4</f>
        <v>0</v>
      </c>
      <c r="N101" t="s">
        <v>403</v>
      </c>
    </row>
    <row r="102" spans="1:14" ht="16.5">
      <c r="A102" s="145"/>
      <c r="D102" s="13"/>
      <c r="H102" t="s">
        <v>511</v>
      </c>
      <c r="I102" s="3"/>
      <c r="J102" t="s">
        <v>2</v>
      </c>
      <c r="L102" s="143"/>
      <c r="M102" s="64">
        <f t="shared" si="3"/>
        <v>0</v>
      </c>
      <c r="N102" t="s">
        <v>403</v>
      </c>
    </row>
    <row r="103" spans="1:14">
      <c r="A103" s="145"/>
      <c r="D103" s="13"/>
      <c r="I103" s="15"/>
      <c r="L103" s="143"/>
    </row>
    <row r="104" spans="1:14" ht="13.9">
      <c r="A104" s="145"/>
      <c r="B104" s="57"/>
      <c r="C104" s="57"/>
      <c r="D104" s="70"/>
      <c r="E104" s="57"/>
      <c r="I104" s="15"/>
      <c r="L104" s="143"/>
    </row>
    <row r="105" spans="1:14" ht="13.9">
      <c r="A105" s="145"/>
      <c r="B105" s="57"/>
      <c r="C105" s="65"/>
      <c r="D105" s="57"/>
      <c r="E105" s="54"/>
      <c r="I105" s="15"/>
      <c r="L105" s="143"/>
    </row>
    <row r="106" spans="1:14" ht="13.9">
      <c r="A106" s="145"/>
      <c r="B106" s="54"/>
      <c r="D106" s="71"/>
      <c r="E106" s="65"/>
      <c r="I106" s="15"/>
      <c r="L106" s="143"/>
    </row>
    <row r="107" spans="1:14" ht="13.9">
      <c r="A107" s="145"/>
      <c r="C107" s="57"/>
      <c r="D107" s="54"/>
      <c r="E107" s="57"/>
      <c r="I107" s="15"/>
      <c r="L107" s="143"/>
    </row>
    <row r="108" spans="1:14" ht="13.9">
      <c r="A108" s="145"/>
      <c r="B108" s="57"/>
      <c r="C108" s="57"/>
      <c r="D108" s="71"/>
      <c r="E108" s="54"/>
      <c r="I108" s="15"/>
      <c r="L108" s="143"/>
    </row>
    <row r="109" spans="1:14" ht="13.9">
      <c r="A109" s="149"/>
      <c r="C109" s="57"/>
      <c r="D109" s="70"/>
      <c r="E109" s="196"/>
      <c r="I109" s="15"/>
      <c r="L109" s="143"/>
    </row>
    <row r="110" spans="1:14" ht="13.9">
      <c r="A110" s="145"/>
      <c r="B110" s="57"/>
      <c r="C110" s="57"/>
      <c r="D110" s="54"/>
      <c r="E110" s="197"/>
      <c r="I110" s="15"/>
      <c r="L110" s="143"/>
    </row>
    <row r="111" spans="1:14" ht="13.9">
      <c r="A111" s="145"/>
      <c r="B111" s="57"/>
      <c r="C111" s="57"/>
      <c r="D111" s="57"/>
      <c r="E111" s="57"/>
      <c r="I111" s="15"/>
      <c r="L111" s="143"/>
    </row>
    <row r="112" spans="1:14" ht="13.9">
      <c r="A112" s="145"/>
      <c r="B112" s="55"/>
      <c r="D112" s="72"/>
      <c r="E112" s="57"/>
      <c r="I112" s="15"/>
      <c r="L112" s="143"/>
    </row>
    <row r="113" spans="1:14" ht="13.9">
      <c r="A113" s="145"/>
      <c r="B113" s="57"/>
      <c r="C113" s="57"/>
      <c r="D113" s="57"/>
      <c r="E113" s="57"/>
      <c r="I113" s="15"/>
      <c r="L113" s="143"/>
    </row>
    <row r="114" spans="1:14" ht="13.9">
      <c r="A114" s="145"/>
      <c r="B114" s="57"/>
      <c r="C114" s="54"/>
      <c r="D114" s="56"/>
      <c r="E114" s="57"/>
      <c r="I114" s="15"/>
      <c r="L114" s="143"/>
    </row>
    <row r="115" spans="1:14" ht="13.9">
      <c r="A115" s="145"/>
      <c r="C115" s="54"/>
      <c r="D115" s="56"/>
      <c r="E115" s="55"/>
      <c r="I115" s="15"/>
      <c r="L115" s="143"/>
    </row>
    <row r="116" spans="1:14" ht="15" customHeight="1">
      <c r="A116" s="145"/>
      <c r="B116" s="57"/>
      <c r="C116" s="55"/>
      <c r="D116" s="73"/>
      <c r="E116" s="55"/>
      <c r="I116" s="15"/>
      <c r="J116" s="70" t="s">
        <v>627</v>
      </c>
      <c r="L116" s="143"/>
    </row>
    <row r="117" spans="1:14" ht="15.75">
      <c r="A117" s="147">
        <v>4.2</v>
      </c>
      <c r="B117" s="86" t="s">
        <v>434</v>
      </c>
      <c r="C117" s="87"/>
      <c r="D117" s="87"/>
      <c r="E117" s="87"/>
      <c r="F117" s="87"/>
      <c r="G117" s="87"/>
      <c r="H117" s="87"/>
      <c r="I117" s="103"/>
      <c r="J117" s="87"/>
      <c r="K117" s="87"/>
      <c r="L117" s="141"/>
    </row>
    <row r="118" spans="1:14" ht="16.5">
      <c r="A118" s="145"/>
      <c r="C118" s="11" t="s">
        <v>435</v>
      </c>
      <c r="D118" t="s">
        <v>436</v>
      </c>
      <c r="I118"/>
      <c r="J118" s="15"/>
      <c r="L118" s="143"/>
      <c r="M118" s="109"/>
      <c r="N118" s="64"/>
    </row>
    <row r="119" spans="1:14">
      <c r="A119" s="145"/>
      <c r="C119" s="11" t="s">
        <v>437</v>
      </c>
      <c r="D119" s="2">
        <f>I24/3-I27/2</f>
        <v>0</v>
      </c>
      <c r="E119" t="s">
        <v>2</v>
      </c>
      <c r="F119" t="s">
        <v>440</v>
      </c>
      <c r="I119"/>
      <c r="J119" s="15"/>
      <c r="L119" s="143"/>
      <c r="M119" s="109"/>
      <c r="N119" s="64"/>
    </row>
    <row r="120" spans="1:14" ht="16.5">
      <c r="A120" s="145"/>
      <c r="C120" s="11" t="s">
        <v>427</v>
      </c>
      <c r="D120" t="s">
        <v>439</v>
      </c>
      <c r="E120" s="13"/>
      <c r="I120"/>
      <c r="J120" s="15"/>
      <c r="L120" s="143"/>
      <c r="M120" s="109"/>
      <c r="N120" s="64"/>
    </row>
    <row r="121" spans="1:14">
      <c r="A121" s="145"/>
      <c r="C121" s="11" t="s">
        <v>437</v>
      </c>
      <c r="D121" s="107">
        <f>(I24-I27)/2-25.4</f>
        <v>-25.4</v>
      </c>
      <c r="E121" t="s">
        <v>2</v>
      </c>
      <c r="F121" s="12" t="str">
        <f>IF(D121&gt;D119,"OK","NOT OK")</f>
        <v>NOT OK</v>
      </c>
      <c r="I121"/>
      <c r="J121" s="15"/>
      <c r="L121" s="143"/>
      <c r="M121" s="64">
        <f>D121/25.4</f>
        <v>-1</v>
      </c>
      <c r="N121" t="s">
        <v>403</v>
      </c>
    </row>
    <row r="122" spans="1:14">
      <c r="A122" s="145"/>
      <c r="E122" s="13"/>
      <c r="I122"/>
      <c r="J122" s="15"/>
      <c r="L122" s="143"/>
    </row>
    <row r="123" spans="1:14" ht="15.75">
      <c r="A123" s="147">
        <v>4.3</v>
      </c>
      <c r="B123" s="86" t="s">
        <v>447</v>
      </c>
      <c r="C123" s="87"/>
      <c r="D123" s="88"/>
      <c r="E123" s="87"/>
      <c r="F123" s="87"/>
      <c r="G123" s="87"/>
      <c r="H123" s="87"/>
      <c r="I123" s="103"/>
      <c r="J123" s="87"/>
      <c r="K123" s="87"/>
      <c r="L123" s="141"/>
      <c r="M123" s="109"/>
    </row>
    <row r="124" spans="1:14" ht="14.65">
      <c r="A124" s="145"/>
      <c r="B124" s="1" t="s">
        <v>438</v>
      </c>
      <c r="E124" s="13"/>
      <c r="I124"/>
      <c r="J124" s="15"/>
      <c r="L124" s="143"/>
    </row>
    <row r="125" spans="1:14" ht="16.899999999999999">
      <c r="A125" s="145"/>
      <c r="C125" s="11" t="s">
        <v>442</v>
      </c>
      <c r="D125" t="s">
        <v>426</v>
      </c>
      <c r="E125" s="13"/>
      <c r="I125"/>
      <c r="K125" t="s">
        <v>445</v>
      </c>
      <c r="L125" s="143"/>
      <c r="M125" s="109"/>
    </row>
    <row r="126" spans="1:14" ht="16.899999999999999">
      <c r="A126" s="145"/>
      <c r="C126" s="11" t="s">
        <v>443</v>
      </c>
      <c r="D126" t="s">
        <v>441</v>
      </c>
      <c r="E126" s="13"/>
      <c r="I126"/>
      <c r="J126" s="15"/>
      <c r="L126" s="143"/>
    </row>
    <row r="127" spans="1:14">
      <c r="A127" s="145"/>
      <c r="C127" s="11" t="s">
        <v>437</v>
      </c>
      <c r="D127" s="74" t="e">
        <f>M121/(95/M97^0.5)*25.4</f>
        <v>#DIV/0!</v>
      </c>
      <c r="E127" s="17" t="s">
        <v>2</v>
      </c>
      <c r="F127" t="s">
        <v>440</v>
      </c>
      <c r="I127"/>
      <c r="J127" s="15"/>
      <c r="L127" s="143"/>
    </row>
    <row r="128" spans="1:14" ht="16.5">
      <c r="A128" s="145"/>
      <c r="C128" s="11" t="s">
        <v>444</v>
      </c>
      <c r="D128" s="108"/>
      <c r="E128" s="17" t="s">
        <v>2</v>
      </c>
      <c r="F128" s="12" t="e">
        <f>IF(D128&gt;D127,"OK","NOT OK")</f>
        <v>#DIV/0!</v>
      </c>
      <c r="I128"/>
      <c r="J128" s="15"/>
      <c r="L128" s="143"/>
      <c r="M128" s="64">
        <f>D128/25.4</f>
        <v>0</v>
      </c>
      <c r="N128" t="s">
        <v>403</v>
      </c>
    </row>
    <row r="129" spans="1:14">
      <c r="A129" s="145"/>
      <c r="E129" s="13"/>
      <c r="I129"/>
      <c r="J129" s="15"/>
      <c r="L129" s="143"/>
    </row>
    <row r="130" spans="1:14" ht="15.75">
      <c r="A130" s="147">
        <v>4.4000000000000004</v>
      </c>
      <c r="B130" s="86" t="s">
        <v>446</v>
      </c>
      <c r="C130" s="87"/>
      <c r="D130" s="88"/>
      <c r="E130" s="87"/>
      <c r="F130" s="87"/>
      <c r="G130" s="87"/>
      <c r="H130" s="87"/>
      <c r="I130" s="103"/>
      <c r="J130" s="87"/>
      <c r="K130" s="87"/>
      <c r="L130" s="141"/>
      <c r="M130" s="109"/>
    </row>
    <row r="131" spans="1:14" ht="12" customHeight="1">
      <c r="A131" s="145"/>
      <c r="D131" s="13"/>
      <c r="L131" s="143"/>
      <c r="M131" s="109"/>
    </row>
    <row r="132" spans="1:14" ht="27">
      <c r="A132" s="145"/>
      <c r="B132" s="95" t="s">
        <v>500</v>
      </c>
      <c r="C132" s="96" t="s">
        <v>505</v>
      </c>
      <c r="D132" s="96" t="s">
        <v>506</v>
      </c>
      <c r="E132" s="95" t="s">
        <v>514</v>
      </c>
      <c r="F132" s="95" t="s">
        <v>512</v>
      </c>
      <c r="G132" s="96" t="s">
        <v>515</v>
      </c>
      <c r="H132" s="95" t="s">
        <v>513</v>
      </c>
      <c r="I132" s="96" t="s">
        <v>516</v>
      </c>
      <c r="J132" s="95" t="s">
        <v>517</v>
      </c>
      <c r="K132" s="95" t="s">
        <v>518</v>
      </c>
      <c r="L132" s="143"/>
      <c r="M132" s="109"/>
    </row>
    <row r="133" spans="1:14" ht="16.5">
      <c r="A133" s="145"/>
      <c r="B133" s="91" t="s">
        <v>504</v>
      </c>
      <c r="C133" s="50">
        <f>I27</f>
        <v>0</v>
      </c>
      <c r="D133" s="92">
        <f>I100</f>
        <v>0</v>
      </c>
      <c r="E133" s="92">
        <f>C133*D133</f>
        <v>0</v>
      </c>
      <c r="F133" s="92">
        <v>0</v>
      </c>
      <c r="G133" s="93">
        <f>E133*F133^2</f>
        <v>0</v>
      </c>
      <c r="H133" s="92">
        <v>0</v>
      </c>
      <c r="I133" s="93">
        <f>E133*H133^2</f>
        <v>0</v>
      </c>
      <c r="J133" s="93">
        <f>G133+1/12*C133*D133^3</f>
        <v>0</v>
      </c>
      <c r="K133" s="93">
        <f>I133+1/12*D133*C133^3</f>
        <v>0</v>
      </c>
      <c r="L133" s="150"/>
      <c r="M133" s="109"/>
    </row>
    <row r="134" spans="1:14">
      <c r="A134" s="145"/>
      <c r="B134" s="91" t="s">
        <v>501</v>
      </c>
      <c r="C134" s="50">
        <v>20</v>
      </c>
      <c r="D134" s="94">
        <f>IF(C134=0,0,D121)</f>
        <v>-25.4</v>
      </c>
      <c r="E134" s="94">
        <f>2*C134*D134</f>
        <v>-1016</v>
      </c>
      <c r="F134" s="92">
        <f>I101</f>
        <v>0</v>
      </c>
      <c r="G134" s="93">
        <f t="shared" ref="G134:G136" si="4">E134*F134^2</f>
        <v>0</v>
      </c>
      <c r="H134" s="92">
        <f>IF(C134=0,0,D134/2+C133/2)</f>
        <v>-12.7</v>
      </c>
      <c r="I134" s="93">
        <f t="shared" ref="I134:I136" si="5">E134*H134^2</f>
        <v>-163870.63999999998</v>
      </c>
      <c r="J134" s="93">
        <f>G134+2*(1/12*D134*C134^3)</f>
        <v>-33866.666666666657</v>
      </c>
      <c r="K134" s="93">
        <f>I134+2*(1/12*C134*D134^3)</f>
        <v>-218494.18666666665</v>
      </c>
      <c r="L134" s="150"/>
      <c r="M134" s="109"/>
    </row>
    <row r="135" spans="1:14">
      <c r="A135" s="145"/>
      <c r="B135" s="91" t="s">
        <v>502</v>
      </c>
      <c r="C135" s="50">
        <v>0</v>
      </c>
      <c r="D135" s="94">
        <f>D121</f>
        <v>-25.4</v>
      </c>
      <c r="E135" s="92">
        <f t="shared" ref="E135:E136" si="6">2*C135*D135</f>
        <v>0</v>
      </c>
      <c r="F135" s="92">
        <v>0</v>
      </c>
      <c r="G135" s="93">
        <f t="shared" si="4"/>
        <v>0</v>
      </c>
      <c r="H135" s="92">
        <f>D135/2+C133/2</f>
        <v>-12.7</v>
      </c>
      <c r="I135" s="93">
        <f t="shared" si="5"/>
        <v>0</v>
      </c>
      <c r="J135" s="93">
        <f t="shared" ref="J135:J136" si="7">G135+2*(1/12*D135*C135^3)</f>
        <v>0</v>
      </c>
      <c r="K135" s="93">
        <f>I135+2*(1/12*C135*D135^3)</f>
        <v>0</v>
      </c>
      <c r="L135" s="150"/>
      <c r="M135" s="109"/>
    </row>
    <row r="136" spans="1:14">
      <c r="A136" s="145"/>
      <c r="B136" s="91" t="s">
        <v>503</v>
      </c>
      <c r="C136" s="50">
        <v>20</v>
      </c>
      <c r="D136" s="94">
        <f>IF(C136=0,0,D121)</f>
        <v>-25.4</v>
      </c>
      <c r="E136" s="92">
        <f t="shared" si="6"/>
        <v>-1016</v>
      </c>
      <c r="F136" s="92">
        <f>I102</f>
        <v>0</v>
      </c>
      <c r="G136" s="93">
        <f t="shared" si="4"/>
        <v>0</v>
      </c>
      <c r="H136" s="92">
        <f>IF(C136=0,0,D136/2+C133/2)</f>
        <v>-12.7</v>
      </c>
      <c r="I136" s="93">
        <f t="shared" si="5"/>
        <v>-163870.63999999998</v>
      </c>
      <c r="J136" s="93">
        <f t="shared" si="7"/>
        <v>-33866.666666666657</v>
      </c>
      <c r="K136" s="93">
        <f t="shared" ref="K136" si="8">I136+2*(1/12*C136*D136^3)</f>
        <v>-218494.18666666665</v>
      </c>
      <c r="L136" s="150"/>
      <c r="M136" s="109"/>
    </row>
    <row r="137" spans="1:14" ht="16.5">
      <c r="A137" s="145"/>
      <c r="B137" s="91"/>
      <c r="C137" s="91"/>
      <c r="D137" s="97" t="s">
        <v>520</v>
      </c>
      <c r="E137" s="98">
        <f>SUM(E133:E136)</f>
        <v>-2032</v>
      </c>
      <c r="F137" s="92"/>
      <c r="G137" s="92"/>
      <c r="H137" s="92"/>
      <c r="I137" s="99" t="s">
        <v>523</v>
      </c>
      <c r="J137" s="97">
        <f>SUM(J133:J136)</f>
        <v>-67733.333333333314</v>
      </c>
      <c r="K137" s="97">
        <f>SUM(K133:K136)</f>
        <v>-436988.37333333329</v>
      </c>
      <c r="L137" s="150"/>
      <c r="M137" s="109"/>
    </row>
    <row r="138" spans="1:14" ht="11.25" customHeight="1">
      <c r="A138" s="145"/>
      <c r="D138" s="13"/>
      <c r="L138" s="143"/>
      <c r="M138" s="109"/>
    </row>
    <row r="139" spans="1:14" ht="16.899999999999999">
      <c r="A139" s="145"/>
      <c r="B139" t="s">
        <v>451</v>
      </c>
      <c r="F139" t="s">
        <v>519</v>
      </c>
      <c r="I139" s="30">
        <f>E137</f>
        <v>-2032</v>
      </c>
      <c r="J139" t="s">
        <v>65</v>
      </c>
      <c r="L139" s="143"/>
      <c r="M139" s="64">
        <f>I139/25.4^2</f>
        <v>-3.1496062992125986</v>
      </c>
      <c r="N139" t="s">
        <v>448</v>
      </c>
    </row>
    <row r="140" spans="1:14" ht="16.899999999999999">
      <c r="A140" s="145"/>
      <c r="B140" t="s">
        <v>453</v>
      </c>
      <c r="D140" s="13"/>
      <c r="F140" t="s">
        <v>522</v>
      </c>
      <c r="I140" s="82">
        <f>J137</f>
        <v>-67733.333333333314</v>
      </c>
      <c r="J140" t="s">
        <v>66</v>
      </c>
      <c r="L140" s="143"/>
      <c r="M140" s="64">
        <f>I140/25.4^4</f>
        <v>-0.16272998425261939</v>
      </c>
      <c r="N140" t="s">
        <v>458</v>
      </c>
    </row>
    <row r="141" spans="1:14" ht="16.899999999999999">
      <c r="A141" s="145"/>
      <c r="B141" t="s">
        <v>454</v>
      </c>
      <c r="F141" t="s">
        <v>455</v>
      </c>
      <c r="I141" s="61">
        <f>(I140/I139)^0.5</f>
        <v>5.7735026918962564</v>
      </c>
      <c r="J141" t="s">
        <v>2</v>
      </c>
      <c r="L141" s="143"/>
      <c r="M141" s="64">
        <f>I141/25.4</f>
        <v>0.2273032555864668</v>
      </c>
      <c r="N141" t="s">
        <v>403</v>
      </c>
    </row>
    <row r="142" spans="1:14" ht="16.899999999999999">
      <c r="A142" s="145"/>
      <c r="B142" t="s">
        <v>453</v>
      </c>
      <c r="D142" s="13"/>
      <c r="F142" t="s">
        <v>521</v>
      </c>
      <c r="I142" s="82">
        <f>K137</f>
        <v>-436988.37333333329</v>
      </c>
      <c r="J142" t="s">
        <v>66</v>
      </c>
      <c r="L142" s="143"/>
      <c r="M142" s="64">
        <f>I142/25.4^4</f>
        <v>-1.0498687664041995</v>
      </c>
      <c r="N142" t="s">
        <v>458</v>
      </c>
    </row>
    <row r="143" spans="1:14" ht="16.899999999999999">
      <c r="A143" s="157"/>
      <c r="B143" s="158" t="s">
        <v>454</v>
      </c>
      <c r="C143" s="158"/>
      <c r="D143" s="173"/>
      <c r="E143" s="158"/>
      <c r="F143" s="158" t="s">
        <v>456</v>
      </c>
      <c r="G143" s="158"/>
      <c r="H143" s="158"/>
      <c r="I143" s="177">
        <f>(I142/I139)^0.5</f>
        <v>14.664696837416495</v>
      </c>
      <c r="J143" s="158" t="s">
        <v>2</v>
      </c>
      <c r="K143" s="158"/>
      <c r="L143" s="162"/>
      <c r="M143" s="64">
        <f>I143/25.4</f>
        <v>0.57735026918962584</v>
      </c>
      <c r="N143" t="s">
        <v>403</v>
      </c>
    </row>
    <row r="144" spans="1:14" ht="15.75">
      <c r="A144" s="174">
        <v>4.5</v>
      </c>
      <c r="B144" s="169" t="s">
        <v>461</v>
      </c>
      <c r="C144" s="170"/>
      <c r="D144" s="178"/>
      <c r="E144" s="170"/>
      <c r="F144" s="170"/>
      <c r="G144" s="170"/>
      <c r="H144" s="170"/>
      <c r="I144" s="176"/>
      <c r="J144" s="170"/>
      <c r="K144" s="170"/>
      <c r="L144" s="172"/>
    </row>
    <row r="145" spans="1:14">
      <c r="A145" s="145"/>
      <c r="B145" s="81" t="s">
        <v>476</v>
      </c>
      <c r="D145" s="13"/>
      <c r="I145" s="15"/>
      <c r="L145" s="143"/>
    </row>
    <row r="146" spans="1:14">
      <c r="A146" s="145"/>
      <c r="B146" s="25"/>
      <c r="D146" s="13"/>
      <c r="I146" s="15"/>
      <c r="L146" s="143"/>
    </row>
    <row r="147" spans="1:14">
      <c r="A147" s="145"/>
      <c r="C147" t="s">
        <v>466</v>
      </c>
      <c r="D147" s="7">
        <f>D165*D166/D167</f>
        <v>0</v>
      </c>
      <c r="E147" s="7" t="e">
        <f>IF(D147&lt;F147,"&lt;","&gt;")</f>
        <v>#DIV/0!</v>
      </c>
      <c r="F147" s="7" t="e">
        <f>D164</f>
        <v>#DIV/0!</v>
      </c>
      <c r="I147" s="15"/>
      <c r="L147" s="143"/>
      <c r="M147" s="64">
        <f>D147/25.4</f>
        <v>0</v>
      </c>
      <c r="N147" t="s">
        <v>403</v>
      </c>
    </row>
    <row r="148" spans="1:14">
      <c r="A148" s="145"/>
      <c r="D148" s="7"/>
      <c r="E148" s="7"/>
      <c r="F148" s="7"/>
      <c r="I148" s="15"/>
      <c r="L148" s="143"/>
    </row>
    <row r="149" spans="1:14" ht="15.4">
      <c r="A149" s="145"/>
      <c r="B149" t="s">
        <v>372</v>
      </c>
      <c r="C149" t="s">
        <v>462</v>
      </c>
      <c r="K149" t="s">
        <v>482</v>
      </c>
      <c r="L149" s="143"/>
    </row>
    <row r="150" spans="1:14" ht="13.9">
      <c r="A150" s="145"/>
      <c r="C150" s="54"/>
      <c r="D150" s="13"/>
      <c r="F150" s="54"/>
      <c r="I150"/>
      <c r="L150" s="143"/>
    </row>
    <row r="151" spans="1:14" ht="15.4">
      <c r="A151" s="145"/>
      <c r="C151" s="11" t="s">
        <v>470</v>
      </c>
      <c r="D151" s="191" t="s">
        <v>471</v>
      </c>
      <c r="E151" s="191"/>
      <c r="F151" s="191"/>
      <c r="I151"/>
      <c r="L151" s="143"/>
    </row>
    <row r="152" spans="1:14" ht="15.4">
      <c r="A152" s="145"/>
      <c r="D152" s="190" t="s">
        <v>472</v>
      </c>
      <c r="E152" s="190"/>
      <c r="F152" s="190"/>
      <c r="I152"/>
      <c r="L152" s="143"/>
    </row>
    <row r="153" spans="1:14">
      <c r="A153" s="145"/>
      <c r="D153" s="13"/>
      <c r="L153" s="143"/>
    </row>
    <row r="154" spans="1:14">
      <c r="A154" s="145"/>
      <c r="C154" s="11" t="s">
        <v>437</v>
      </c>
      <c r="D154" s="78" t="e">
        <f>IF(D147&lt;F147,(((1-M147^2/(2*D164^2))*M97)/(5/3+3/8*(M147/D164)-(M147^3)/(8*D164^3)))*6.89476,"N/A")</f>
        <v>#DIV/0!</v>
      </c>
      <c r="L154" s="143"/>
      <c r="M154" s="79" t="e">
        <f>IF(D154="N/A","N/A",D154/6.89)</f>
        <v>#DIV/0!</v>
      </c>
      <c r="N154" t="s">
        <v>58</v>
      </c>
    </row>
    <row r="155" spans="1:14">
      <c r="A155" s="145"/>
      <c r="D155" s="13"/>
      <c r="L155" s="143"/>
      <c r="M155" s="79"/>
    </row>
    <row r="156" spans="1:14" ht="15.4">
      <c r="A156" s="145"/>
      <c r="B156" t="s">
        <v>372</v>
      </c>
      <c r="C156" t="s">
        <v>468</v>
      </c>
      <c r="D156" s="13"/>
      <c r="I156"/>
      <c r="K156" t="s">
        <v>483</v>
      </c>
      <c r="L156" s="143"/>
      <c r="M156" s="79"/>
    </row>
    <row r="157" spans="1:14">
      <c r="A157" s="145"/>
      <c r="D157" s="13"/>
      <c r="I157"/>
      <c r="L157" s="143"/>
      <c r="M157" s="79"/>
    </row>
    <row r="158" spans="1:14" ht="16.149999999999999">
      <c r="A158" s="145"/>
      <c r="C158" s="11" t="s">
        <v>470</v>
      </c>
      <c r="D158" s="77" t="s">
        <v>473</v>
      </c>
      <c r="I158"/>
      <c r="L158" s="143"/>
      <c r="M158" s="79"/>
    </row>
    <row r="159" spans="1:14" ht="15.4">
      <c r="A159" s="145"/>
      <c r="D159" s="30" t="s">
        <v>474</v>
      </c>
      <c r="I159"/>
      <c r="L159" s="143"/>
      <c r="M159" s="79"/>
    </row>
    <row r="160" spans="1:14">
      <c r="A160" s="145"/>
      <c r="C160" s="11" t="s">
        <v>437</v>
      </c>
      <c r="D160" s="78" t="e">
        <f>IF(D147&lt;F147,"N/A",12*PI()^2*M99/(23*M147^2)*6.89476)</f>
        <v>#DIV/0!</v>
      </c>
      <c r="I160" s="15"/>
      <c r="L160" s="143"/>
      <c r="M160" s="79" t="e">
        <f>IF(D160="N/A","N/A",D160/6.89)</f>
        <v>#DIV/0!</v>
      </c>
      <c r="N160" t="s">
        <v>58</v>
      </c>
    </row>
    <row r="161" spans="1:14">
      <c r="A161" s="145"/>
      <c r="D161" s="13"/>
      <c r="I161" s="15"/>
      <c r="L161" s="143"/>
      <c r="M161" s="79"/>
    </row>
    <row r="162" spans="1:14">
      <c r="A162" s="145"/>
      <c r="B162" t="s">
        <v>469</v>
      </c>
      <c r="D162" s="13"/>
      <c r="I162" s="15"/>
      <c r="L162" s="143"/>
      <c r="M162" s="79"/>
    </row>
    <row r="163" spans="1:14">
      <c r="A163" s="145"/>
      <c r="C163" s="11" t="s">
        <v>463</v>
      </c>
      <c r="D163" s="30">
        <v>1</v>
      </c>
      <c r="L163" s="143"/>
    </row>
    <row r="164" spans="1:14" ht="16.5">
      <c r="A164" s="145"/>
      <c r="C164" s="11" t="s">
        <v>475</v>
      </c>
      <c r="D164" s="7" t="e">
        <f>(2*PI()^2*M99/(D163*M97))^0.5</f>
        <v>#DIV/0!</v>
      </c>
      <c r="E164" s="60" t="s">
        <v>481</v>
      </c>
      <c r="L164" s="143"/>
    </row>
    <row r="165" spans="1:14">
      <c r="A165" s="145"/>
      <c r="C165" s="11" t="s">
        <v>93</v>
      </c>
      <c r="D165" s="120"/>
      <c r="L165" s="143"/>
    </row>
    <row r="166" spans="1:14">
      <c r="A166" s="145"/>
      <c r="C166" s="11" t="s">
        <v>467</v>
      </c>
      <c r="D166" s="74">
        <f>I33</f>
        <v>0</v>
      </c>
      <c r="E166" t="s">
        <v>2</v>
      </c>
      <c r="L166" s="143"/>
      <c r="M166" s="64">
        <f>D166/25.4</f>
        <v>0</v>
      </c>
      <c r="N166" t="s">
        <v>403</v>
      </c>
    </row>
    <row r="167" spans="1:14">
      <c r="A167" s="145"/>
      <c r="C167" s="11" t="s">
        <v>134</v>
      </c>
      <c r="D167" s="7">
        <f>IF(I141&lt;I143,I141,I143)</f>
        <v>5.7735026918962564</v>
      </c>
      <c r="E167" t="s">
        <v>2</v>
      </c>
      <c r="L167" s="143"/>
      <c r="M167" s="64">
        <f>D167/25.4</f>
        <v>0.2273032555864668</v>
      </c>
      <c r="N167" t="s">
        <v>403</v>
      </c>
    </row>
    <row r="168" spans="1:14">
      <c r="A168" s="145"/>
      <c r="D168" s="13"/>
      <c r="I168" s="15"/>
      <c r="L168" s="143"/>
    </row>
    <row r="169" spans="1:14">
      <c r="A169" s="145"/>
      <c r="B169" s="81" t="s">
        <v>480</v>
      </c>
      <c r="D169" s="13"/>
      <c r="I169" s="15"/>
      <c r="L169" s="143"/>
    </row>
    <row r="170" spans="1:14" ht="16.5">
      <c r="A170" s="145"/>
      <c r="C170" s="11" t="s">
        <v>477</v>
      </c>
      <c r="D170" s="2" t="s">
        <v>478</v>
      </c>
      <c r="I170"/>
      <c r="L170" s="143"/>
      <c r="M170" s="109"/>
    </row>
    <row r="171" spans="1:14">
      <c r="A171" s="145"/>
      <c r="C171" s="11" t="s">
        <v>437</v>
      </c>
      <c r="D171" s="7">
        <f>I12/I139*1000</f>
        <v>0</v>
      </c>
      <c r="E171" t="s">
        <v>46</v>
      </c>
      <c r="I171"/>
      <c r="L171" s="143"/>
      <c r="M171" s="109"/>
    </row>
    <row r="172" spans="1:14">
      <c r="A172" s="145"/>
      <c r="I172"/>
      <c r="L172" s="143"/>
      <c r="M172" s="109"/>
    </row>
    <row r="173" spans="1:14" ht="16.5">
      <c r="A173" s="145"/>
      <c r="C173" s="11" t="s">
        <v>479</v>
      </c>
      <c r="D173" s="80" t="e">
        <f>D171/D154</f>
        <v>#DIV/0!</v>
      </c>
      <c r="F173" s="12" t="e">
        <f>IF(D173&lt;1,"OK","NOT OK")</f>
        <v>#DIV/0!</v>
      </c>
      <c r="I173"/>
      <c r="L173" s="143"/>
      <c r="M173" s="109"/>
    </row>
    <row r="174" spans="1:14">
      <c r="A174" s="145"/>
      <c r="C174" s="11"/>
      <c r="D174" s="80"/>
      <c r="F174" s="12"/>
      <c r="I174"/>
      <c r="L174" s="143"/>
      <c r="M174" s="109"/>
    </row>
    <row r="175" spans="1:14" ht="15.75">
      <c r="A175" s="147">
        <v>4.5999999999999996</v>
      </c>
      <c r="B175" s="86" t="s">
        <v>485</v>
      </c>
      <c r="C175" s="87"/>
      <c r="D175" s="87"/>
      <c r="E175" s="87"/>
      <c r="F175" s="87"/>
      <c r="G175" s="87"/>
      <c r="H175" s="87"/>
      <c r="I175" s="87"/>
      <c r="J175" s="87"/>
      <c r="K175" s="87"/>
      <c r="L175" s="141"/>
      <c r="M175" s="109"/>
    </row>
    <row r="176" spans="1:14">
      <c r="A176" s="151"/>
      <c r="B176" s="89" t="s">
        <v>524</v>
      </c>
      <c r="C176" s="89"/>
      <c r="D176" s="89"/>
      <c r="E176" s="89"/>
      <c r="F176" s="89"/>
      <c r="G176" s="89"/>
      <c r="H176" s="89"/>
      <c r="I176" s="89"/>
      <c r="J176" s="89"/>
      <c r="K176" s="89"/>
      <c r="L176" s="152"/>
      <c r="M176" s="109"/>
    </row>
    <row r="177" spans="1:14">
      <c r="A177" s="153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154"/>
      <c r="M177" s="109"/>
    </row>
    <row r="178" spans="1:14" ht="16.5">
      <c r="A178" s="145"/>
      <c r="B178" s="1" t="s">
        <v>110</v>
      </c>
      <c r="H178" t="s">
        <v>486</v>
      </c>
      <c r="I178" s="181"/>
      <c r="J178" t="s">
        <v>2</v>
      </c>
      <c r="K178" s="17" t="s">
        <v>111</v>
      </c>
      <c r="L178" s="143"/>
      <c r="M178" s="64">
        <f t="shared" ref="M178:M179" si="9">I178/25.4</f>
        <v>0</v>
      </c>
      <c r="N178" t="s">
        <v>403</v>
      </c>
    </row>
    <row r="179" spans="1:14" ht="16.5">
      <c r="A179" s="145"/>
      <c r="B179" s="1"/>
      <c r="H179" t="s">
        <v>567</v>
      </c>
      <c r="I179" s="120"/>
      <c r="J179" t="s">
        <v>2</v>
      </c>
      <c r="K179" s="17" t="s">
        <v>675</v>
      </c>
      <c r="L179" s="143"/>
      <c r="M179" s="64">
        <f t="shared" si="9"/>
        <v>0</v>
      </c>
      <c r="N179" t="s">
        <v>403</v>
      </c>
    </row>
    <row r="180" spans="1:14" ht="16.5">
      <c r="A180" s="145"/>
      <c r="B180" s="1" t="s">
        <v>56</v>
      </c>
      <c r="H180" t="s">
        <v>487</v>
      </c>
      <c r="I180" s="181"/>
      <c r="J180" t="s">
        <v>2</v>
      </c>
      <c r="K180" s="17" t="s">
        <v>111</v>
      </c>
      <c r="L180" s="143"/>
      <c r="M180" s="64">
        <f>I180/25.4</f>
        <v>0</v>
      </c>
      <c r="N180" t="s">
        <v>403</v>
      </c>
    </row>
    <row r="181" spans="1:14" ht="15.75">
      <c r="A181" s="145"/>
      <c r="B181" s="1" t="s">
        <v>676</v>
      </c>
      <c r="H181" s="1" t="s">
        <v>366</v>
      </c>
      <c r="I181" s="120"/>
      <c r="J181" t="s">
        <v>46</v>
      </c>
      <c r="L181" s="155"/>
      <c r="M181" s="64">
        <f t="shared" ref="M181:M182" si="10">I181/6.89</f>
        <v>0</v>
      </c>
      <c r="N181" t="s">
        <v>58</v>
      </c>
    </row>
    <row r="182" spans="1:14" ht="15.75">
      <c r="A182" s="145"/>
      <c r="B182" s="1" t="s">
        <v>488</v>
      </c>
      <c r="H182" s="100" t="s">
        <v>493</v>
      </c>
      <c r="I182" s="7">
        <f>0.3*I181</f>
        <v>0</v>
      </c>
      <c r="J182" t="s">
        <v>46</v>
      </c>
      <c r="L182" s="143"/>
      <c r="M182" s="64">
        <f t="shared" si="10"/>
        <v>0</v>
      </c>
      <c r="N182" t="s">
        <v>58</v>
      </c>
    </row>
    <row r="183" spans="1:14">
      <c r="A183" s="145"/>
      <c r="I183"/>
      <c r="L183" s="143"/>
      <c r="M183" s="109"/>
    </row>
    <row r="184" spans="1:14">
      <c r="A184" s="151" t="s">
        <v>498</v>
      </c>
      <c r="B184" s="89" t="s">
        <v>612</v>
      </c>
      <c r="C184" s="87"/>
      <c r="D184" s="87"/>
      <c r="E184" s="87"/>
      <c r="F184" s="87"/>
      <c r="G184" s="87"/>
      <c r="H184" s="87"/>
      <c r="I184" s="87"/>
      <c r="J184" s="87"/>
      <c r="K184" s="87"/>
      <c r="L184" s="141"/>
      <c r="M184" s="109"/>
    </row>
    <row r="185" spans="1:14">
      <c r="A185" s="145"/>
      <c r="I185"/>
      <c r="L185" s="143"/>
      <c r="M185" s="109"/>
    </row>
    <row r="186" spans="1:14" ht="16.899999999999999">
      <c r="A186" s="145"/>
      <c r="B186" t="s">
        <v>613</v>
      </c>
      <c r="G186" t="s">
        <v>586</v>
      </c>
      <c r="I186" s="7">
        <f>(2*6*0.707*I178*D121)+(2*6*I179*D121)</f>
        <v>0</v>
      </c>
      <c r="J186" t="s">
        <v>65</v>
      </c>
      <c r="L186" s="143"/>
      <c r="M186" s="64">
        <f>I186/25.4^2</f>
        <v>0</v>
      </c>
      <c r="N186" t="s">
        <v>448</v>
      </c>
    </row>
    <row r="187" spans="1:14" ht="16.5">
      <c r="A187" s="145"/>
      <c r="B187" s="22"/>
      <c r="G187" t="s">
        <v>611</v>
      </c>
      <c r="I187" s="7" t="e">
        <f>I13/I186*1000</f>
        <v>#DIV/0!</v>
      </c>
      <c r="J187" t="s">
        <v>46</v>
      </c>
      <c r="L187" s="143"/>
      <c r="M187" s="64" t="e">
        <f t="shared" ref="M187" si="11">I187/6.89</f>
        <v>#DIV/0!</v>
      </c>
      <c r="N187" t="s">
        <v>58</v>
      </c>
    </row>
    <row r="188" spans="1:14" ht="15.75">
      <c r="A188" s="145"/>
      <c r="G188" s="1" t="s">
        <v>494</v>
      </c>
      <c r="I188" s="80" t="e">
        <f>I187/I182</f>
        <v>#DIV/0!</v>
      </c>
      <c r="K188" s="12" t="e">
        <f>IF(I188&lt;1,"OK","NOT OK")</f>
        <v>#DIV/0!</v>
      </c>
      <c r="L188" s="143"/>
      <c r="M188" s="109"/>
    </row>
    <row r="189" spans="1:14">
      <c r="A189" s="145"/>
      <c r="L189" s="143"/>
      <c r="M189" s="109"/>
    </row>
    <row r="190" spans="1:14">
      <c r="A190" s="151" t="s">
        <v>499</v>
      </c>
      <c r="B190" s="89" t="s">
        <v>78</v>
      </c>
      <c r="C190" s="87"/>
      <c r="D190" s="87"/>
      <c r="E190" s="87"/>
      <c r="F190" s="87"/>
      <c r="G190" s="87"/>
      <c r="H190" s="87"/>
      <c r="I190" s="101"/>
      <c r="J190" s="87"/>
      <c r="K190" s="87"/>
      <c r="L190" s="141"/>
      <c r="M190" s="109"/>
    </row>
    <row r="191" spans="1:14" ht="16.5">
      <c r="A191" s="156"/>
      <c r="B191" t="s">
        <v>614</v>
      </c>
      <c r="G191" t="s">
        <v>615</v>
      </c>
      <c r="I191" s="74" t="e">
        <f>I12-((MIN(M45,M54,M65,M74,M83))*4.448)</f>
        <v>#DIV/0!</v>
      </c>
      <c r="J191" t="s">
        <v>37</v>
      </c>
      <c r="L191" s="143"/>
      <c r="M191" s="109"/>
    </row>
    <row r="192" spans="1:14" ht="16.899999999999999">
      <c r="A192" s="145"/>
      <c r="B192" t="s">
        <v>497</v>
      </c>
      <c r="G192" t="s">
        <v>587</v>
      </c>
      <c r="I192" s="7">
        <f>2*3*0.707*I180*I33</f>
        <v>0</v>
      </c>
      <c r="J192" t="s">
        <v>65</v>
      </c>
      <c r="L192" s="143"/>
      <c r="M192" s="64">
        <f>I192/25.4^2</f>
        <v>0</v>
      </c>
      <c r="N192" t="s">
        <v>448</v>
      </c>
    </row>
    <row r="193" spans="1:14" ht="16.5">
      <c r="A193" s="145"/>
      <c r="G193" t="s">
        <v>616</v>
      </c>
      <c r="I193" s="7" t="e">
        <f>I191/I192*1000</f>
        <v>#DIV/0!</v>
      </c>
      <c r="J193" t="s">
        <v>46</v>
      </c>
      <c r="L193" s="143"/>
      <c r="M193" s="64" t="e">
        <f t="shared" ref="M193" si="12">I193/6.89</f>
        <v>#DIV/0!</v>
      </c>
      <c r="N193" t="s">
        <v>58</v>
      </c>
    </row>
    <row r="194" spans="1:14" ht="15.75">
      <c r="A194" s="157"/>
      <c r="B194" s="158"/>
      <c r="C194" s="158"/>
      <c r="D194" s="158"/>
      <c r="E194" s="158"/>
      <c r="F194" s="158"/>
      <c r="G194" s="159" t="s">
        <v>495</v>
      </c>
      <c r="H194" s="158"/>
      <c r="I194" s="160" t="e">
        <f>I193/I182</f>
        <v>#DIV/0!</v>
      </c>
      <c r="J194" s="158"/>
      <c r="K194" s="161" t="e">
        <f>IF(I194&lt;1,"OK","NOT OK")</f>
        <v>#DIV/0!</v>
      </c>
      <c r="L194" s="162"/>
      <c r="M194" s="109"/>
    </row>
    <row r="195" spans="1:14">
      <c r="I195"/>
      <c r="M195"/>
    </row>
    <row r="196" spans="1:14">
      <c r="I196"/>
      <c r="M196"/>
    </row>
  </sheetData>
  <mergeCells count="7">
    <mergeCell ref="D152:F152"/>
    <mergeCell ref="D151:F151"/>
    <mergeCell ref="E63:H63"/>
    <mergeCell ref="E65:F65"/>
    <mergeCell ref="E74:F74"/>
    <mergeCell ref="E83:F83"/>
    <mergeCell ref="E109:E110"/>
  </mergeCells>
  <phoneticPr fontId="62" type="noConversion"/>
  <conditionalFormatting sqref="D173:D174">
    <cfRule type="cellIs" dxfId="123" priority="12" operator="greaterThan">
      <formula>1</formula>
    </cfRule>
  </conditionalFormatting>
  <conditionalFormatting sqref="E46">
    <cfRule type="cellIs" dxfId="122" priority="21" operator="greaterThan">
      <formula>1</formula>
    </cfRule>
  </conditionalFormatting>
  <conditionalFormatting sqref="E55">
    <cfRule type="cellIs" dxfId="121" priority="22" operator="greaterThan">
      <formula>1</formula>
    </cfRule>
  </conditionalFormatting>
  <conditionalFormatting sqref="E66">
    <cfRule type="containsText" dxfId="120" priority="5" operator="containsText" text="N/A">
      <formula>NOT(ISERROR(SEARCH("N/A",E66)))</formula>
    </cfRule>
    <cfRule type="cellIs" dxfId="119" priority="6" operator="greaterThan">
      <formula>1</formula>
    </cfRule>
  </conditionalFormatting>
  <conditionalFormatting sqref="E75">
    <cfRule type="containsText" dxfId="118" priority="7" operator="containsText" text="N/A">
      <formula>NOT(ISERROR(SEARCH("N/A",E75)))</formula>
    </cfRule>
    <cfRule type="cellIs" dxfId="117" priority="23" operator="greaterThan">
      <formula>1</formula>
    </cfRule>
  </conditionalFormatting>
  <conditionalFormatting sqref="E84">
    <cfRule type="cellIs" dxfId="116" priority="20" operator="greaterThan">
      <formula>1</formula>
    </cfRule>
  </conditionalFormatting>
  <conditionalFormatting sqref="F121">
    <cfRule type="containsText" dxfId="115" priority="15" operator="containsText" text="NOT OK">
      <formula>NOT(ISERROR(SEARCH("NOT OK",F121)))</formula>
    </cfRule>
  </conditionalFormatting>
  <conditionalFormatting sqref="F128">
    <cfRule type="containsText" dxfId="114" priority="14" operator="containsText" text="NOT OK">
      <formula>NOT(ISERROR(SEARCH("NOT OK",F128)))</formula>
    </cfRule>
  </conditionalFormatting>
  <conditionalFormatting sqref="F173:F174">
    <cfRule type="containsText" dxfId="113" priority="13" operator="containsText" text="NOT OK">
      <formula>NOT(ISERROR(SEARCH("NOT OK",F173)))</formula>
    </cfRule>
  </conditionalFormatting>
  <conditionalFormatting sqref="G46">
    <cfRule type="containsText" dxfId="112" priority="3" operator="containsText" text="a pair of stiffeners is required !">
      <formula>NOT(ISERROR(SEARCH("a pair of stiffeners is required !",G46)))</formula>
    </cfRule>
    <cfRule type="containsText" priority="4" operator="containsText" text="a pair of stiffeners is required !">
      <formula>NOT(ISERROR(SEARCH("a pair of stiffeners is required !",G46)))</formula>
    </cfRule>
  </conditionalFormatting>
  <conditionalFormatting sqref="G55">
    <cfRule type="containsText" dxfId="111" priority="1" operator="containsText" text="a pair of stiffeners is required !">
      <formula>NOT(ISERROR(SEARCH("a pair of stiffeners is required !",G55)))</formula>
    </cfRule>
    <cfRule type="containsText" priority="2" operator="containsText" text="a pair of stiffeners is required !">
      <formula>NOT(ISERROR(SEARCH("a pair of stiffeners is required !",G55)))</formula>
    </cfRule>
  </conditionalFormatting>
  <conditionalFormatting sqref="G66">
    <cfRule type="containsText" dxfId="110" priority="24" operator="containsText" text="a pair of stiffeners is required !">
      <formula>NOT(ISERROR(SEARCH("a pair of stiffeners is required !",G66)))</formula>
    </cfRule>
    <cfRule type="containsText" priority="25" operator="containsText" text="a pair of stiffeners is required !">
      <formula>NOT(ISERROR(SEARCH("a pair of stiffeners is required !",G66)))</formula>
    </cfRule>
  </conditionalFormatting>
  <conditionalFormatting sqref="G75">
    <cfRule type="containsText" dxfId="109" priority="26" operator="containsText" text="a pair of stiffeners is required !">
      <formula>NOT(ISERROR(SEARCH("a pair of stiffeners is required !",G75)))</formula>
    </cfRule>
    <cfRule type="containsText" priority="27" operator="containsText" text="a pair of stiffeners is required !">
      <formula>NOT(ISERROR(SEARCH("a pair of stiffeners is required !",G75)))</formula>
    </cfRule>
  </conditionalFormatting>
  <conditionalFormatting sqref="G84">
    <cfRule type="containsText" dxfId="108" priority="18" operator="containsText" text="a pair of stiffeners is required !">
      <formula>NOT(ISERROR(SEARCH("a pair of stiffeners is required !",G84)))</formula>
    </cfRule>
    <cfRule type="containsText" priority="19" operator="containsText" text="a pair of stiffeners is required !">
      <formula>NOT(ISERROR(SEARCH("a pair of stiffeners is required !",G84)))</formula>
    </cfRule>
  </conditionalFormatting>
  <conditionalFormatting sqref="G91">
    <cfRule type="containsText" dxfId="107" priority="16" operator="containsText" text="a pair of stiffeners is required !">
      <formula>NOT(ISERROR(SEARCH("a pair of stiffeners is required !",G91)))</formula>
    </cfRule>
    <cfRule type="containsText" priority="17" operator="containsText" text="a pair of stiffeners is required !">
      <formula>NOT(ISERROR(SEARCH("a pair of stiffeners is required !",G91)))</formula>
    </cfRule>
  </conditionalFormatting>
  <conditionalFormatting sqref="I188">
    <cfRule type="cellIs" dxfId="106" priority="11" operator="greaterThan">
      <formula>1</formula>
    </cfRule>
  </conditionalFormatting>
  <conditionalFormatting sqref="I194">
    <cfRule type="cellIs" dxfId="105" priority="10" operator="greaterThan">
      <formula>1</formula>
    </cfRule>
  </conditionalFormatting>
  <conditionalFormatting sqref="K188">
    <cfRule type="containsText" dxfId="104" priority="9" operator="containsText" text="NOT OK">
      <formula>NOT(ISERROR(SEARCH("NOT OK",K188)))</formula>
    </cfRule>
  </conditionalFormatting>
  <conditionalFormatting sqref="K194">
    <cfRule type="containsText" dxfId="103" priority="8" operator="containsText" text="NOT OK">
      <formula>NOT(ISERROR(SEARCH("NOT OK",K194)))</formula>
    </cfRule>
  </conditionalFormatting>
  <pageMargins left="0.7" right="0.7" top="0.75" bottom="0.75" header="0.3" footer="0.3"/>
  <pageSetup paperSize="9" scale="70" orientation="portrait" horizontalDpi="300" verticalDpi="300" r:id="rId1"/>
  <rowBreaks count="2" manualBreakCount="2">
    <brk id="54" max="11" man="1"/>
    <brk id="92" max="11" man="1"/>
  </rowBreaks>
  <colBreaks count="1" manualBreakCount="1">
    <brk id="12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ECEA-6207-41B2-8C26-221F9C1A39B6}">
  <dimension ref="A1:E19"/>
  <sheetViews>
    <sheetView zoomScale="115" zoomScaleNormal="115" workbookViewId="0">
      <selection activeCell="B34" sqref="B34"/>
    </sheetView>
  </sheetViews>
  <sheetFormatPr defaultColWidth="14.6640625" defaultRowHeight="11.65"/>
  <cols>
    <col min="1" max="1" width="24.06640625" style="187" customWidth="1"/>
    <col min="2" max="2" width="31.06640625" style="187" customWidth="1"/>
    <col min="3" max="3" width="29.9296875" style="187" customWidth="1"/>
    <col min="4" max="5" width="14.86328125" style="187" customWidth="1"/>
    <col min="6" max="16384" width="14.6640625" style="187"/>
  </cols>
  <sheetData>
    <row r="1" spans="1:5" s="184" customFormat="1" ht="11.25">
      <c r="A1" s="184" t="s">
        <v>656</v>
      </c>
      <c r="D1" s="185"/>
      <c r="E1" s="185"/>
    </row>
    <row r="2" spans="1:5" s="184" customFormat="1" ht="11.25">
      <c r="A2" s="186" t="s">
        <v>657</v>
      </c>
      <c r="B2" s="186" t="s">
        <v>683</v>
      </c>
      <c r="C2" s="186" t="s">
        <v>658</v>
      </c>
      <c r="D2" s="186"/>
      <c r="E2" s="186"/>
    </row>
    <row r="3" spans="1:5">
      <c r="A3" s="183" t="s">
        <v>659</v>
      </c>
      <c r="B3" s="183" t="s">
        <v>661</v>
      </c>
      <c r="C3" s="183" t="s">
        <v>660</v>
      </c>
      <c r="D3" s="183"/>
      <c r="E3" s="183"/>
    </row>
    <row r="4" spans="1:5">
      <c r="A4" s="183" t="s">
        <v>662</v>
      </c>
      <c r="B4" s="189">
        <v>32</v>
      </c>
      <c r="C4" s="183" t="s">
        <v>677</v>
      </c>
      <c r="D4" s="183"/>
      <c r="E4" s="188"/>
    </row>
    <row r="5" spans="1:5">
      <c r="A5" s="183" t="s">
        <v>681</v>
      </c>
      <c r="B5" s="189" t="s">
        <v>684</v>
      </c>
      <c r="C5" s="198" t="s">
        <v>686</v>
      </c>
      <c r="D5" s="183"/>
      <c r="E5" s="183"/>
    </row>
    <row r="6" spans="1:5">
      <c r="A6" s="183" t="s">
        <v>682</v>
      </c>
      <c r="B6" s="189" t="s">
        <v>685</v>
      </c>
      <c r="C6" s="199"/>
      <c r="D6" s="183"/>
      <c r="E6" s="183"/>
    </row>
    <row r="7" spans="1:5">
      <c r="A7" s="183" t="s">
        <v>690</v>
      </c>
      <c r="B7" s="189">
        <v>5</v>
      </c>
      <c r="C7" s="183" t="s">
        <v>691</v>
      </c>
      <c r="D7" s="183"/>
      <c r="E7" s="183"/>
    </row>
    <row r="8" spans="1:5">
      <c r="A8" s="183" t="s">
        <v>692</v>
      </c>
      <c r="B8" s="189">
        <v>9</v>
      </c>
      <c r="C8" s="198" t="s">
        <v>694</v>
      </c>
      <c r="D8" s="183"/>
      <c r="E8" s="183"/>
    </row>
    <row r="9" spans="1:5">
      <c r="A9" s="183" t="s">
        <v>693</v>
      </c>
      <c r="B9" s="189">
        <v>74</v>
      </c>
      <c r="C9" s="199"/>
      <c r="D9" s="183"/>
      <c r="E9" s="183"/>
    </row>
    <row r="10" spans="1:5">
      <c r="A10" s="183"/>
      <c r="B10" s="183"/>
      <c r="C10" s="183"/>
      <c r="D10" s="183"/>
      <c r="E10" s="183"/>
    </row>
    <row r="11" spans="1:5">
      <c r="A11" s="183"/>
      <c r="B11" s="183"/>
      <c r="C11" s="183"/>
      <c r="D11" s="183"/>
      <c r="E11" s="183"/>
    </row>
    <row r="12" spans="1:5">
      <c r="A12" s="183"/>
      <c r="B12" s="183"/>
      <c r="C12" s="183"/>
      <c r="D12" s="183"/>
      <c r="E12" s="183"/>
    </row>
    <row r="13" spans="1:5">
      <c r="A13" s="183"/>
      <c r="B13" s="183"/>
      <c r="C13" s="183"/>
      <c r="D13" s="183"/>
      <c r="E13" s="183"/>
    </row>
    <row r="14" spans="1:5">
      <c r="A14" s="183"/>
      <c r="B14" s="183"/>
      <c r="C14" s="183"/>
      <c r="D14" s="183"/>
      <c r="E14" s="183"/>
    </row>
    <row r="15" spans="1:5">
      <c r="A15" s="183"/>
      <c r="B15" s="183"/>
      <c r="C15" s="183"/>
      <c r="D15" s="183"/>
      <c r="E15" s="183"/>
    </row>
    <row r="16" spans="1:5">
      <c r="A16" s="183"/>
      <c r="B16" s="183"/>
      <c r="C16" s="183"/>
      <c r="D16" s="183"/>
      <c r="E16" s="183"/>
    </row>
    <row r="17" spans="1:5">
      <c r="A17" s="183"/>
      <c r="B17" s="183"/>
      <c r="C17" s="183"/>
      <c r="D17" s="183"/>
      <c r="E17" s="183"/>
    </row>
    <row r="18" spans="1:5">
      <c r="A18" s="183"/>
      <c r="B18" s="183"/>
      <c r="C18" s="183"/>
      <c r="D18" s="183"/>
      <c r="E18" s="183"/>
    </row>
    <row r="19" spans="1:5">
      <c r="A19" s="183"/>
      <c r="B19" s="183"/>
      <c r="C19" s="183"/>
      <c r="D19" s="183"/>
      <c r="E19" s="183"/>
    </row>
  </sheetData>
  <mergeCells count="2">
    <mergeCell ref="C5:C6"/>
    <mergeCell ref="C8:C9"/>
  </mergeCells>
  <phoneticPr fontId="6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8648-9F4F-4408-8F4C-739E523FC53B}">
  <dimension ref="A1:J137"/>
  <sheetViews>
    <sheetView workbookViewId="0">
      <selection activeCell="N17" sqref="N17"/>
    </sheetView>
  </sheetViews>
  <sheetFormatPr defaultRowHeight="13.5"/>
  <cols>
    <col min="1" max="1" width="11.1328125" style="131" bestFit="1" customWidth="1"/>
    <col min="2" max="3" width="9.06640625" style="131"/>
    <col min="4" max="4" width="44.9296875" style="131" customWidth="1"/>
    <col min="5" max="5" width="19.59765625" style="131" bestFit="1" customWidth="1"/>
    <col min="6" max="16384" width="9.06640625" style="131"/>
  </cols>
  <sheetData>
    <row r="1" spans="1:10">
      <c r="A1" t="s">
        <v>628</v>
      </c>
      <c r="B1" t="s">
        <v>629</v>
      </c>
      <c r="C1" t="s">
        <v>630</v>
      </c>
      <c r="D1" s="182">
        <v>4.355324074074074E-2</v>
      </c>
      <c r="E1"/>
      <c r="F1"/>
      <c r="G1"/>
      <c r="H1"/>
      <c r="I1"/>
      <c r="J1"/>
    </row>
    <row r="2" spans="1:10">
      <c r="A2"/>
      <c r="B2"/>
      <c r="C2"/>
      <c r="D2"/>
      <c r="E2"/>
      <c r="F2"/>
      <c r="G2"/>
      <c r="H2"/>
      <c r="I2"/>
      <c r="J2"/>
    </row>
    <row r="3" spans="1:10">
      <c r="A3"/>
      <c r="B3"/>
      <c r="C3"/>
      <c r="D3"/>
      <c r="E3" t="s">
        <v>631</v>
      </c>
      <c r="F3" t="s">
        <v>632</v>
      </c>
      <c r="G3" t="s">
        <v>633</v>
      </c>
      <c r="H3"/>
      <c r="I3"/>
      <c r="J3"/>
    </row>
    <row r="4" spans="1:10">
      <c r="A4"/>
      <c r="B4"/>
      <c r="C4"/>
      <c r="D4"/>
      <c r="E4"/>
      <c r="F4"/>
      <c r="G4"/>
      <c r="H4"/>
      <c r="I4"/>
      <c r="J4"/>
    </row>
    <row r="5" spans="1:10">
      <c r="A5"/>
      <c r="B5"/>
      <c r="C5"/>
      <c r="D5"/>
      <c r="E5" t="s">
        <v>634</v>
      </c>
      <c r="F5" t="s">
        <v>635</v>
      </c>
      <c r="G5" t="s">
        <v>636</v>
      </c>
      <c r="H5" t="s">
        <v>637</v>
      </c>
      <c r="I5" t="s">
        <v>638</v>
      </c>
      <c r="J5" t="s">
        <v>637</v>
      </c>
    </row>
    <row r="6" spans="1:10">
      <c r="A6" t="s">
        <v>631</v>
      </c>
      <c r="B6" t="s">
        <v>631</v>
      </c>
      <c r="C6" t="s">
        <v>639</v>
      </c>
      <c r="D6" t="s">
        <v>640</v>
      </c>
      <c r="E6" t="s">
        <v>689</v>
      </c>
      <c r="F6" t="s">
        <v>641</v>
      </c>
      <c r="G6" t="s">
        <v>642</v>
      </c>
      <c r="H6" t="s">
        <v>643</v>
      </c>
      <c r="I6" t="s">
        <v>644</v>
      </c>
      <c r="J6" t="s">
        <v>645</v>
      </c>
    </row>
    <row r="7" spans="1:10">
      <c r="A7" t="s">
        <v>646</v>
      </c>
      <c r="B7" t="s">
        <v>647</v>
      </c>
      <c r="C7" t="s">
        <v>648</v>
      </c>
      <c r="D7" t="s">
        <v>649</v>
      </c>
      <c r="E7"/>
      <c r="F7"/>
      <c r="G7"/>
      <c r="H7"/>
      <c r="I7"/>
      <c r="J7"/>
    </row>
    <row r="8" spans="1:10">
      <c r="A8" t="s">
        <v>650</v>
      </c>
      <c r="B8" t="s">
        <v>651</v>
      </c>
      <c r="C8" t="s">
        <v>651</v>
      </c>
      <c r="D8" t="s">
        <v>651</v>
      </c>
      <c r="E8" t="s">
        <v>652</v>
      </c>
      <c r="F8" t="s">
        <v>652</v>
      </c>
      <c r="G8" t="s">
        <v>652</v>
      </c>
      <c r="H8" t="s">
        <v>652</v>
      </c>
      <c r="I8" t="s">
        <v>652</v>
      </c>
      <c r="J8" t="s">
        <v>652</v>
      </c>
    </row>
    <row r="9" spans="1:10">
      <c r="A9" t="s">
        <v>653</v>
      </c>
      <c r="B9">
        <v>2085</v>
      </c>
      <c r="C9" t="s">
        <v>623</v>
      </c>
      <c r="D9">
        <v>1001</v>
      </c>
      <c r="E9">
        <v>-105.2311</v>
      </c>
      <c r="F9">
        <v>5.7299999999999997E-2</v>
      </c>
      <c r="G9">
        <v>0.84699999999999998</v>
      </c>
      <c r="H9">
        <v>-0.50529999999999997</v>
      </c>
      <c r="I9">
        <v>-0.70379999999999998</v>
      </c>
      <c r="J9">
        <v>4.0035999999999996</v>
      </c>
    </row>
    <row r="10" spans="1:10">
      <c r="A10"/>
      <c r="B10"/>
      <c r="C10"/>
      <c r="D10">
        <v>1002</v>
      </c>
      <c r="E10">
        <v>-116.5902</v>
      </c>
      <c r="F10">
        <v>2.4952999999999999</v>
      </c>
      <c r="G10">
        <v>1.3608</v>
      </c>
      <c r="H10">
        <v>-2.2795999999999998</v>
      </c>
      <c r="I10">
        <v>-1.3561000000000001</v>
      </c>
      <c r="J10">
        <v>-6.0625</v>
      </c>
    </row>
    <row r="11" spans="1:10">
      <c r="A11"/>
      <c r="B11"/>
      <c r="C11"/>
      <c r="D11">
        <v>1003</v>
      </c>
      <c r="E11">
        <v>-23.740600000000001</v>
      </c>
      <c r="F11">
        <v>8.2600000000000007E-2</v>
      </c>
      <c r="G11">
        <v>4.2511999999999999</v>
      </c>
      <c r="H11">
        <v>-1.0723</v>
      </c>
      <c r="I11">
        <v>-8.3945000000000007</v>
      </c>
      <c r="J11">
        <v>3.6591999999999998</v>
      </c>
    </row>
    <row r="12" spans="1:10">
      <c r="A12"/>
      <c r="B12"/>
      <c r="C12"/>
      <c r="D12">
        <v>1004</v>
      </c>
      <c r="E12">
        <v>-12.366</v>
      </c>
      <c r="F12">
        <v>-2.3563000000000001</v>
      </c>
      <c r="G12">
        <v>3.7385999999999999</v>
      </c>
      <c r="H12">
        <v>0.70299999999999996</v>
      </c>
      <c r="I12">
        <v>-7.7454000000000001</v>
      </c>
      <c r="J12">
        <v>13.7295</v>
      </c>
    </row>
    <row r="13" spans="1:10">
      <c r="A13"/>
      <c r="B13"/>
      <c r="C13"/>
      <c r="D13">
        <v>1005</v>
      </c>
      <c r="E13">
        <v>-136.28210000000001</v>
      </c>
      <c r="F13">
        <v>1.7298</v>
      </c>
      <c r="G13">
        <v>0.48920000000000002</v>
      </c>
      <c r="H13">
        <v>-1.6154999999999999</v>
      </c>
      <c r="I13">
        <v>0.52290000000000003</v>
      </c>
      <c r="J13">
        <v>-3.2568000000000001</v>
      </c>
    </row>
    <row r="14" spans="1:10">
      <c r="A14"/>
      <c r="B14"/>
      <c r="C14"/>
      <c r="D14">
        <v>1006</v>
      </c>
      <c r="E14">
        <v>-78.669499999999999</v>
      </c>
      <c r="F14">
        <v>1.7475000000000001</v>
      </c>
      <c r="G14">
        <v>2.8957999999999999</v>
      </c>
      <c r="H14">
        <v>-2.0156000000000001</v>
      </c>
      <c r="I14">
        <v>-4.9139999999999997</v>
      </c>
      <c r="J14">
        <v>-3.4990000000000001</v>
      </c>
    </row>
    <row r="15" spans="1:10">
      <c r="A15"/>
      <c r="B15"/>
      <c r="C15"/>
      <c r="D15">
        <v>1007</v>
      </c>
      <c r="E15">
        <v>11.545500000000001</v>
      </c>
      <c r="F15">
        <v>-1.7129000000000001</v>
      </c>
      <c r="G15">
        <v>4.8071999999999999</v>
      </c>
      <c r="H15">
        <v>4.2700000000000002E-2</v>
      </c>
      <c r="I15">
        <v>-10.0191</v>
      </c>
      <c r="J15">
        <v>11.2003</v>
      </c>
    </row>
    <row r="16" spans="1:10">
      <c r="A16"/>
      <c r="B16"/>
      <c r="C16"/>
      <c r="D16">
        <v>1008</v>
      </c>
      <c r="E16">
        <v>-50.3142</v>
      </c>
      <c r="F16">
        <v>-1.6077999999999999</v>
      </c>
      <c r="G16">
        <v>2.202</v>
      </c>
      <c r="H16">
        <v>0.43830000000000002</v>
      </c>
      <c r="I16">
        <v>-4.1833999999999998</v>
      </c>
      <c r="J16">
        <v>11.162800000000001</v>
      </c>
    </row>
    <row r="17" spans="1:10">
      <c r="A17"/>
      <c r="B17"/>
      <c r="C17"/>
      <c r="D17">
        <v>1009</v>
      </c>
      <c r="E17">
        <v>-83.456000000000003</v>
      </c>
      <c r="F17">
        <v>1.9E-2</v>
      </c>
      <c r="G17">
        <v>0.81499999999999995</v>
      </c>
      <c r="H17">
        <v>-0.3679</v>
      </c>
      <c r="I17">
        <v>-1.0621</v>
      </c>
      <c r="J17">
        <v>3.2612000000000001</v>
      </c>
    </row>
    <row r="18" spans="1:10">
      <c r="A18"/>
      <c r="B18"/>
      <c r="C18"/>
      <c r="D18">
        <v>1010</v>
      </c>
      <c r="E18">
        <v>-87.392300000000006</v>
      </c>
      <c r="F18">
        <v>2.0790000000000002</v>
      </c>
      <c r="G18">
        <v>1.4716</v>
      </c>
      <c r="H18">
        <v>-1.8924000000000001</v>
      </c>
      <c r="I18">
        <v>-2.1194999999999999</v>
      </c>
      <c r="J18">
        <v>-5.2183000000000002</v>
      </c>
    </row>
    <row r="19" spans="1:10">
      <c r="A19"/>
      <c r="B19"/>
      <c r="C19"/>
      <c r="D19">
        <v>1011</v>
      </c>
      <c r="E19">
        <v>-4.0210999999999997</v>
      </c>
      <c r="F19">
        <v>4.36E-2</v>
      </c>
      <c r="G19">
        <v>4.1178999999999997</v>
      </c>
      <c r="H19">
        <v>-0.91549999999999998</v>
      </c>
      <c r="I19">
        <v>-8.5227000000000004</v>
      </c>
      <c r="J19">
        <v>2.9272</v>
      </c>
    </row>
    <row r="20" spans="1:10">
      <c r="A20"/>
      <c r="B20"/>
      <c r="C20"/>
      <c r="D20">
        <v>1012</v>
      </c>
      <c r="E20">
        <v>-6.93E-2</v>
      </c>
      <c r="F20">
        <v>-2.0173000000000001</v>
      </c>
      <c r="G20">
        <v>3.4626000000000001</v>
      </c>
      <c r="H20">
        <v>0.61</v>
      </c>
      <c r="I20">
        <v>-7.4684999999999997</v>
      </c>
      <c r="J20">
        <v>11.411</v>
      </c>
    </row>
    <row r="21" spans="1:10">
      <c r="A21"/>
      <c r="B21"/>
      <c r="C21"/>
      <c r="D21">
        <v>1013</v>
      </c>
      <c r="E21">
        <v>-108.8336</v>
      </c>
      <c r="F21">
        <v>1.4244000000000001</v>
      </c>
      <c r="G21">
        <v>0.57909999999999995</v>
      </c>
      <c r="H21">
        <v>-1.3053999999999999</v>
      </c>
      <c r="I21">
        <v>-0.16930000000000001</v>
      </c>
      <c r="J21">
        <v>-2.8797000000000001</v>
      </c>
    </row>
    <row r="22" spans="1:10">
      <c r="A22"/>
      <c r="B22"/>
      <c r="C22"/>
      <c r="D22">
        <v>1014</v>
      </c>
      <c r="E22">
        <v>-52.674199999999999</v>
      </c>
      <c r="F22">
        <v>1.4416</v>
      </c>
      <c r="G22">
        <v>2.9140999999999999</v>
      </c>
      <c r="H22">
        <v>-1.6919</v>
      </c>
      <c r="I22">
        <v>-5.4436999999999998</v>
      </c>
      <c r="J22">
        <v>-3.1145</v>
      </c>
    </row>
    <row r="23" spans="1:10">
      <c r="A23"/>
      <c r="B23"/>
      <c r="C23"/>
      <c r="D23">
        <v>1015</v>
      </c>
      <c r="E23">
        <v>25.5916</v>
      </c>
      <c r="F23">
        <v>-1.4847999999999999</v>
      </c>
      <c r="G23">
        <v>4.5519999999999996</v>
      </c>
      <c r="H23">
        <v>2.69E-2</v>
      </c>
      <c r="I23">
        <v>-9.8132999999999999</v>
      </c>
      <c r="J23">
        <v>9.3488000000000007</v>
      </c>
    </row>
    <row r="24" spans="1:10">
      <c r="A24"/>
      <c r="B24"/>
      <c r="C24"/>
      <c r="D24">
        <v>1016</v>
      </c>
      <c r="E24">
        <v>-34.814900000000002</v>
      </c>
      <c r="F24">
        <v>-1.3792</v>
      </c>
      <c r="G24">
        <v>2.0185</v>
      </c>
      <c r="H24">
        <v>0.4088</v>
      </c>
      <c r="I24">
        <v>-4.1402999999999999</v>
      </c>
      <c r="J24">
        <v>9.3039000000000005</v>
      </c>
    </row>
    <row r="25" spans="1:10">
      <c r="A25"/>
      <c r="B25"/>
      <c r="C25"/>
      <c r="D25">
        <v>2001</v>
      </c>
      <c r="E25">
        <v>-150.04259999999999</v>
      </c>
      <c r="F25">
        <v>0.20430000000000001</v>
      </c>
      <c r="G25">
        <v>-2.2723</v>
      </c>
      <c r="H25">
        <v>-0.34360000000000002</v>
      </c>
      <c r="I25">
        <v>7.4943999999999997</v>
      </c>
      <c r="J25">
        <v>3.3986000000000001</v>
      </c>
    </row>
    <row r="26" spans="1:10">
      <c r="A26"/>
      <c r="B26"/>
      <c r="C26"/>
      <c r="D26">
        <v>2002</v>
      </c>
      <c r="E26">
        <v>-161.40170000000001</v>
      </c>
      <c r="F26">
        <v>2.6423999999999999</v>
      </c>
      <c r="G26">
        <v>-1.7585</v>
      </c>
      <c r="H26">
        <v>-2.1179000000000001</v>
      </c>
      <c r="I26">
        <v>6.8421000000000003</v>
      </c>
      <c r="J26">
        <v>-6.6675000000000004</v>
      </c>
    </row>
    <row r="27" spans="1:10">
      <c r="A27"/>
      <c r="B27"/>
      <c r="C27"/>
      <c r="D27">
        <v>2003</v>
      </c>
      <c r="E27">
        <v>-68.552099999999996</v>
      </c>
      <c r="F27">
        <v>0.2296</v>
      </c>
      <c r="G27">
        <v>1.1318999999999999</v>
      </c>
      <c r="H27">
        <v>-0.91059999999999997</v>
      </c>
      <c r="I27">
        <v>-0.19620000000000001</v>
      </c>
      <c r="J27">
        <v>3.0541999999999998</v>
      </c>
    </row>
    <row r="28" spans="1:10">
      <c r="A28"/>
      <c r="B28"/>
      <c r="C28"/>
      <c r="D28">
        <v>2004</v>
      </c>
      <c r="E28">
        <v>-57.177399999999999</v>
      </c>
      <c r="F28">
        <v>-2.2092999999999998</v>
      </c>
      <c r="G28">
        <v>0.61929999999999996</v>
      </c>
      <c r="H28">
        <v>0.86470000000000002</v>
      </c>
      <c r="I28">
        <v>0.45290000000000002</v>
      </c>
      <c r="J28">
        <v>13.124499999999999</v>
      </c>
    </row>
    <row r="29" spans="1:10">
      <c r="A29"/>
      <c r="B29"/>
      <c r="C29"/>
      <c r="D29">
        <v>2005</v>
      </c>
      <c r="E29">
        <v>-181.09360000000001</v>
      </c>
      <c r="F29">
        <v>1.8769</v>
      </c>
      <c r="G29">
        <v>-2.6301000000000001</v>
      </c>
      <c r="H29">
        <v>-1.4538</v>
      </c>
      <c r="I29">
        <v>8.7211999999999996</v>
      </c>
      <c r="J29">
        <v>-3.8618000000000001</v>
      </c>
    </row>
    <row r="30" spans="1:10">
      <c r="A30"/>
      <c r="B30"/>
      <c r="C30"/>
      <c r="D30">
        <v>2006</v>
      </c>
      <c r="E30">
        <v>-123.48099999999999</v>
      </c>
      <c r="F30">
        <v>1.8945000000000001</v>
      </c>
      <c r="G30">
        <v>-0.2235</v>
      </c>
      <c r="H30">
        <v>-1.8539000000000001</v>
      </c>
      <c r="I30">
        <v>3.2843</v>
      </c>
      <c r="J30">
        <v>-4.1040000000000001</v>
      </c>
    </row>
    <row r="31" spans="1:10">
      <c r="A31"/>
      <c r="B31"/>
      <c r="C31"/>
      <c r="D31">
        <v>2007</v>
      </c>
      <c r="E31">
        <v>-33.265999999999998</v>
      </c>
      <c r="F31">
        <v>-1.5659000000000001</v>
      </c>
      <c r="G31">
        <v>1.6879</v>
      </c>
      <c r="H31">
        <v>0.2044</v>
      </c>
      <c r="I31">
        <v>-1.8208</v>
      </c>
      <c r="J31">
        <v>10.5953</v>
      </c>
    </row>
    <row r="32" spans="1:10">
      <c r="A32"/>
      <c r="B32"/>
      <c r="C32"/>
      <c r="D32">
        <v>2008</v>
      </c>
      <c r="E32">
        <v>-95.125699999999995</v>
      </c>
      <c r="F32">
        <v>-1.4607000000000001</v>
      </c>
      <c r="G32">
        <v>-0.9173</v>
      </c>
      <c r="H32">
        <v>0.6</v>
      </c>
      <c r="I32">
        <v>4.0148000000000001</v>
      </c>
      <c r="J32">
        <v>10.5578</v>
      </c>
    </row>
    <row r="33" spans="1:10">
      <c r="A33"/>
      <c r="B33"/>
      <c r="C33"/>
      <c r="D33">
        <v>2009</v>
      </c>
      <c r="E33">
        <v>-128.26750000000001</v>
      </c>
      <c r="F33">
        <v>0.16600000000000001</v>
      </c>
      <c r="G33">
        <v>-2.3043</v>
      </c>
      <c r="H33">
        <v>-0.20619999999999999</v>
      </c>
      <c r="I33">
        <v>7.1361999999999997</v>
      </c>
      <c r="J33">
        <v>2.6562000000000001</v>
      </c>
    </row>
    <row r="34" spans="1:10">
      <c r="A34"/>
      <c r="B34"/>
      <c r="C34"/>
      <c r="D34">
        <v>2010</v>
      </c>
      <c r="E34">
        <v>-132.2038</v>
      </c>
      <c r="F34">
        <v>2.226</v>
      </c>
      <c r="G34">
        <v>-1.6476999999999999</v>
      </c>
      <c r="H34">
        <v>-1.7306999999999999</v>
      </c>
      <c r="I34">
        <v>6.0787000000000004</v>
      </c>
      <c r="J34">
        <v>-5.8232999999999997</v>
      </c>
    </row>
    <row r="35" spans="1:10">
      <c r="A35"/>
      <c r="B35"/>
      <c r="C35"/>
      <c r="D35">
        <v>2011</v>
      </c>
      <c r="E35">
        <v>-48.832599999999999</v>
      </c>
      <c r="F35">
        <v>0.19059999999999999</v>
      </c>
      <c r="G35">
        <v>0.99860000000000004</v>
      </c>
      <c r="H35">
        <v>-0.75380000000000003</v>
      </c>
      <c r="I35">
        <v>-0.32450000000000001</v>
      </c>
      <c r="J35">
        <v>2.3222</v>
      </c>
    </row>
    <row r="36" spans="1:10">
      <c r="A36"/>
      <c r="B36"/>
      <c r="C36"/>
      <c r="D36">
        <v>2012</v>
      </c>
      <c r="E36">
        <v>-44.880800000000001</v>
      </c>
      <c r="F36">
        <v>-1.8703000000000001</v>
      </c>
      <c r="G36">
        <v>0.34329999999999999</v>
      </c>
      <c r="H36">
        <v>0.77170000000000005</v>
      </c>
      <c r="I36">
        <v>0.7298</v>
      </c>
      <c r="J36">
        <v>10.805999999999999</v>
      </c>
    </row>
    <row r="37" spans="1:10">
      <c r="A37"/>
      <c r="B37"/>
      <c r="C37"/>
      <c r="D37">
        <v>2013</v>
      </c>
      <c r="E37">
        <v>-153.64510000000001</v>
      </c>
      <c r="F37">
        <v>1.5713999999999999</v>
      </c>
      <c r="G37">
        <v>-2.5402</v>
      </c>
      <c r="H37">
        <v>-1.1436999999999999</v>
      </c>
      <c r="I37">
        <v>8.0289000000000001</v>
      </c>
      <c r="J37">
        <v>-3.4847000000000001</v>
      </c>
    </row>
    <row r="38" spans="1:10">
      <c r="A38"/>
      <c r="B38"/>
      <c r="C38"/>
      <c r="D38">
        <v>2014</v>
      </c>
      <c r="E38">
        <v>-97.485699999999994</v>
      </c>
      <c r="F38">
        <v>1.5886</v>
      </c>
      <c r="G38">
        <v>-0.20519999999999999</v>
      </c>
      <c r="H38">
        <v>-1.5302</v>
      </c>
      <c r="I38">
        <v>2.7545999999999999</v>
      </c>
      <c r="J38">
        <v>-3.7195</v>
      </c>
    </row>
    <row r="39" spans="1:10">
      <c r="A39"/>
      <c r="B39"/>
      <c r="C39"/>
      <c r="D39">
        <v>2015</v>
      </c>
      <c r="E39">
        <v>-19.219899999999999</v>
      </c>
      <c r="F39">
        <v>-1.3378000000000001</v>
      </c>
      <c r="G39">
        <v>1.4327000000000001</v>
      </c>
      <c r="H39">
        <v>0.18859999999999999</v>
      </c>
      <c r="I39">
        <v>-1.615</v>
      </c>
      <c r="J39">
        <v>8.7438000000000002</v>
      </c>
    </row>
    <row r="40" spans="1:10">
      <c r="A40"/>
      <c r="B40"/>
      <c r="C40"/>
      <c r="D40">
        <v>2016</v>
      </c>
      <c r="E40">
        <v>-79.626400000000004</v>
      </c>
      <c r="F40">
        <v>-1.2322</v>
      </c>
      <c r="G40">
        <v>-1.1008</v>
      </c>
      <c r="H40">
        <v>0.57050000000000001</v>
      </c>
      <c r="I40">
        <v>4.0579999999999998</v>
      </c>
      <c r="J40">
        <v>8.6989000000000001</v>
      </c>
    </row>
    <row r="41" spans="1:10">
      <c r="A41"/>
      <c r="B41">
        <v>3136</v>
      </c>
      <c r="C41"/>
      <c r="D41">
        <v>1001</v>
      </c>
      <c r="E41">
        <v>-101.24169999999999</v>
      </c>
      <c r="F41">
        <v>5.7299999999999997E-2</v>
      </c>
      <c r="G41">
        <v>9.4E-2</v>
      </c>
      <c r="H41">
        <v>-0.50529999999999997</v>
      </c>
      <c r="I41">
        <v>1.63</v>
      </c>
      <c r="J41">
        <v>4.2881999999999998</v>
      </c>
    </row>
    <row r="42" spans="1:10">
      <c r="A42"/>
      <c r="B42"/>
      <c r="C42"/>
      <c r="D42">
        <v>1002</v>
      </c>
      <c r="E42">
        <v>-112.7315</v>
      </c>
      <c r="F42">
        <v>0.4214</v>
      </c>
      <c r="G42">
        <v>2.4400000000000002E-2</v>
      </c>
      <c r="H42">
        <v>-2.2795999999999998</v>
      </c>
      <c r="I42">
        <v>2.0831</v>
      </c>
      <c r="J42">
        <v>1.1816</v>
      </c>
    </row>
    <row r="43" spans="1:10">
      <c r="A43"/>
      <c r="B43"/>
      <c r="C43"/>
      <c r="D43">
        <v>1003</v>
      </c>
      <c r="E43">
        <v>-20.012699999999999</v>
      </c>
      <c r="F43">
        <v>8.2600000000000007E-2</v>
      </c>
      <c r="G43">
        <v>2.3315000000000001</v>
      </c>
      <c r="H43">
        <v>-1.0723</v>
      </c>
      <c r="I43">
        <v>7.9513999999999996</v>
      </c>
      <c r="J43">
        <v>4.0693000000000001</v>
      </c>
    </row>
    <row r="44" spans="1:10">
      <c r="A44"/>
      <c r="B44"/>
      <c r="C44"/>
      <c r="D44">
        <v>1004</v>
      </c>
      <c r="E44">
        <v>-8.5073000000000008</v>
      </c>
      <c r="F44">
        <v>-0.28239999999999998</v>
      </c>
      <c r="G44">
        <v>2.4022999999999999</v>
      </c>
      <c r="H44">
        <v>0.70299999999999996</v>
      </c>
      <c r="I44">
        <v>7.5012999999999996</v>
      </c>
      <c r="J44">
        <v>7.1757</v>
      </c>
    </row>
    <row r="45" spans="1:10">
      <c r="A45"/>
      <c r="B45"/>
      <c r="C45"/>
      <c r="D45">
        <v>1005</v>
      </c>
      <c r="E45">
        <v>-132.33099999999999</v>
      </c>
      <c r="F45">
        <v>0.26350000000000001</v>
      </c>
      <c r="G45">
        <v>-0.43469999999999998</v>
      </c>
      <c r="H45">
        <v>-1.6154999999999999</v>
      </c>
      <c r="I45">
        <v>0.65649999999999997</v>
      </c>
      <c r="J45">
        <v>1.6940999999999999</v>
      </c>
    </row>
    <row r="46" spans="1:10">
      <c r="A46"/>
      <c r="B46"/>
      <c r="C46"/>
      <c r="D46">
        <v>1006</v>
      </c>
      <c r="E46">
        <v>-74.903199999999998</v>
      </c>
      <c r="F46">
        <v>0.28120000000000001</v>
      </c>
      <c r="G46">
        <v>1.147</v>
      </c>
      <c r="H46">
        <v>-2.0156000000000001</v>
      </c>
      <c r="I46">
        <v>5.1250999999999998</v>
      </c>
      <c r="J46">
        <v>1.5395000000000001</v>
      </c>
    </row>
    <row r="47" spans="1:10">
      <c r="A47"/>
      <c r="B47"/>
      <c r="C47"/>
      <c r="D47">
        <v>1007</v>
      </c>
      <c r="E47">
        <v>15.3117</v>
      </c>
      <c r="F47">
        <v>-9.2600000000000002E-2</v>
      </c>
      <c r="G47">
        <v>2.9127999999999998</v>
      </c>
      <c r="H47">
        <v>4.2700000000000002E-2</v>
      </c>
      <c r="I47">
        <v>9.1514000000000006</v>
      </c>
      <c r="J47">
        <v>6.7141999999999999</v>
      </c>
    </row>
    <row r="48" spans="1:10">
      <c r="A48"/>
      <c r="B48"/>
      <c r="C48"/>
      <c r="D48">
        <v>1008</v>
      </c>
      <c r="E48">
        <v>-46.363100000000003</v>
      </c>
      <c r="F48">
        <v>-0.14149999999999999</v>
      </c>
      <c r="G48">
        <v>1.2781</v>
      </c>
      <c r="H48">
        <v>0.43830000000000002</v>
      </c>
      <c r="I48">
        <v>4.4554</v>
      </c>
      <c r="J48">
        <v>6.8179999999999996</v>
      </c>
    </row>
    <row r="49" spans="1:10">
      <c r="A49"/>
      <c r="B49"/>
      <c r="C49"/>
      <c r="D49">
        <v>1009</v>
      </c>
      <c r="E49">
        <v>-80.286299999999997</v>
      </c>
      <c r="F49">
        <v>1.9E-2</v>
      </c>
      <c r="G49">
        <v>0.32929999999999998</v>
      </c>
      <c r="H49">
        <v>-0.3679</v>
      </c>
      <c r="I49">
        <v>1.7766999999999999</v>
      </c>
      <c r="J49">
        <v>3.3553999999999999</v>
      </c>
    </row>
    <row r="50" spans="1:10">
      <c r="A50"/>
      <c r="B50"/>
      <c r="C50"/>
      <c r="D50">
        <v>1010</v>
      </c>
      <c r="E50">
        <v>-84.348200000000006</v>
      </c>
      <c r="F50">
        <v>0.31969999999999998</v>
      </c>
      <c r="G50">
        <v>0.41739999999999999</v>
      </c>
      <c r="H50">
        <v>-1.8924000000000001</v>
      </c>
      <c r="I50">
        <v>2.5703</v>
      </c>
      <c r="J50">
        <v>0.73950000000000005</v>
      </c>
    </row>
    <row r="51" spans="1:10">
      <c r="A51"/>
      <c r="B51"/>
      <c r="C51"/>
      <c r="D51">
        <v>1011</v>
      </c>
      <c r="E51">
        <v>-1.1026</v>
      </c>
      <c r="F51">
        <v>4.36E-2</v>
      </c>
      <c r="G51">
        <v>2.4952000000000001</v>
      </c>
      <c r="H51">
        <v>-0.91549999999999998</v>
      </c>
      <c r="I51">
        <v>7.8986000000000001</v>
      </c>
      <c r="J51">
        <v>3.1435</v>
      </c>
    </row>
    <row r="52" spans="1:10">
      <c r="A52"/>
      <c r="B52"/>
      <c r="C52"/>
      <c r="D52">
        <v>1012</v>
      </c>
      <c r="E52">
        <v>2.9748000000000001</v>
      </c>
      <c r="F52">
        <v>-0.25800000000000001</v>
      </c>
      <c r="G52">
        <v>2.4083000000000001</v>
      </c>
      <c r="H52">
        <v>0.61</v>
      </c>
      <c r="I52">
        <v>7.1078999999999999</v>
      </c>
      <c r="J52">
        <v>5.7592999999999996</v>
      </c>
    </row>
    <row r="53" spans="1:10">
      <c r="A53"/>
      <c r="B53"/>
      <c r="C53"/>
      <c r="D53">
        <v>1013</v>
      </c>
      <c r="E53">
        <v>-105.70059999999999</v>
      </c>
      <c r="F53">
        <v>0.18049999999999999</v>
      </c>
      <c r="G53">
        <v>-7.3200000000000001E-2</v>
      </c>
      <c r="H53">
        <v>-1.3053999999999999</v>
      </c>
      <c r="I53">
        <v>1.0851999999999999</v>
      </c>
      <c r="J53">
        <v>1.1067</v>
      </c>
    </row>
    <row r="54" spans="1:10">
      <c r="A54"/>
      <c r="B54"/>
      <c r="C54"/>
      <c r="D54">
        <v>1014</v>
      </c>
      <c r="E54">
        <v>-49.718899999999998</v>
      </c>
      <c r="F54">
        <v>0.19769999999999999</v>
      </c>
      <c r="G54">
        <v>1.4579</v>
      </c>
      <c r="H54">
        <v>-1.6919</v>
      </c>
      <c r="I54">
        <v>5.4127999999999998</v>
      </c>
      <c r="J54">
        <v>0.95720000000000005</v>
      </c>
    </row>
    <row r="55" spans="1:10">
      <c r="A55"/>
      <c r="B55"/>
      <c r="C55"/>
      <c r="D55">
        <v>1015</v>
      </c>
      <c r="E55">
        <v>28.546900000000001</v>
      </c>
      <c r="F55">
        <v>-8.6900000000000005E-2</v>
      </c>
      <c r="G55">
        <v>2.9502999999999999</v>
      </c>
      <c r="H55">
        <v>2.69E-2</v>
      </c>
      <c r="I55">
        <v>8.8164999999999996</v>
      </c>
      <c r="J55">
        <v>5.4429999999999996</v>
      </c>
    </row>
    <row r="56" spans="1:10">
      <c r="A56"/>
      <c r="B56"/>
      <c r="C56"/>
      <c r="D56">
        <v>1016</v>
      </c>
      <c r="E56">
        <v>-31.681899999999999</v>
      </c>
      <c r="F56">
        <v>-0.13539999999999999</v>
      </c>
      <c r="G56">
        <v>1.3662000000000001</v>
      </c>
      <c r="H56">
        <v>0.4088</v>
      </c>
      <c r="I56">
        <v>4.2614999999999998</v>
      </c>
      <c r="J56">
        <v>5.5418000000000003</v>
      </c>
    </row>
    <row r="57" spans="1:10">
      <c r="A57"/>
      <c r="B57"/>
      <c r="C57"/>
      <c r="D57">
        <v>2001</v>
      </c>
      <c r="E57">
        <v>-146.0532</v>
      </c>
      <c r="F57">
        <v>0.20430000000000001</v>
      </c>
      <c r="G57">
        <v>-3.0253000000000001</v>
      </c>
      <c r="H57">
        <v>-0.34360000000000002</v>
      </c>
      <c r="I57">
        <v>-5.6608999999999998</v>
      </c>
      <c r="J57">
        <v>4.4132999999999996</v>
      </c>
    </row>
    <row r="58" spans="1:10">
      <c r="A58"/>
      <c r="B58"/>
      <c r="C58"/>
      <c r="D58">
        <v>2002</v>
      </c>
      <c r="E58">
        <v>-157.54300000000001</v>
      </c>
      <c r="F58">
        <v>0.56840000000000002</v>
      </c>
      <c r="G58">
        <v>-3.0948000000000002</v>
      </c>
      <c r="H58">
        <v>-2.1179000000000001</v>
      </c>
      <c r="I58">
        <v>-5.2077999999999998</v>
      </c>
      <c r="J58">
        <v>1.3067</v>
      </c>
    </row>
    <row r="59" spans="1:10">
      <c r="A59"/>
      <c r="B59"/>
      <c r="C59"/>
      <c r="D59">
        <v>2003</v>
      </c>
      <c r="E59">
        <v>-64.824200000000005</v>
      </c>
      <c r="F59">
        <v>0.2296</v>
      </c>
      <c r="G59">
        <v>-0.78779999999999994</v>
      </c>
      <c r="H59">
        <v>-0.91059999999999997</v>
      </c>
      <c r="I59">
        <v>0.66049999999999998</v>
      </c>
      <c r="J59">
        <v>4.1943999999999999</v>
      </c>
    </row>
    <row r="60" spans="1:10">
      <c r="A60"/>
      <c r="B60"/>
      <c r="C60"/>
      <c r="D60">
        <v>2004</v>
      </c>
      <c r="E60">
        <v>-53.318800000000003</v>
      </c>
      <c r="F60">
        <v>-0.1353</v>
      </c>
      <c r="G60">
        <v>-0.71699999999999997</v>
      </c>
      <c r="H60">
        <v>0.86470000000000002</v>
      </c>
      <c r="I60">
        <v>0.2104</v>
      </c>
      <c r="J60">
        <v>7.3009000000000004</v>
      </c>
    </row>
    <row r="61" spans="1:10">
      <c r="A61"/>
      <c r="B61"/>
      <c r="C61"/>
      <c r="D61">
        <v>2005</v>
      </c>
      <c r="E61">
        <v>-177.14250000000001</v>
      </c>
      <c r="F61">
        <v>0.41060000000000002</v>
      </c>
      <c r="G61">
        <v>-3.5539999999999998</v>
      </c>
      <c r="H61">
        <v>-1.4538</v>
      </c>
      <c r="I61">
        <v>-6.6345000000000001</v>
      </c>
      <c r="J61">
        <v>1.8191999999999999</v>
      </c>
    </row>
    <row r="62" spans="1:10">
      <c r="A62"/>
      <c r="B62"/>
      <c r="C62"/>
      <c r="D62">
        <v>2006</v>
      </c>
      <c r="E62">
        <v>-119.71469999999999</v>
      </c>
      <c r="F62">
        <v>0.42820000000000003</v>
      </c>
      <c r="G62">
        <v>-1.9722999999999999</v>
      </c>
      <c r="H62">
        <v>-1.8539000000000001</v>
      </c>
      <c r="I62">
        <v>-2.1657999999999999</v>
      </c>
      <c r="J62">
        <v>1.6646000000000001</v>
      </c>
    </row>
    <row r="63" spans="1:10">
      <c r="A63"/>
      <c r="B63"/>
      <c r="C63"/>
      <c r="D63">
        <v>2007</v>
      </c>
      <c r="E63">
        <v>-29.499700000000001</v>
      </c>
      <c r="F63">
        <v>5.45E-2</v>
      </c>
      <c r="G63">
        <v>-0.20649999999999999</v>
      </c>
      <c r="H63">
        <v>0.2044</v>
      </c>
      <c r="I63">
        <v>1.8605</v>
      </c>
      <c r="J63">
        <v>6.8392999999999997</v>
      </c>
    </row>
    <row r="64" spans="1:10">
      <c r="A64"/>
      <c r="B64"/>
      <c r="C64"/>
      <c r="D64">
        <v>2008</v>
      </c>
      <c r="E64">
        <v>-91.174599999999998</v>
      </c>
      <c r="F64">
        <v>5.5999999999999999E-3</v>
      </c>
      <c r="G64">
        <v>-1.8411999999999999</v>
      </c>
      <c r="H64">
        <v>0.6</v>
      </c>
      <c r="I64">
        <v>-2.8355000000000001</v>
      </c>
      <c r="J64">
        <v>6.9431000000000003</v>
      </c>
    </row>
    <row r="65" spans="1:10">
      <c r="A65"/>
      <c r="B65"/>
      <c r="C65"/>
      <c r="D65">
        <v>2009</v>
      </c>
      <c r="E65">
        <v>-125.09780000000001</v>
      </c>
      <c r="F65">
        <v>0.16600000000000001</v>
      </c>
      <c r="G65">
        <v>-2.79</v>
      </c>
      <c r="H65">
        <v>-0.20619999999999999</v>
      </c>
      <c r="I65">
        <v>-5.5143000000000004</v>
      </c>
      <c r="J65">
        <v>3.4805000000000001</v>
      </c>
    </row>
    <row r="66" spans="1:10">
      <c r="A66"/>
      <c r="B66"/>
      <c r="C66"/>
      <c r="D66">
        <v>2010</v>
      </c>
      <c r="E66">
        <v>-129.15969999999999</v>
      </c>
      <c r="F66">
        <v>0.4667</v>
      </c>
      <c r="G66">
        <v>-2.7019000000000002</v>
      </c>
      <c r="H66">
        <v>-1.7306999999999999</v>
      </c>
      <c r="I66">
        <v>-4.7206000000000001</v>
      </c>
      <c r="J66">
        <v>0.86460000000000004</v>
      </c>
    </row>
    <row r="67" spans="1:10">
      <c r="A67"/>
      <c r="B67"/>
      <c r="C67"/>
      <c r="D67">
        <v>2011</v>
      </c>
      <c r="E67">
        <v>-45.914099999999998</v>
      </c>
      <c r="F67">
        <v>0.19059999999999999</v>
      </c>
      <c r="G67">
        <v>-0.62409999999999999</v>
      </c>
      <c r="H67">
        <v>-0.75380000000000003</v>
      </c>
      <c r="I67">
        <v>0.60760000000000003</v>
      </c>
      <c r="J67">
        <v>3.2686999999999999</v>
      </c>
    </row>
    <row r="68" spans="1:10">
      <c r="A68"/>
      <c r="B68"/>
      <c r="C68"/>
      <c r="D68">
        <v>2012</v>
      </c>
      <c r="E68">
        <v>-41.836599999999997</v>
      </c>
      <c r="F68">
        <v>-0.111</v>
      </c>
      <c r="G68">
        <v>-0.71089999999999998</v>
      </c>
      <c r="H68">
        <v>0.77170000000000005</v>
      </c>
      <c r="I68">
        <v>-0.183</v>
      </c>
      <c r="J68">
        <v>5.8844000000000003</v>
      </c>
    </row>
    <row r="69" spans="1:10">
      <c r="A69"/>
      <c r="B69"/>
      <c r="C69"/>
      <c r="D69">
        <v>2013</v>
      </c>
      <c r="E69">
        <v>-150.5121</v>
      </c>
      <c r="F69">
        <v>0.3276</v>
      </c>
      <c r="G69">
        <v>-3.1924999999999999</v>
      </c>
      <c r="H69">
        <v>-1.1436999999999999</v>
      </c>
      <c r="I69">
        <v>-6.2057000000000002</v>
      </c>
      <c r="J69">
        <v>1.2318</v>
      </c>
    </row>
    <row r="70" spans="1:10">
      <c r="A70"/>
      <c r="B70"/>
      <c r="C70"/>
      <c r="D70">
        <v>2014</v>
      </c>
      <c r="E70">
        <v>-94.5304</v>
      </c>
      <c r="F70">
        <v>0.34470000000000001</v>
      </c>
      <c r="G70">
        <v>-1.6614</v>
      </c>
      <c r="H70">
        <v>-1.5302</v>
      </c>
      <c r="I70">
        <v>-1.8781000000000001</v>
      </c>
      <c r="J70">
        <v>1.0823</v>
      </c>
    </row>
    <row r="71" spans="1:10">
      <c r="A71"/>
      <c r="B71"/>
      <c r="C71"/>
      <c r="D71">
        <v>2015</v>
      </c>
      <c r="E71">
        <v>-16.264600000000002</v>
      </c>
      <c r="F71">
        <v>6.0100000000000001E-2</v>
      </c>
      <c r="G71">
        <v>-0.16900000000000001</v>
      </c>
      <c r="H71">
        <v>0.18859999999999999</v>
      </c>
      <c r="I71">
        <v>1.5256000000000001</v>
      </c>
      <c r="J71">
        <v>5.5681000000000003</v>
      </c>
    </row>
    <row r="72" spans="1:10">
      <c r="A72"/>
      <c r="B72"/>
      <c r="C72"/>
      <c r="D72">
        <v>2016</v>
      </c>
      <c r="E72">
        <v>-76.493399999999994</v>
      </c>
      <c r="F72">
        <v>1.17E-2</v>
      </c>
      <c r="G72">
        <v>-1.7531000000000001</v>
      </c>
      <c r="H72">
        <v>0.57050000000000001</v>
      </c>
      <c r="I72">
        <v>-3.0293999999999999</v>
      </c>
      <c r="J72">
        <v>5.6669</v>
      </c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 t="s">
        <v>654</v>
      </c>
      <c r="B74">
        <v>1127</v>
      </c>
      <c r="C74" t="s">
        <v>655</v>
      </c>
      <c r="D74">
        <v>1001</v>
      </c>
      <c r="E74">
        <v>-105.2167</v>
      </c>
      <c r="F74">
        <v>3.024</v>
      </c>
      <c r="G74">
        <v>1.5125</v>
      </c>
      <c r="H74">
        <v>-1.9459</v>
      </c>
      <c r="I74">
        <v>1.738</v>
      </c>
      <c r="J74">
        <v>-4.9762000000000004</v>
      </c>
    </row>
    <row r="75" spans="1:10">
      <c r="A75"/>
      <c r="B75"/>
      <c r="C75"/>
      <c r="D75">
        <v>1002</v>
      </c>
      <c r="E75">
        <v>-126.5501</v>
      </c>
      <c r="F75">
        <v>-2.302</v>
      </c>
      <c r="G75">
        <v>2.2113</v>
      </c>
      <c r="H75">
        <v>-3.0169000000000001</v>
      </c>
      <c r="I75">
        <v>-0.90800000000000003</v>
      </c>
      <c r="J75">
        <v>-0.70030000000000003</v>
      </c>
    </row>
    <row r="76" spans="1:10">
      <c r="A76"/>
      <c r="B76"/>
      <c r="C76"/>
      <c r="D76">
        <v>1003</v>
      </c>
      <c r="E76">
        <v>-267.11559999999997</v>
      </c>
      <c r="F76">
        <v>3.3012000000000001</v>
      </c>
      <c r="G76">
        <v>-0.4894</v>
      </c>
      <c r="H76">
        <v>-1.3624000000000001</v>
      </c>
      <c r="I76">
        <v>5.2473999999999998</v>
      </c>
      <c r="J76">
        <v>-4.2255000000000003</v>
      </c>
    </row>
    <row r="77" spans="1:10">
      <c r="A77"/>
      <c r="B77"/>
      <c r="C77"/>
      <c r="D77">
        <v>1004</v>
      </c>
      <c r="E77">
        <v>-245.88050000000001</v>
      </c>
      <c r="F77">
        <v>8.6302000000000003</v>
      </c>
      <c r="G77">
        <v>-1.1888000000000001</v>
      </c>
      <c r="H77">
        <v>-0.29380000000000001</v>
      </c>
      <c r="I77">
        <v>7.8943000000000003</v>
      </c>
      <c r="J77">
        <v>-8.5063999999999993</v>
      </c>
    </row>
    <row r="78" spans="1:10">
      <c r="A78"/>
      <c r="B78"/>
      <c r="C78"/>
      <c r="D78">
        <v>1005</v>
      </c>
      <c r="E78">
        <v>-84.944800000000001</v>
      </c>
      <c r="F78">
        <v>-0.96389999999999998</v>
      </c>
      <c r="G78">
        <v>2.5160999999999998</v>
      </c>
      <c r="H78">
        <v>-2.7010000000000001</v>
      </c>
      <c r="I78">
        <v>-1.0347999999999999</v>
      </c>
      <c r="J78">
        <v>-1.9467000000000001</v>
      </c>
    </row>
    <row r="79" spans="1:10">
      <c r="A79"/>
      <c r="B79"/>
      <c r="C79"/>
      <c r="D79">
        <v>1006</v>
      </c>
      <c r="E79">
        <v>-199.39680000000001</v>
      </c>
      <c r="F79">
        <v>-0.76680000000000004</v>
      </c>
      <c r="G79">
        <v>1.1007</v>
      </c>
      <c r="H79">
        <v>-2.2869000000000002</v>
      </c>
      <c r="I79">
        <v>1.4463999999999999</v>
      </c>
      <c r="J79">
        <v>-1.4157999999999999</v>
      </c>
    </row>
    <row r="80" spans="1:10">
      <c r="A80"/>
      <c r="B80"/>
      <c r="C80"/>
      <c r="D80">
        <v>1007</v>
      </c>
      <c r="E80">
        <v>-296.64190000000002</v>
      </c>
      <c r="F80">
        <v>7.4889999999999999</v>
      </c>
      <c r="G80">
        <v>-1.6633</v>
      </c>
      <c r="H80">
        <v>-0.61140000000000005</v>
      </c>
      <c r="I80">
        <v>8.2895000000000003</v>
      </c>
      <c r="J80">
        <v>-7.3661000000000003</v>
      </c>
    </row>
    <row r="81" spans="1:10">
      <c r="A81"/>
      <c r="B81"/>
      <c r="C81"/>
      <c r="D81">
        <v>1008</v>
      </c>
      <c r="E81">
        <v>-172.91900000000001</v>
      </c>
      <c r="F81">
        <v>7.0922999999999998</v>
      </c>
      <c r="G81">
        <v>-7.7399999999999997E-2</v>
      </c>
      <c r="H81">
        <v>-1.0224</v>
      </c>
      <c r="I81">
        <v>5.5385999999999997</v>
      </c>
      <c r="J81">
        <v>-7.7868000000000004</v>
      </c>
    </row>
    <row r="82" spans="1:10">
      <c r="A82"/>
      <c r="B82"/>
      <c r="C82"/>
      <c r="D82">
        <v>1009</v>
      </c>
      <c r="E82">
        <v>-118.80459999999999</v>
      </c>
      <c r="F82">
        <v>2.3755000000000002</v>
      </c>
      <c r="G82">
        <v>0.86670000000000003</v>
      </c>
      <c r="H82">
        <v>-1.6158999999999999</v>
      </c>
      <c r="I82">
        <v>2.2987000000000002</v>
      </c>
      <c r="J82">
        <v>-3.9217</v>
      </c>
    </row>
    <row r="83" spans="1:10">
      <c r="A83"/>
      <c r="B83"/>
      <c r="C83"/>
      <c r="D83">
        <v>1010</v>
      </c>
      <c r="E83">
        <v>-147.61109999999999</v>
      </c>
      <c r="F83">
        <v>-2.0794999999999999</v>
      </c>
      <c r="G83">
        <v>1.3190999999999999</v>
      </c>
      <c r="H83">
        <v>-2.4788000000000001</v>
      </c>
      <c r="I83">
        <v>0.31009999999999999</v>
      </c>
      <c r="J83">
        <v>-0.28370000000000001</v>
      </c>
    </row>
    <row r="84" spans="1:10">
      <c r="A84"/>
      <c r="B84"/>
      <c r="C84"/>
      <c r="D84">
        <v>1011</v>
      </c>
      <c r="E84">
        <v>-275.71089999999998</v>
      </c>
      <c r="F84">
        <v>2.6412</v>
      </c>
      <c r="G84">
        <v>-1.0809</v>
      </c>
      <c r="H84">
        <v>-1.0512999999999999</v>
      </c>
      <c r="I84">
        <v>5.7122000000000002</v>
      </c>
      <c r="J84">
        <v>-3.1919</v>
      </c>
    </row>
    <row r="85" spans="1:10">
      <c r="A85"/>
      <c r="B85"/>
      <c r="C85"/>
      <c r="D85">
        <v>1012</v>
      </c>
      <c r="E85">
        <v>-247.0027</v>
      </c>
      <c r="F85">
        <v>7.0991999999999997</v>
      </c>
      <c r="G85">
        <v>-1.5339</v>
      </c>
      <c r="H85">
        <v>-0.1908</v>
      </c>
      <c r="I85">
        <v>7.7016</v>
      </c>
      <c r="J85">
        <v>-6.8349000000000002</v>
      </c>
    </row>
    <row r="86" spans="1:10">
      <c r="A86"/>
      <c r="B86"/>
      <c r="C86"/>
      <c r="D86">
        <v>1013</v>
      </c>
      <c r="E86">
        <v>-104.8497</v>
      </c>
      <c r="F86">
        <v>-0.99429999999999996</v>
      </c>
      <c r="G86">
        <v>1.6848000000000001</v>
      </c>
      <c r="H86">
        <v>-2.2200000000000002</v>
      </c>
      <c r="I86">
        <v>1.0500000000000001E-2</v>
      </c>
      <c r="J86">
        <v>-1.3389</v>
      </c>
    </row>
    <row r="87" spans="1:10">
      <c r="A87"/>
      <c r="B87"/>
      <c r="C87"/>
      <c r="D87">
        <v>1014</v>
      </c>
      <c r="E87">
        <v>-215.77180000000001</v>
      </c>
      <c r="F87">
        <v>-0.80530000000000002</v>
      </c>
      <c r="G87">
        <v>0.30780000000000002</v>
      </c>
      <c r="H87">
        <v>-1.8191999999999999</v>
      </c>
      <c r="I87">
        <v>2.4239000000000002</v>
      </c>
      <c r="J87">
        <v>-0.82279999999999998</v>
      </c>
    </row>
    <row r="88" spans="1:10">
      <c r="A88"/>
      <c r="B88"/>
      <c r="C88"/>
      <c r="D88">
        <v>1015</v>
      </c>
      <c r="E88">
        <v>-298.92020000000002</v>
      </c>
      <c r="F88">
        <v>6.2107999999999999</v>
      </c>
      <c r="G88">
        <v>-2.0693000000000001</v>
      </c>
      <c r="H88">
        <v>-0.45129999999999998</v>
      </c>
      <c r="I88">
        <v>8.2697000000000003</v>
      </c>
      <c r="J88">
        <v>-5.8857999999999997</v>
      </c>
    </row>
    <row r="89" spans="1:10">
      <c r="A89"/>
      <c r="B89"/>
      <c r="C89"/>
      <c r="D89">
        <v>1016</v>
      </c>
      <c r="E89">
        <v>-178.72710000000001</v>
      </c>
      <c r="F89">
        <v>5.8221999999999996</v>
      </c>
      <c r="G89">
        <v>-0.52190000000000003</v>
      </c>
      <c r="H89">
        <v>-0.84899999999999998</v>
      </c>
      <c r="I89">
        <v>5.5865</v>
      </c>
      <c r="J89">
        <v>-6.2918000000000003</v>
      </c>
    </row>
    <row r="90" spans="1:10">
      <c r="A90"/>
      <c r="B90"/>
      <c r="C90"/>
      <c r="D90">
        <v>2001</v>
      </c>
      <c r="E90">
        <v>235.15</v>
      </c>
      <c r="F90">
        <v>2.7988</v>
      </c>
      <c r="G90">
        <v>4.9722999999999997</v>
      </c>
      <c r="H90">
        <v>-1.7033</v>
      </c>
      <c r="I90">
        <v>-6.7933000000000003</v>
      </c>
      <c r="J90">
        <v>-5.2274000000000003</v>
      </c>
    </row>
    <row r="91" spans="1:10">
      <c r="A91"/>
      <c r="B91"/>
      <c r="C91"/>
      <c r="D91">
        <v>2002</v>
      </c>
      <c r="E91">
        <v>213.81659999999999</v>
      </c>
      <c r="F91">
        <v>-2.5272000000000001</v>
      </c>
      <c r="G91">
        <v>5.6710000000000003</v>
      </c>
      <c r="H91">
        <v>-2.7743000000000002</v>
      </c>
      <c r="I91">
        <v>-9.4392999999999994</v>
      </c>
      <c r="J91">
        <v>-0.95150000000000001</v>
      </c>
    </row>
    <row r="92" spans="1:10">
      <c r="A92"/>
      <c r="B92"/>
      <c r="C92"/>
      <c r="D92">
        <v>2003</v>
      </c>
      <c r="E92">
        <v>73.251000000000005</v>
      </c>
      <c r="F92">
        <v>3.0760000000000001</v>
      </c>
      <c r="G92">
        <v>2.9702999999999999</v>
      </c>
      <c r="H92">
        <v>-1.1197999999999999</v>
      </c>
      <c r="I92">
        <v>-3.2839</v>
      </c>
      <c r="J92">
        <v>-4.4767999999999999</v>
      </c>
    </row>
    <row r="93" spans="1:10">
      <c r="A93"/>
      <c r="B93"/>
      <c r="C93"/>
      <c r="D93">
        <v>2004</v>
      </c>
      <c r="E93">
        <v>94.486099999999993</v>
      </c>
      <c r="F93">
        <v>8.4049999999999994</v>
      </c>
      <c r="G93">
        <v>2.2709000000000001</v>
      </c>
      <c r="H93">
        <v>-5.1200000000000002E-2</v>
      </c>
      <c r="I93">
        <v>-0.6371</v>
      </c>
      <c r="J93">
        <v>-8.7576999999999998</v>
      </c>
    </row>
    <row r="94" spans="1:10">
      <c r="A94"/>
      <c r="B94"/>
      <c r="C94"/>
      <c r="D94">
        <v>2005</v>
      </c>
      <c r="E94">
        <v>255.42179999999999</v>
      </c>
      <c r="F94">
        <v>-1.1891</v>
      </c>
      <c r="G94">
        <v>5.9757999999999996</v>
      </c>
      <c r="H94">
        <v>-2.4584000000000001</v>
      </c>
      <c r="I94">
        <v>-9.5661000000000005</v>
      </c>
      <c r="J94">
        <v>-2.1979000000000002</v>
      </c>
    </row>
    <row r="95" spans="1:10">
      <c r="A95"/>
      <c r="B95"/>
      <c r="C95"/>
      <c r="D95">
        <v>2006</v>
      </c>
      <c r="E95">
        <v>140.9699</v>
      </c>
      <c r="F95">
        <v>-0.99199999999999999</v>
      </c>
      <c r="G95">
        <v>4.5603999999999996</v>
      </c>
      <c r="H95">
        <v>-2.0442999999999998</v>
      </c>
      <c r="I95">
        <v>-7.085</v>
      </c>
      <c r="J95">
        <v>-1.6671</v>
      </c>
    </row>
    <row r="96" spans="1:10">
      <c r="A96"/>
      <c r="B96"/>
      <c r="C96"/>
      <c r="D96">
        <v>2007</v>
      </c>
      <c r="E96">
        <v>43.724699999999999</v>
      </c>
      <c r="F96">
        <v>7.2637999999999998</v>
      </c>
      <c r="G96">
        <v>1.7964</v>
      </c>
      <c r="H96">
        <v>-0.36880000000000002</v>
      </c>
      <c r="I96">
        <v>-0.2419</v>
      </c>
      <c r="J96">
        <v>-7.6173000000000002</v>
      </c>
    </row>
    <row r="97" spans="1:10">
      <c r="A97"/>
      <c r="B97"/>
      <c r="C97"/>
      <c r="D97">
        <v>2008</v>
      </c>
      <c r="E97">
        <v>167.44759999999999</v>
      </c>
      <c r="F97">
        <v>6.8670999999999998</v>
      </c>
      <c r="G97">
        <v>3.3822999999999999</v>
      </c>
      <c r="H97">
        <v>-0.77980000000000005</v>
      </c>
      <c r="I97">
        <v>-2.9927999999999999</v>
      </c>
      <c r="J97">
        <v>-8.0381</v>
      </c>
    </row>
    <row r="98" spans="1:10">
      <c r="A98"/>
      <c r="B98"/>
      <c r="C98"/>
      <c r="D98">
        <v>2009</v>
      </c>
      <c r="E98">
        <v>221.56200000000001</v>
      </c>
      <c r="F98">
        <v>2.1503000000000001</v>
      </c>
      <c r="G98">
        <v>4.3263999999999996</v>
      </c>
      <c r="H98">
        <v>-1.3733</v>
      </c>
      <c r="I98">
        <v>-6.2327000000000004</v>
      </c>
      <c r="J98">
        <v>-4.173</v>
      </c>
    </row>
    <row r="99" spans="1:10">
      <c r="A99"/>
      <c r="B99"/>
      <c r="C99"/>
      <c r="D99">
        <v>2010</v>
      </c>
      <c r="E99">
        <v>192.75559999999999</v>
      </c>
      <c r="F99">
        <v>-2.3047</v>
      </c>
      <c r="G99">
        <v>4.7788000000000004</v>
      </c>
      <c r="H99">
        <v>-2.2363</v>
      </c>
      <c r="I99">
        <v>-8.2211999999999996</v>
      </c>
      <c r="J99">
        <v>-0.53490000000000004</v>
      </c>
    </row>
    <row r="100" spans="1:10">
      <c r="A100"/>
      <c r="B100"/>
      <c r="C100"/>
      <c r="D100">
        <v>2011</v>
      </c>
      <c r="E100">
        <v>64.655699999999996</v>
      </c>
      <c r="F100">
        <v>2.4159999999999999</v>
      </c>
      <c r="G100">
        <v>2.3788</v>
      </c>
      <c r="H100">
        <v>-0.80879999999999996</v>
      </c>
      <c r="I100">
        <v>-2.8191000000000002</v>
      </c>
      <c r="J100">
        <v>-3.4432</v>
      </c>
    </row>
    <row r="101" spans="1:10">
      <c r="A101"/>
      <c r="B101"/>
      <c r="C101"/>
      <c r="D101">
        <v>2012</v>
      </c>
      <c r="E101">
        <v>93.363900000000001</v>
      </c>
      <c r="F101">
        <v>6.8739999999999997</v>
      </c>
      <c r="G101">
        <v>1.9258</v>
      </c>
      <c r="H101">
        <v>5.1799999999999999E-2</v>
      </c>
      <c r="I101">
        <v>-0.82969999999999999</v>
      </c>
      <c r="J101">
        <v>-7.0861000000000001</v>
      </c>
    </row>
    <row r="102" spans="1:10">
      <c r="A102"/>
      <c r="B102"/>
      <c r="C102"/>
      <c r="D102">
        <v>2013</v>
      </c>
      <c r="E102">
        <v>235.51689999999999</v>
      </c>
      <c r="F102">
        <v>-1.2195</v>
      </c>
      <c r="G102">
        <v>5.1444999999999999</v>
      </c>
      <c r="H102">
        <v>-1.9774</v>
      </c>
      <c r="I102">
        <v>-8.5207999999999995</v>
      </c>
      <c r="J102">
        <v>-1.5901000000000001</v>
      </c>
    </row>
    <row r="103" spans="1:10">
      <c r="A103"/>
      <c r="B103"/>
      <c r="C103"/>
      <c r="D103">
        <v>2014</v>
      </c>
      <c r="E103">
        <v>124.59480000000001</v>
      </c>
      <c r="F103">
        <v>-1.0305</v>
      </c>
      <c r="G103">
        <v>3.7675000000000001</v>
      </c>
      <c r="H103">
        <v>-1.5767</v>
      </c>
      <c r="I103">
        <v>-6.1074999999999999</v>
      </c>
      <c r="J103">
        <v>-1.0740000000000001</v>
      </c>
    </row>
    <row r="104" spans="1:10">
      <c r="A104"/>
      <c r="B104"/>
      <c r="C104"/>
      <c r="D104">
        <v>2015</v>
      </c>
      <c r="E104">
        <v>41.446399999999997</v>
      </c>
      <c r="F104">
        <v>5.9855999999999998</v>
      </c>
      <c r="G104">
        <v>1.3904000000000001</v>
      </c>
      <c r="H104">
        <v>-0.20880000000000001</v>
      </c>
      <c r="I104">
        <v>-0.26169999999999999</v>
      </c>
      <c r="J104">
        <v>-6.1371000000000002</v>
      </c>
    </row>
    <row r="105" spans="1:10">
      <c r="A105"/>
      <c r="B105"/>
      <c r="C105"/>
      <c r="D105">
        <v>2016</v>
      </c>
      <c r="E105">
        <v>161.6395</v>
      </c>
      <c r="F105">
        <v>5.5971000000000002</v>
      </c>
      <c r="G105">
        <v>2.9378000000000002</v>
      </c>
      <c r="H105">
        <v>-0.60640000000000005</v>
      </c>
      <c r="I105">
        <v>-2.9449000000000001</v>
      </c>
      <c r="J105">
        <v>-6.5430000000000001</v>
      </c>
    </row>
    <row r="106" spans="1:10">
      <c r="A106"/>
      <c r="B106">
        <v>2085</v>
      </c>
      <c r="C106"/>
      <c r="D106">
        <v>1001</v>
      </c>
      <c r="E106">
        <v>-100.4542</v>
      </c>
      <c r="F106">
        <v>3.024</v>
      </c>
      <c r="G106">
        <v>-2.9087999999999998</v>
      </c>
      <c r="H106">
        <v>-1.9459</v>
      </c>
      <c r="I106">
        <v>-1.8683000000000001</v>
      </c>
      <c r="J106">
        <v>10.6569</v>
      </c>
    </row>
    <row r="107" spans="1:10">
      <c r="A107"/>
      <c r="B107"/>
      <c r="C107"/>
      <c r="D107">
        <v>1002</v>
      </c>
      <c r="E107">
        <v>-121.4259</v>
      </c>
      <c r="F107">
        <v>0.84460000000000002</v>
      </c>
      <c r="G107">
        <v>-1.4862</v>
      </c>
      <c r="H107">
        <v>-3.0169000000000001</v>
      </c>
      <c r="I107">
        <v>0.96609999999999996</v>
      </c>
      <c r="J107">
        <v>-4.4706999999999999</v>
      </c>
    </row>
    <row r="108" spans="1:10">
      <c r="A108"/>
      <c r="B108"/>
      <c r="C108"/>
      <c r="D108">
        <v>1003</v>
      </c>
      <c r="E108">
        <v>-261.62959999999998</v>
      </c>
      <c r="F108">
        <v>3.3012000000000001</v>
      </c>
      <c r="G108">
        <v>-3.4630999999999998</v>
      </c>
      <c r="H108">
        <v>-1.3624000000000001</v>
      </c>
      <c r="I108">
        <v>-4.9718999999999998</v>
      </c>
      <c r="J108">
        <v>12.8405</v>
      </c>
    </row>
    <row r="109" spans="1:10">
      <c r="A109"/>
      <c r="B109"/>
      <c r="C109"/>
      <c r="D109">
        <v>1004</v>
      </c>
      <c r="E109">
        <v>-240.75630000000001</v>
      </c>
      <c r="F109">
        <v>5.4836</v>
      </c>
      <c r="G109">
        <v>-4.8863000000000003</v>
      </c>
      <c r="H109">
        <v>-0.29380000000000001</v>
      </c>
      <c r="I109">
        <v>-7.8089000000000004</v>
      </c>
      <c r="J109">
        <v>27.9787</v>
      </c>
    </row>
    <row r="110" spans="1:10">
      <c r="A110"/>
      <c r="B110"/>
      <c r="C110"/>
      <c r="D110">
        <v>1005</v>
      </c>
      <c r="E110">
        <v>-80.076400000000007</v>
      </c>
      <c r="F110">
        <v>1.2606999999999999</v>
      </c>
      <c r="G110">
        <v>-1.6932</v>
      </c>
      <c r="H110">
        <v>-2.7010000000000001</v>
      </c>
      <c r="I110">
        <v>1.0941000000000001</v>
      </c>
      <c r="J110">
        <v>-1.1819</v>
      </c>
    </row>
    <row r="111" spans="1:10">
      <c r="A111"/>
      <c r="B111"/>
      <c r="C111"/>
      <c r="D111">
        <v>1006</v>
      </c>
      <c r="E111">
        <v>-194.01679999999999</v>
      </c>
      <c r="F111">
        <v>1.4579</v>
      </c>
      <c r="G111">
        <v>-2.0851000000000002</v>
      </c>
      <c r="H111">
        <v>-2.2869000000000002</v>
      </c>
      <c r="I111">
        <v>-1.1001000000000001</v>
      </c>
      <c r="J111">
        <v>0.36799999999999999</v>
      </c>
    </row>
    <row r="112" spans="1:10">
      <c r="A112"/>
      <c r="B112"/>
      <c r="C112"/>
      <c r="D112">
        <v>1007</v>
      </c>
      <c r="E112">
        <v>-291.26190000000003</v>
      </c>
      <c r="F112">
        <v>5.0702999999999996</v>
      </c>
      <c r="G112">
        <v>-4.6917999999999997</v>
      </c>
      <c r="H112">
        <v>-0.61140000000000005</v>
      </c>
      <c r="I112">
        <v>-8.1410999999999998</v>
      </c>
      <c r="J112">
        <v>25.102</v>
      </c>
    </row>
    <row r="113" spans="1:10">
      <c r="A113"/>
      <c r="B113"/>
      <c r="C113"/>
      <c r="D113">
        <v>1008</v>
      </c>
      <c r="E113">
        <v>-168.0506</v>
      </c>
      <c r="F113">
        <v>4.8676000000000004</v>
      </c>
      <c r="G113">
        <v>-4.2866999999999997</v>
      </c>
      <c r="H113">
        <v>-1.0224</v>
      </c>
      <c r="I113">
        <v>-5.7397999999999998</v>
      </c>
      <c r="J113">
        <v>23.129799999999999</v>
      </c>
    </row>
    <row r="114" spans="1:10">
      <c r="A114"/>
      <c r="B114"/>
      <c r="C114"/>
      <c r="D114">
        <v>1009</v>
      </c>
      <c r="E114">
        <v>-115.1096</v>
      </c>
      <c r="F114">
        <v>2.3755000000000002</v>
      </c>
      <c r="G114">
        <v>-2.7544</v>
      </c>
      <c r="H114">
        <v>-1.6158999999999999</v>
      </c>
      <c r="I114">
        <v>-2.5779999999999998</v>
      </c>
      <c r="J114">
        <v>8.3587000000000007</v>
      </c>
    </row>
    <row r="115" spans="1:10">
      <c r="A115"/>
      <c r="B115"/>
      <c r="C115"/>
      <c r="D115">
        <v>1010</v>
      </c>
      <c r="E115">
        <v>-143.5685</v>
      </c>
      <c r="F115">
        <v>0.58030000000000004</v>
      </c>
      <c r="G115">
        <v>-1.5979000000000001</v>
      </c>
      <c r="H115">
        <v>-2.4788000000000001</v>
      </c>
      <c r="I115">
        <v>-0.41070000000000001</v>
      </c>
      <c r="J115">
        <v>-4.1623999999999999</v>
      </c>
    </row>
    <row r="116" spans="1:10">
      <c r="A116"/>
      <c r="B116"/>
      <c r="C116"/>
      <c r="D116">
        <v>1011</v>
      </c>
      <c r="E116">
        <v>-271.32080000000002</v>
      </c>
      <c r="F116">
        <v>2.6412</v>
      </c>
      <c r="G116">
        <v>-3.2936999999999999</v>
      </c>
      <c r="H116">
        <v>-1.0512999999999999</v>
      </c>
      <c r="I116">
        <v>-5.5980999999999996</v>
      </c>
      <c r="J116">
        <v>10.4621</v>
      </c>
    </row>
    <row r="117" spans="1:10">
      <c r="A117"/>
      <c r="B117"/>
      <c r="C117"/>
      <c r="D117">
        <v>1012</v>
      </c>
      <c r="E117">
        <v>-242.96010000000001</v>
      </c>
      <c r="F117">
        <v>4.4394999999999998</v>
      </c>
      <c r="G117">
        <v>-4.4508999999999999</v>
      </c>
      <c r="H117">
        <v>-0.1908</v>
      </c>
      <c r="I117">
        <v>-7.7679</v>
      </c>
      <c r="J117">
        <v>22.9938</v>
      </c>
    </row>
    <row r="118" spans="1:10">
      <c r="A118"/>
      <c r="B118"/>
      <c r="C118"/>
      <c r="D118">
        <v>1013</v>
      </c>
      <c r="E118">
        <v>-101.05289999999999</v>
      </c>
      <c r="F118">
        <v>0.88619999999999999</v>
      </c>
      <c r="G118">
        <v>-1.7301</v>
      </c>
      <c r="H118">
        <v>-2.2200000000000002</v>
      </c>
      <c r="I118">
        <v>-0.1046</v>
      </c>
      <c r="J118">
        <v>-1.6207</v>
      </c>
    </row>
    <row r="119" spans="1:10">
      <c r="A119"/>
      <c r="B119"/>
      <c r="C119"/>
      <c r="D119">
        <v>1014</v>
      </c>
      <c r="E119">
        <v>-211.4836</v>
      </c>
      <c r="F119">
        <v>1.0751999999999999</v>
      </c>
      <c r="G119">
        <v>-2.1113</v>
      </c>
      <c r="H119">
        <v>-1.8191999999999999</v>
      </c>
      <c r="I119">
        <v>-2.2397999999999998</v>
      </c>
      <c r="J119">
        <v>-0.1275</v>
      </c>
    </row>
    <row r="120" spans="1:10">
      <c r="A120"/>
      <c r="B120"/>
      <c r="C120"/>
      <c r="D120">
        <v>1015</v>
      </c>
      <c r="E120">
        <v>-294.63200000000001</v>
      </c>
      <c r="F120">
        <v>4.1363000000000003</v>
      </c>
      <c r="G120">
        <v>-4.3311999999999999</v>
      </c>
      <c r="H120">
        <v>-0.45129999999999998</v>
      </c>
      <c r="I120">
        <v>-8.2783999999999995</v>
      </c>
      <c r="J120">
        <v>20.8643</v>
      </c>
    </row>
    <row r="121" spans="1:10">
      <c r="A121"/>
      <c r="B121"/>
      <c r="C121"/>
      <c r="D121">
        <v>1016</v>
      </c>
      <c r="E121">
        <v>-174.93029999999999</v>
      </c>
      <c r="F121">
        <v>3.9418000000000002</v>
      </c>
      <c r="G121">
        <v>-3.9367000000000001</v>
      </c>
      <c r="H121">
        <v>-0.84899999999999998</v>
      </c>
      <c r="I121">
        <v>-5.9360999999999997</v>
      </c>
      <c r="J121">
        <v>18.948699999999999</v>
      </c>
    </row>
    <row r="122" spans="1:10">
      <c r="A122"/>
      <c r="B122"/>
      <c r="C122"/>
      <c r="D122">
        <v>2001</v>
      </c>
      <c r="E122">
        <v>239.91239999999999</v>
      </c>
      <c r="F122">
        <v>2.7988</v>
      </c>
      <c r="G122">
        <v>0.55089999999999995</v>
      </c>
      <c r="H122">
        <v>-1.7033</v>
      </c>
      <c r="I122">
        <v>7.4856999999999996</v>
      </c>
      <c r="J122">
        <v>9.2415000000000003</v>
      </c>
    </row>
    <row r="123" spans="1:10">
      <c r="A123"/>
      <c r="B123"/>
      <c r="C123"/>
      <c r="D123">
        <v>2002</v>
      </c>
      <c r="E123">
        <v>218.9408</v>
      </c>
      <c r="F123">
        <v>0.61939999999999995</v>
      </c>
      <c r="G123">
        <v>1.9735</v>
      </c>
      <c r="H123">
        <v>-2.7743000000000002</v>
      </c>
      <c r="I123">
        <v>10.3202</v>
      </c>
      <c r="J123">
        <v>-5.8860999999999999</v>
      </c>
    </row>
    <row r="124" spans="1:10">
      <c r="A124"/>
      <c r="B124"/>
      <c r="C124"/>
      <c r="D124">
        <v>2003</v>
      </c>
      <c r="E124">
        <v>78.736999999999995</v>
      </c>
      <c r="F124">
        <v>3.0760000000000001</v>
      </c>
      <c r="G124">
        <v>-3.3999999999999998E-3</v>
      </c>
      <c r="H124">
        <v>-1.1197999999999999</v>
      </c>
      <c r="I124">
        <v>4.3822000000000001</v>
      </c>
      <c r="J124">
        <v>11.4251</v>
      </c>
    </row>
    <row r="125" spans="1:10">
      <c r="A125"/>
      <c r="B125"/>
      <c r="C125"/>
      <c r="D125">
        <v>2004</v>
      </c>
      <c r="E125">
        <v>99.610299999999995</v>
      </c>
      <c r="F125">
        <v>5.2584</v>
      </c>
      <c r="G125">
        <v>-1.4266000000000001</v>
      </c>
      <c r="H125">
        <v>-5.1200000000000002E-2</v>
      </c>
      <c r="I125">
        <v>1.5450999999999999</v>
      </c>
      <c r="J125">
        <v>26.563199999999998</v>
      </c>
    </row>
    <row r="126" spans="1:10">
      <c r="A126"/>
      <c r="B126"/>
      <c r="C126"/>
      <c r="D126">
        <v>2005</v>
      </c>
      <c r="E126">
        <v>260.29020000000003</v>
      </c>
      <c r="F126">
        <v>1.0355000000000001</v>
      </c>
      <c r="G126">
        <v>1.7665</v>
      </c>
      <c r="H126">
        <v>-2.4584000000000001</v>
      </c>
      <c r="I126">
        <v>10.4481</v>
      </c>
      <c r="J126">
        <v>-2.5973000000000002</v>
      </c>
    </row>
    <row r="127" spans="1:10">
      <c r="A127"/>
      <c r="B127"/>
      <c r="C127"/>
      <c r="D127">
        <v>2006</v>
      </c>
      <c r="E127">
        <v>146.34989999999999</v>
      </c>
      <c r="F127">
        <v>1.2326999999999999</v>
      </c>
      <c r="G127">
        <v>1.3746</v>
      </c>
      <c r="H127">
        <v>-2.0442999999999998</v>
      </c>
      <c r="I127">
        <v>8.2538999999999998</v>
      </c>
      <c r="J127">
        <v>-1.0474000000000001</v>
      </c>
    </row>
    <row r="128" spans="1:10">
      <c r="A128"/>
      <c r="B128"/>
      <c r="C128"/>
      <c r="D128">
        <v>2007</v>
      </c>
      <c r="E128">
        <v>49.104700000000001</v>
      </c>
      <c r="F128">
        <v>4.8451000000000004</v>
      </c>
      <c r="G128">
        <v>-1.232</v>
      </c>
      <c r="H128">
        <v>-0.36880000000000002</v>
      </c>
      <c r="I128">
        <v>1.2129000000000001</v>
      </c>
      <c r="J128">
        <v>23.686599999999999</v>
      </c>
    </row>
    <row r="129" spans="1:10">
      <c r="A129"/>
      <c r="B129"/>
      <c r="C129"/>
      <c r="D129">
        <v>2008</v>
      </c>
      <c r="E129">
        <v>172.31610000000001</v>
      </c>
      <c r="F129">
        <v>4.6424000000000003</v>
      </c>
      <c r="G129">
        <v>-0.82699999999999996</v>
      </c>
      <c r="H129">
        <v>-0.77980000000000005</v>
      </c>
      <c r="I129">
        <v>3.6141999999999999</v>
      </c>
      <c r="J129">
        <v>21.714400000000001</v>
      </c>
    </row>
    <row r="130" spans="1:10">
      <c r="A130"/>
      <c r="B130"/>
      <c r="C130"/>
      <c r="D130">
        <v>2009</v>
      </c>
      <c r="E130">
        <v>225.25700000000001</v>
      </c>
      <c r="F130">
        <v>2.1503000000000001</v>
      </c>
      <c r="G130">
        <v>0.70530000000000004</v>
      </c>
      <c r="H130">
        <v>-1.3733</v>
      </c>
      <c r="I130">
        <v>6.7759999999999998</v>
      </c>
      <c r="J130">
        <v>6.9432999999999998</v>
      </c>
    </row>
    <row r="131" spans="1:10">
      <c r="A131"/>
      <c r="B131"/>
      <c r="C131"/>
      <c r="D131">
        <v>2010</v>
      </c>
      <c r="E131">
        <v>196.79810000000001</v>
      </c>
      <c r="F131">
        <v>0.35510000000000003</v>
      </c>
      <c r="G131">
        <v>1.8617999999999999</v>
      </c>
      <c r="H131">
        <v>-2.2363</v>
      </c>
      <c r="I131">
        <v>8.9433000000000007</v>
      </c>
      <c r="J131">
        <v>-5.5777999999999999</v>
      </c>
    </row>
    <row r="132" spans="1:10">
      <c r="A132"/>
      <c r="B132"/>
      <c r="C132"/>
      <c r="D132">
        <v>2011</v>
      </c>
      <c r="E132">
        <v>69.0458</v>
      </c>
      <c r="F132">
        <v>2.4159999999999999</v>
      </c>
      <c r="G132">
        <v>0.16600000000000001</v>
      </c>
      <c r="H132">
        <v>-0.80879999999999996</v>
      </c>
      <c r="I132">
        <v>3.7559</v>
      </c>
      <c r="J132">
        <v>9.0466999999999995</v>
      </c>
    </row>
    <row r="133" spans="1:10">
      <c r="A133"/>
      <c r="B133"/>
      <c r="C133"/>
      <c r="D133">
        <v>2012</v>
      </c>
      <c r="E133">
        <v>97.406499999999994</v>
      </c>
      <c r="F133">
        <v>4.2142999999999997</v>
      </c>
      <c r="G133">
        <v>-0.99119999999999997</v>
      </c>
      <c r="H133">
        <v>5.1799999999999999E-2</v>
      </c>
      <c r="I133">
        <v>1.5861000000000001</v>
      </c>
      <c r="J133">
        <v>21.578399999999998</v>
      </c>
    </row>
    <row r="134" spans="1:10">
      <c r="A134"/>
      <c r="B134"/>
      <c r="C134"/>
      <c r="D134">
        <v>2013</v>
      </c>
      <c r="E134">
        <v>239.31370000000001</v>
      </c>
      <c r="F134">
        <v>0.66100000000000003</v>
      </c>
      <c r="G134">
        <v>1.7297</v>
      </c>
      <c r="H134">
        <v>-1.9774</v>
      </c>
      <c r="I134">
        <v>9.2493999999999996</v>
      </c>
      <c r="J134">
        <v>-3.0360999999999998</v>
      </c>
    </row>
    <row r="135" spans="1:10">
      <c r="A135"/>
      <c r="B135"/>
      <c r="C135"/>
      <c r="D135">
        <v>2014</v>
      </c>
      <c r="E135">
        <v>128.88300000000001</v>
      </c>
      <c r="F135">
        <v>0.85</v>
      </c>
      <c r="G135">
        <v>1.3484</v>
      </c>
      <c r="H135">
        <v>-1.5767</v>
      </c>
      <c r="I135">
        <v>7.1143000000000001</v>
      </c>
      <c r="J135">
        <v>-1.5428999999999999</v>
      </c>
    </row>
    <row r="136" spans="1:10">
      <c r="A136"/>
      <c r="B136"/>
      <c r="C136"/>
      <c r="D136">
        <v>2015</v>
      </c>
      <c r="E136">
        <v>45.7346</v>
      </c>
      <c r="F136">
        <v>3.9110999999999998</v>
      </c>
      <c r="G136">
        <v>-0.87150000000000005</v>
      </c>
      <c r="H136">
        <v>-0.20880000000000001</v>
      </c>
      <c r="I136">
        <v>1.0757000000000001</v>
      </c>
      <c r="J136">
        <v>19.448899999999998</v>
      </c>
    </row>
    <row r="137" spans="1:10">
      <c r="A137"/>
      <c r="B137"/>
      <c r="C137"/>
      <c r="D137">
        <v>2016</v>
      </c>
      <c r="E137">
        <v>165.43639999999999</v>
      </c>
      <c r="F137">
        <v>3.7166000000000001</v>
      </c>
      <c r="G137">
        <v>-0.47699999999999998</v>
      </c>
      <c r="H137">
        <v>-0.60640000000000005</v>
      </c>
      <c r="I137">
        <v>3.4178999999999999</v>
      </c>
      <c r="J137">
        <v>17.533300000000001</v>
      </c>
    </row>
  </sheetData>
  <phoneticPr fontId="6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DFAA-DC3D-40D0-98A6-E1DEFF53A968}">
  <dimension ref="A1:E16"/>
  <sheetViews>
    <sheetView workbookViewId="0">
      <selection activeCell="A3" sqref="A3:A4"/>
    </sheetView>
  </sheetViews>
  <sheetFormatPr defaultColWidth="14.6640625" defaultRowHeight="11.65"/>
  <cols>
    <col min="1" max="1" width="24.06640625" style="187" customWidth="1"/>
    <col min="2" max="2" width="25.6640625" style="187" customWidth="1"/>
    <col min="3" max="3" width="20.73046875" style="187" customWidth="1"/>
    <col min="4" max="4" width="14.86328125" style="187" customWidth="1"/>
    <col min="5" max="5" width="26.796875" style="187" customWidth="1"/>
    <col min="6" max="16384" width="14.6640625" style="187"/>
  </cols>
  <sheetData>
    <row r="1" spans="1:5" s="184" customFormat="1" ht="11.25">
      <c r="A1" s="184" t="s">
        <v>656</v>
      </c>
      <c r="D1" s="185"/>
      <c r="E1" s="185"/>
    </row>
    <row r="2" spans="1:5" s="184" customFormat="1" ht="11.25">
      <c r="A2" s="186" t="s">
        <v>678</v>
      </c>
      <c r="B2" s="186" t="s">
        <v>194</v>
      </c>
      <c r="C2" s="186" t="s">
        <v>679</v>
      </c>
      <c r="D2" s="186" t="s">
        <v>658</v>
      </c>
      <c r="E2" s="186"/>
    </row>
    <row r="3" spans="1:5">
      <c r="A3" s="183" t="s">
        <v>687</v>
      </c>
      <c r="B3" s="183">
        <v>9</v>
      </c>
      <c r="C3" s="183">
        <v>8</v>
      </c>
      <c r="D3" s="200" t="s">
        <v>680</v>
      </c>
      <c r="E3" s="183"/>
    </row>
    <row r="4" spans="1:5">
      <c r="A4" s="183" t="s">
        <v>688</v>
      </c>
      <c r="B4" s="183">
        <v>9</v>
      </c>
      <c r="C4" s="183">
        <v>10</v>
      </c>
      <c r="D4" s="199"/>
      <c r="E4" s="183"/>
    </row>
    <row r="5" spans="1:5">
      <c r="A5" s="183"/>
      <c r="B5" s="183"/>
      <c r="C5" s="183"/>
      <c r="D5" s="183"/>
      <c r="E5" s="183"/>
    </row>
    <row r="6" spans="1:5">
      <c r="A6" s="183"/>
      <c r="B6" s="183"/>
      <c r="C6" s="183"/>
      <c r="D6" s="183"/>
      <c r="E6" s="183"/>
    </row>
    <row r="7" spans="1:5">
      <c r="A7" s="183"/>
      <c r="B7" s="183"/>
      <c r="C7" s="183"/>
      <c r="D7" s="183"/>
      <c r="E7" s="183"/>
    </row>
    <row r="8" spans="1:5">
      <c r="A8" s="183"/>
      <c r="B8" s="183"/>
      <c r="C8" s="183"/>
      <c r="D8" s="183"/>
      <c r="E8" s="183"/>
    </row>
    <row r="9" spans="1:5">
      <c r="A9" s="183"/>
      <c r="B9" s="183"/>
      <c r="C9" s="183"/>
      <c r="D9" s="183"/>
      <c r="E9" s="183"/>
    </row>
    <row r="10" spans="1:5">
      <c r="A10" s="183"/>
      <c r="B10" s="183"/>
      <c r="C10" s="183"/>
      <c r="D10" s="183"/>
      <c r="E10" s="183"/>
    </row>
    <row r="11" spans="1:5">
      <c r="A11" s="183"/>
      <c r="B11" s="183"/>
      <c r="C11" s="183"/>
      <c r="D11" s="183"/>
      <c r="E11" s="183"/>
    </row>
    <row r="12" spans="1:5">
      <c r="A12" s="183"/>
      <c r="B12" s="183"/>
      <c r="C12" s="183"/>
      <c r="D12" s="183"/>
      <c r="E12" s="183"/>
    </row>
    <row r="13" spans="1:5">
      <c r="A13" s="183"/>
      <c r="B13" s="183"/>
      <c r="C13" s="183"/>
      <c r="D13" s="183"/>
      <c r="E13" s="183"/>
    </row>
    <row r="14" spans="1:5">
      <c r="A14" s="183"/>
      <c r="B14" s="183"/>
      <c r="C14" s="183"/>
      <c r="D14" s="183"/>
      <c r="E14" s="183"/>
    </row>
    <row r="15" spans="1:5">
      <c r="A15" s="183"/>
      <c r="B15" s="183"/>
      <c r="C15" s="183"/>
      <c r="D15" s="183"/>
      <c r="E15" s="183"/>
    </row>
    <row r="16" spans="1:5">
      <c r="A16" s="183"/>
      <c r="B16" s="183"/>
      <c r="C16" s="183"/>
      <c r="D16" s="183"/>
      <c r="E16" s="183"/>
    </row>
  </sheetData>
  <mergeCells count="1">
    <mergeCell ref="D3:D4"/>
  </mergeCells>
  <phoneticPr fontId="6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21</vt:i4>
      </vt:variant>
    </vt:vector>
  </HeadingPairs>
  <TitlesOfParts>
    <vt:vector size="40" baseType="lpstr">
      <vt:lpstr>roll</vt:lpstr>
      <vt:lpstr>pitch</vt:lpstr>
      <vt:lpstr>roll_1</vt:lpstr>
      <vt:lpstr>roll_2</vt:lpstr>
      <vt:lpstr>pitch_1</vt:lpstr>
      <vt:lpstr>TEMPLATE</vt:lpstr>
      <vt:lpstr>SETTINGS</vt:lpstr>
      <vt:lpstr>DATASOURCE</vt:lpstr>
      <vt:lpstr>OUTPUT</vt:lpstr>
      <vt:lpstr>Sheet6</vt:lpstr>
      <vt:lpstr>RR3_1510</vt:lpstr>
      <vt:lpstr>RR8-RR2_4114 (L)</vt:lpstr>
      <vt:lpstr>RR6-RR2_4021 (L)</vt:lpstr>
      <vt:lpstr>RR1-RR9 (M)</vt:lpstr>
      <vt:lpstr>grillage web buckling (1stiff)</vt:lpstr>
      <vt:lpstr>Sheet3</vt:lpstr>
      <vt:lpstr>wing plate buckling</vt:lpstr>
      <vt:lpstr>summary</vt:lpstr>
      <vt:lpstr>Sheet2</vt:lpstr>
      <vt:lpstr>'RR1-RR9 (M)'!d</vt:lpstr>
      <vt:lpstr>RR3_1510!d</vt:lpstr>
      <vt:lpstr>'RR6-RR2_4021 (L)'!d</vt:lpstr>
      <vt:lpstr>'RR8-RR2_4114 (L)'!d</vt:lpstr>
      <vt:lpstr>TEMPLATE!d</vt:lpstr>
      <vt:lpstr>'RR1-RR9 (M)'!h</vt:lpstr>
      <vt:lpstr>RR3_1510!h</vt:lpstr>
      <vt:lpstr>'RR6-RR2_4021 (L)'!h</vt:lpstr>
      <vt:lpstr>'RR8-RR2_4114 (L)'!h</vt:lpstr>
      <vt:lpstr>TEMPLATE!h</vt:lpstr>
      <vt:lpstr>'grillage web buckling (1stiff)'!Print_Area</vt:lpstr>
      <vt:lpstr>'RR1-RR9 (M)'!Print_Area</vt:lpstr>
      <vt:lpstr>RR3_1510!Print_Area</vt:lpstr>
      <vt:lpstr>'RR6-RR2_4021 (L)'!Print_Area</vt:lpstr>
      <vt:lpstr>'RR8-RR2_4114 (L)'!Print_Area</vt:lpstr>
      <vt:lpstr>TEMPLATE!Print_Area</vt:lpstr>
      <vt:lpstr>'RR1-RR9 (M)'!Print_Titles</vt:lpstr>
      <vt:lpstr>RR3_1510!Print_Titles</vt:lpstr>
      <vt:lpstr>'RR6-RR2_4021 (L)'!Print_Titles</vt:lpstr>
      <vt:lpstr>'RR8-RR2_4114 (L)'!Print_Titles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</dc:creator>
  <cp:lastModifiedBy>chenqiang</cp:lastModifiedBy>
  <cp:lastPrinted>2020-09-30T00:24:39Z</cp:lastPrinted>
  <dcterms:created xsi:type="dcterms:W3CDTF">2015-07-24T10:13:41Z</dcterms:created>
  <dcterms:modified xsi:type="dcterms:W3CDTF">2023-06-14T09:32:28Z</dcterms:modified>
</cp:coreProperties>
</file>