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5390" windowHeight="6915" activeTab="2"/>
  </bookViews>
  <sheets>
    <sheet name="金融术语" sheetId="8" r:id="rId1"/>
    <sheet name="到期收益率" sheetId="1" r:id="rId2"/>
    <sheet name="摊销" sheetId="2" r:id="rId3"/>
    <sheet name="买断式回购反算利率" sheetId="5" r:id="rId4"/>
    <sheet name="债券应计利息" sheetId="6" r:id="rId5"/>
    <sheet name="上海农商行" sheetId="9" r:id="rId6"/>
    <sheet name="Sheet2" sheetId="7" r:id="rId7"/>
  </sheets>
  <calcPr calcId="124519"/>
</workbook>
</file>

<file path=xl/calcChain.xml><?xml version="1.0" encoding="utf-8"?>
<calcChain xmlns="http://schemas.openxmlformats.org/spreadsheetml/2006/main">
  <c r="B168" i="2"/>
  <c r="B169"/>
  <c r="B170"/>
  <c r="K178"/>
  <c r="N178" s="1"/>
  <c r="B179"/>
  <c r="B181"/>
  <c r="B178"/>
  <c r="B175"/>
  <c r="B176"/>
  <c r="B172"/>
  <c r="B173"/>
  <c r="B167"/>
  <c r="B159"/>
  <c r="A29"/>
  <c r="B59"/>
  <c r="B158"/>
  <c r="B157"/>
  <c r="L171"/>
  <c r="L172"/>
  <c r="L173"/>
  <c r="L174"/>
  <c r="L175"/>
  <c r="L176"/>
  <c r="L170"/>
  <c r="K176"/>
  <c r="K175"/>
  <c r="K174"/>
  <c r="K173"/>
  <c r="K172"/>
  <c r="K171"/>
  <c r="K170"/>
  <c r="J164"/>
  <c r="C155"/>
  <c r="A165" s="1"/>
  <c r="B165" s="1"/>
  <c r="B148"/>
  <c r="B156"/>
  <c r="C149"/>
  <c r="E148"/>
  <c r="B155"/>
  <c r="N170"/>
  <c r="K166"/>
  <c r="N166" s="1"/>
  <c r="Q166" s="1"/>
  <c r="C165"/>
  <c r="K160"/>
  <c r="N160" s="1"/>
  <c r="K156"/>
  <c r="K157" s="1"/>
  <c r="K155"/>
  <c r="N153"/>
  <c r="O147"/>
  <c r="K149" s="1"/>
  <c r="L149" s="1"/>
  <c r="M149" s="1"/>
  <c r="P149" s="1"/>
  <c r="N147"/>
  <c r="Q147" s="1"/>
  <c r="K147"/>
  <c r="B147"/>
  <c r="K144"/>
  <c r="B33" i="6"/>
  <c r="B36"/>
  <c r="G29"/>
  <c r="I31"/>
  <c r="B26" i="2"/>
  <c r="E44"/>
  <c r="D44"/>
  <c r="C44"/>
  <c r="B44"/>
  <c r="A44"/>
  <c r="D206" i="1"/>
  <c r="C197"/>
  <c r="C196"/>
  <c r="G68"/>
  <c r="D164"/>
  <c r="D163"/>
  <c r="E144"/>
  <c r="E110"/>
  <c r="B18"/>
  <c r="B9"/>
  <c r="I108"/>
  <c r="H110"/>
  <c r="E132"/>
  <c r="D29" i="6"/>
  <c r="O178" i="2" l="1"/>
  <c r="M168"/>
  <c r="O166"/>
  <c r="K168" s="1"/>
  <c r="L168" s="1"/>
  <c r="B149"/>
  <c r="E165"/>
  <c r="Q160"/>
  <c r="M151"/>
  <c r="O160"/>
  <c r="K162" s="1"/>
  <c r="L162" s="1"/>
  <c r="M162" s="1"/>
  <c r="P162" s="1"/>
  <c r="H29" i="6"/>
  <c r="B112" i="1"/>
  <c r="E52"/>
  <c r="D52"/>
  <c r="G31"/>
  <c r="C40"/>
  <c r="D40"/>
  <c r="D41"/>
  <c r="C41"/>
  <c r="C172"/>
  <c r="C171"/>
  <c r="D178"/>
  <c r="G177"/>
  <c r="E177"/>
  <c r="E172"/>
  <c r="C161"/>
  <c r="C160"/>
  <c r="C175"/>
  <c r="D160"/>
  <c r="D113"/>
  <c r="D112"/>
  <c r="C116"/>
  <c r="C115"/>
  <c r="C114"/>
  <c r="C113"/>
  <c r="B117"/>
  <c r="C112"/>
  <c r="G108"/>
  <c r="C108"/>
  <c r="N46" i="2"/>
  <c r="B135" i="1"/>
  <c r="M111"/>
  <c r="Q108"/>
  <c r="M110"/>
  <c r="P108"/>
  <c r="F108"/>
  <c r="C99" i="5"/>
  <c r="F84" i="1"/>
  <c r="F130"/>
  <c r="G212"/>
  <c r="B36" i="2"/>
  <c r="B35"/>
  <c r="A38"/>
  <c r="B37"/>
  <c r="G130" i="1"/>
  <c r="G29"/>
  <c r="B16"/>
  <c r="M27" i="2"/>
  <c r="L36"/>
  <c r="L35"/>
  <c r="K35"/>
  <c r="A30"/>
  <c r="C47" i="1"/>
  <c r="C46"/>
  <c r="C45"/>
  <c r="C44"/>
  <c r="C43"/>
  <c r="C42"/>
  <c r="F29"/>
  <c r="G3"/>
  <c r="C63" i="5"/>
  <c r="C62"/>
  <c r="B53" i="2"/>
  <c r="B135"/>
  <c r="B129"/>
  <c r="E11" i="6"/>
  <c r="D11"/>
  <c r="E10"/>
  <c r="E9"/>
  <c r="D10"/>
  <c r="D9"/>
  <c r="H5"/>
  <c r="D7"/>
  <c r="D5"/>
  <c r="G3"/>
  <c r="B160" i="2" l="1"/>
  <c r="C160" s="1"/>
  <c r="D160" s="1"/>
  <c r="P168"/>
  <c r="D165"/>
  <c r="F7" i="6"/>
  <c r="F10" l="1"/>
  <c r="F12"/>
  <c r="F22" l="1"/>
  <c r="A98" i="2"/>
  <c r="B97"/>
  <c r="B124"/>
  <c r="N110" i="1"/>
  <c r="N448"/>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111"/>
  <c r="M448"/>
  <c r="M120"/>
  <c r="M121" s="1"/>
  <c r="M122" s="1"/>
  <c r="M123" s="1"/>
  <c r="M124" s="1"/>
  <c r="M125" s="1"/>
  <c r="M126" s="1"/>
  <c r="M127" s="1"/>
  <c r="M128" s="1"/>
  <c r="M129" s="1"/>
  <c r="M130" s="1"/>
  <c r="M131" s="1"/>
  <c r="M132" s="1"/>
  <c r="M133" s="1"/>
  <c r="M134" s="1"/>
  <c r="M135" s="1"/>
  <c r="M136" s="1"/>
  <c r="M137" s="1"/>
  <c r="M138" s="1"/>
  <c r="M139" s="1"/>
  <c r="M140" s="1"/>
  <c r="M141" s="1"/>
  <c r="M142" s="1"/>
  <c r="M143" s="1"/>
  <c r="M144" s="1"/>
  <c r="M145" s="1"/>
  <c r="M146" s="1"/>
  <c r="M147" s="1"/>
  <c r="M148" s="1"/>
  <c r="M149" s="1"/>
  <c r="M150" s="1"/>
  <c r="M151" s="1"/>
  <c r="M152" s="1"/>
  <c r="M153" s="1"/>
  <c r="M154" s="1"/>
  <c r="M155" s="1"/>
  <c r="M156" s="1"/>
  <c r="M157" s="1"/>
  <c r="M158" s="1"/>
  <c r="M159" s="1"/>
  <c r="M160" s="1"/>
  <c r="M161" s="1"/>
  <c r="M162" s="1"/>
  <c r="M163" s="1"/>
  <c r="M164" s="1"/>
  <c r="M165" s="1"/>
  <c r="M166" s="1"/>
  <c r="M167" s="1"/>
  <c r="M168" s="1"/>
  <c r="M169" s="1"/>
  <c r="M170" s="1"/>
  <c r="M171" s="1"/>
  <c r="M172" s="1"/>
  <c r="M173" s="1"/>
  <c r="M174" s="1"/>
  <c r="M175" s="1"/>
  <c r="M176" s="1"/>
  <c r="M177" s="1"/>
  <c r="M178" s="1"/>
  <c r="M179" s="1"/>
  <c r="M180" s="1"/>
  <c r="M181" s="1"/>
  <c r="M182" s="1"/>
  <c r="M183" s="1"/>
  <c r="M184" s="1"/>
  <c r="M185" s="1"/>
  <c r="M186" s="1"/>
  <c r="M187" s="1"/>
  <c r="M188" s="1"/>
  <c r="M189" s="1"/>
  <c r="M190" s="1"/>
  <c r="M191" s="1"/>
  <c r="M192" s="1"/>
  <c r="M193" s="1"/>
  <c r="M194" s="1"/>
  <c r="M195" s="1"/>
  <c r="M196" s="1"/>
  <c r="M197" s="1"/>
  <c r="M198" s="1"/>
  <c r="M199" s="1"/>
  <c r="M200" s="1"/>
  <c r="M201" s="1"/>
  <c r="M202" s="1"/>
  <c r="M203" s="1"/>
  <c r="M204" s="1"/>
  <c r="M205" s="1"/>
  <c r="M206" s="1"/>
  <c r="M207" s="1"/>
  <c r="M208" s="1"/>
  <c r="M209" s="1"/>
  <c r="M210" s="1"/>
  <c r="M211" s="1"/>
  <c r="M212" s="1"/>
  <c r="M213" s="1"/>
  <c r="M214" s="1"/>
  <c r="M215" s="1"/>
  <c r="M216" s="1"/>
  <c r="M217" s="1"/>
  <c r="M218" s="1"/>
  <c r="M219" s="1"/>
  <c r="M220" s="1"/>
  <c r="M221" s="1"/>
  <c r="M222" s="1"/>
  <c r="M223" s="1"/>
  <c r="M224" s="1"/>
  <c r="M225" s="1"/>
  <c r="M226" s="1"/>
  <c r="M227" s="1"/>
  <c r="M228" s="1"/>
  <c r="M229" s="1"/>
  <c r="M230" s="1"/>
  <c r="M231" s="1"/>
  <c r="M232" s="1"/>
  <c r="M233" s="1"/>
  <c r="M234" s="1"/>
  <c r="M235" s="1"/>
  <c r="M236" s="1"/>
  <c r="M237" s="1"/>
  <c r="M238" s="1"/>
  <c r="M239" s="1"/>
  <c r="M240" s="1"/>
  <c r="M241" s="1"/>
  <c r="M242" s="1"/>
  <c r="M243" s="1"/>
  <c r="M244" s="1"/>
  <c r="M245" s="1"/>
  <c r="M246" s="1"/>
  <c r="M247" s="1"/>
  <c r="M248" s="1"/>
  <c r="M249" s="1"/>
  <c r="M250" s="1"/>
  <c r="M251" s="1"/>
  <c r="M252" s="1"/>
  <c r="M253" s="1"/>
  <c r="M254" s="1"/>
  <c r="M255" s="1"/>
  <c r="M256" s="1"/>
  <c r="M257" s="1"/>
  <c r="M258" s="1"/>
  <c r="M259" s="1"/>
  <c r="M260" s="1"/>
  <c r="M261" s="1"/>
  <c r="M262" s="1"/>
  <c r="M263" s="1"/>
  <c r="M264" s="1"/>
  <c r="M265" s="1"/>
  <c r="M266" s="1"/>
  <c r="M267" s="1"/>
  <c r="M268" s="1"/>
  <c r="M269" s="1"/>
  <c r="M270" s="1"/>
  <c r="M271" s="1"/>
  <c r="M272" s="1"/>
  <c r="M273" s="1"/>
  <c r="M274" s="1"/>
  <c r="M275" s="1"/>
  <c r="M276" s="1"/>
  <c r="M277" s="1"/>
  <c r="M278" s="1"/>
  <c r="M279" s="1"/>
  <c r="M280" s="1"/>
  <c r="M281" s="1"/>
  <c r="M282" s="1"/>
  <c r="M283" s="1"/>
  <c r="M284" s="1"/>
  <c r="M285" s="1"/>
  <c r="M286" s="1"/>
  <c r="M287" s="1"/>
  <c r="M288" s="1"/>
  <c r="M289" s="1"/>
  <c r="M290" s="1"/>
  <c r="M291" s="1"/>
  <c r="M292" s="1"/>
  <c r="M293" s="1"/>
  <c r="M294" s="1"/>
  <c r="M295" s="1"/>
  <c r="M296" s="1"/>
  <c r="M297" s="1"/>
  <c r="M298" s="1"/>
  <c r="M299" s="1"/>
  <c r="M300" s="1"/>
  <c r="M301" s="1"/>
  <c r="M302" s="1"/>
  <c r="M303" s="1"/>
  <c r="M304" s="1"/>
  <c r="M305" s="1"/>
  <c r="M306" s="1"/>
  <c r="M307" s="1"/>
  <c r="M308" s="1"/>
  <c r="M309" s="1"/>
  <c r="M310" s="1"/>
  <c r="M311" s="1"/>
  <c r="M312" s="1"/>
  <c r="M313" s="1"/>
  <c r="M314" s="1"/>
  <c r="M315" s="1"/>
  <c r="M316" s="1"/>
  <c r="M317" s="1"/>
  <c r="M318" s="1"/>
  <c r="M319" s="1"/>
  <c r="M320" s="1"/>
  <c r="M321" s="1"/>
  <c r="M322" s="1"/>
  <c r="M323" s="1"/>
  <c r="M324" s="1"/>
  <c r="M325" s="1"/>
  <c r="M326" s="1"/>
  <c r="M327" s="1"/>
  <c r="M328" s="1"/>
  <c r="M329" s="1"/>
  <c r="M330" s="1"/>
  <c r="M331" s="1"/>
  <c r="M332" s="1"/>
  <c r="M333" s="1"/>
  <c r="M334" s="1"/>
  <c r="M335" s="1"/>
  <c r="M336" s="1"/>
  <c r="M337" s="1"/>
  <c r="M338" s="1"/>
  <c r="M339" s="1"/>
  <c r="M340" s="1"/>
  <c r="M341" s="1"/>
  <c r="M342" s="1"/>
  <c r="M343" s="1"/>
  <c r="M344" s="1"/>
  <c r="M345" s="1"/>
  <c r="M346" s="1"/>
  <c r="M347" s="1"/>
  <c r="M348" s="1"/>
  <c r="M349" s="1"/>
  <c r="M350" s="1"/>
  <c r="M351" s="1"/>
  <c r="M352" s="1"/>
  <c r="M353" s="1"/>
  <c r="M354" s="1"/>
  <c r="M355" s="1"/>
  <c r="M356" s="1"/>
  <c r="M357" s="1"/>
  <c r="M358" s="1"/>
  <c r="M359" s="1"/>
  <c r="M360" s="1"/>
  <c r="M361" s="1"/>
  <c r="M362" s="1"/>
  <c r="M363" s="1"/>
  <c r="M364" s="1"/>
  <c r="M365" s="1"/>
  <c r="M366" s="1"/>
  <c r="M367" s="1"/>
  <c r="M368" s="1"/>
  <c r="M369" s="1"/>
  <c r="M370" s="1"/>
  <c r="M371" s="1"/>
  <c r="M372" s="1"/>
  <c r="M373" s="1"/>
  <c r="M374" s="1"/>
  <c r="M375" s="1"/>
  <c r="M376" s="1"/>
  <c r="M377" s="1"/>
  <c r="M378" s="1"/>
  <c r="M379" s="1"/>
  <c r="M380" s="1"/>
  <c r="M381" s="1"/>
  <c r="M382" s="1"/>
  <c r="M383" s="1"/>
  <c r="M384" s="1"/>
  <c r="M385" s="1"/>
  <c r="M386" s="1"/>
  <c r="M387" s="1"/>
  <c r="M388" s="1"/>
  <c r="M389" s="1"/>
  <c r="M390" s="1"/>
  <c r="M391" s="1"/>
  <c r="M392" s="1"/>
  <c r="M393" s="1"/>
  <c r="M394" s="1"/>
  <c r="M395" s="1"/>
  <c r="M396" s="1"/>
  <c r="M397" s="1"/>
  <c r="M398" s="1"/>
  <c r="M399" s="1"/>
  <c r="M400" s="1"/>
  <c r="M401" s="1"/>
  <c r="M402" s="1"/>
  <c r="M403" s="1"/>
  <c r="M404" s="1"/>
  <c r="M405" s="1"/>
  <c r="M406" s="1"/>
  <c r="M407" s="1"/>
  <c r="M408" s="1"/>
  <c r="M409" s="1"/>
  <c r="M410" s="1"/>
  <c r="M411" s="1"/>
  <c r="M412" s="1"/>
  <c r="M413" s="1"/>
  <c r="M414" s="1"/>
  <c r="M415" s="1"/>
  <c r="M416" s="1"/>
  <c r="M417" s="1"/>
  <c r="M418" s="1"/>
  <c r="M419" s="1"/>
  <c r="M420" s="1"/>
  <c r="M421" s="1"/>
  <c r="M422" s="1"/>
  <c r="M423" s="1"/>
  <c r="M424" s="1"/>
  <c r="M425" s="1"/>
  <c r="M426" s="1"/>
  <c r="M427" s="1"/>
  <c r="M428" s="1"/>
  <c r="M429" s="1"/>
  <c r="M430" s="1"/>
  <c r="M431" s="1"/>
  <c r="M432" s="1"/>
  <c r="M433" s="1"/>
  <c r="M434" s="1"/>
  <c r="M435" s="1"/>
  <c r="M436" s="1"/>
  <c r="M437" s="1"/>
  <c r="M438" s="1"/>
  <c r="M439" s="1"/>
  <c r="M440" s="1"/>
  <c r="M441" s="1"/>
  <c r="M442" s="1"/>
  <c r="M443" s="1"/>
  <c r="M444" s="1"/>
  <c r="M445" s="1"/>
  <c r="M446" s="1"/>
  <c r="M447" s="1"/>
  <c r="M114"/>
  <c r="M113"/>
  <c r="M115"/>
  <c r="M116" s="1"/>
  <c r="M117" s="1"/>
  <c r="M118" s="1"/>
  <c r="M119" s="1"/>
  <c r="M112"/>
  <c r="M106"/>
  <c r="M108"/>
  <c r="E119" i="5"/>
  <c r="E118"/>
  <c r="E117"/>
  <c r="H114"/>
  <c r="H113"/>
  <c r="G113"/>
  <c r="C112"/>
  <c r="H112"/>
  <c r="G112"/>
  <c r="H111"/>
  <c r="D111"/>
  <c r="D115"/>
  <c r="D113"/>
  <c r="D112"/>
  <c r="C113"/>
  <c r="D114" s="1"/>
  <c r="D106"/>
  <c r="C91"/>
  <c r="D91"/>
  <c r="D93"/>
  <c r="E97"/>
  <c r="D84"/>
  <c r="D108"/>
  <c r="D86"/>
  <c r="K94" i="1"/>
  <c r="K93"/>
  <c r="K92"/>
  <c r="K91"/>
  <c r="K90"/>
  <c r="K89"/>
  <c r="K88"/>
  <c r="K87"/>
  <c r="E87"/>
  <c r="D89"/>
  <c r="J90"/>
  <c r="J93"/>
  <c r="J87"/>
  <c r="C89"/>
  <c r="C85"/>
  <c r="N84"/>
  <c r="J84"/>
  <c r="M84" s="1"/>
  <c r="E96" i="5"/>
  <c r="E95"/>
  <c r="E94"/>
  <c r="C92"/>
  <c r="D92"/>
  <c r="D23"/>
  <c r="H84"/>
  <c r="C28"/>
  <c r="H86"/>
  <c r="F81"/>
  <c r="B81"/>
  <c r="B130" i="2"/>
  <c r="N110"/>
  <c r="B114"/>
  <c r="B113"/>
  <c r="N127"/>
  <c r="K130"/>
  <c r="N123"/>
  <c r="L131"/>
  <c r="L130"/>
  <c r="L125"/>
  <c r="K131"/>
  <c r="O123"/>
  <c r="K123"/>
  <c r="K125" s="1"/>
  <c r="B127"/>
  <c r="B50"/>
  <c r="B125"/>
  <c r="B48"/>
  <c r="B136"/>
  <c r="B138" s="1"/>
  <c r="B133"/>
  <c r="B132"/>
  <c r="B122"/>
  <c r="E122" s="1"/>
  <c r="L119"/>
  <c r="K119"/>
  <c r="O117"/>
  <c r="K117"/>
  <c r="N117" s="1"/>
  <c r="M108"/>
  <c r="B115"/>
  <c r="A122"/>
  <c r="C122"/>
  <c r="C112"/>
  <c r="K114"/>
  <c r="K113"/>
  <c r="K112"/>
  <c r="N104"/>
  <c r="B112"/>
  <c r="B95"/>
  <c r="B96"/>
  <c r="A31"/>
  <c r="Q104"/>
  <c r="L106"/>
  <c r="M106" s="1"/>
  <c r="L93"/>
  <c r="K106"/>
  <c r="O104"/>
  <c r="K101"/>
  <c r="K104"/>
  <c r="B91"/>
  <c r="B90"/>
  <c r="C106"/>
  <c r="B106"/>
  <c r="E105"/>
  <c r="B105"/>
  <c r="B104"/>
  <c r="G81"/>
  <c r="B49"/>
  <c r="P109" i="1" l="1"/>
  <c r="M86"/>
  <c r="B116" i="2"/>
  <c r="B117" s="1"/>
  <c r="C117" s="1"/>
  <c r="D117" s="1"/>
  <c r="M125"/>
  <c r="Q123"/>
  <c r="Q117"/>
  <c r="M119"/>
  <c r="P119" s="1"/>
  <c r="D122"/>
  <c r="B126" l="1"/>
  <c r="P125"/>
  <c r="P106"/>
  <c r="C178" i="1" l="1"/>
  <c r="D177"/>
  <c r="G155"/>
  <c r="C59" i="5"/>
  <c r="E59" s="1"/>
  <c r="C70" s="1"/>
  <c r="I53"/>
  <c r="I71" l="1"/>
  <c r="I70"/>
  <c r="I67"/>
  <c r="I66"/>
  <c r="C58"/>
  <c r="C57"/>
  <c r="C60" s="1"/>
  <c r="D45"/>
  <c r="B48"/>
  <c r="I51"/>
  <c r="I43"/>
  <c r="D43"/>
  <c r="G48"/>
  <c r="I45"/>
  <c r="G40"/>
  <c r="D53"/>
  <c r="B40"/>
  <c r="D25"/>
  <c r="C29" s="1"/>
  <c r="D145" i="1"/>
  <c r="C149"/>
  <c r="D151"/>
  <c r="E150" s="1"/>
  <c r="C151"/>
  <c r="C150"/>
  <c r="D149"/>
  <c r="E148" s="1"/>
  <c r="G148"/>
  <c r="G142"/>
  <c r="F146"/>
  <c r="C145"/>
  <c r="C142"/>
  <c r="I142" s="1"/>
  <c r="D62" i="5" l="1"/>
  <c r="D63" s="1"/>
  <c r="C64" s="1"/>
  <c r="C66" s="1"/>
  <c r="C73" s="1"/>
  <c r="I72"/>
  <c r="C30"/>
  <c r="H144" i="1"/>
  <c r="D134" l="1"/>
  <c r="D133"/>
  <c r="C135"/>
  <c r="C134"/>
  <c r="C133"/>
  <c r="D135"/>
  <c r="B116"/>
  <c r="B115"/>
  <c r="B114"/>
  <c r="B113"/>
  <c r="C130"/>
  <c r="F128"/>
  <c r="G162"/>
  <c r="G55"/>
  <c r="E229"/>
  <c r="D229"/>
  <c r="D228"/>
  <c r="E228" s="1"/>
  <c r="D227"/>
  <c r="D226"/>
  <c r="C228"/>
  <c r="C227"/>
  <c r="C226"/>
  <c r="E227"/>
  <c r="E226"/>
  <c r="D225"/>
  <c r="F212"/>
  <c r="I212" s="1"/>
  <c r="C212"/>
  <c r="F64"/>
  <c r="F66"/>
  <c r="O88" i="2"/>
  <c r="K93" s="1"/>
  <c r="M91" s="1"/>
  <c r="B82"/>
  <c r="K89"/>
  <c r="I88"/>
  <c r="K88" s="1"/>
  <c r="N88" s="1"/>
  <c r="B84"/>
  <c r="E83"/>
  <c r="B103" i="1"/>
  <c r="B104"/>
  <c r="C101"/>
  <c r="C92"/>
  <c r="E92"/>
  <c r="N53" i="2"/>
  <c r="E19"/>
  <c r="A70"/>
  <c r="A69"/>
  <c r="A68"/>
  <c r="B69"/>
  <c r="B66"/>
  <c r="B62"/>
  <c r="B60"/>
  <c r="B57"/>
  <c r="B56"/>
  <c r="B54"/>
  <c r="B51"/>
  <c r="K46"/>
  <c r="O46" s="1"/>
  <c r="K56" s="1"/>
  <c r="K25"/>
  <c r="O25"/>
  <c r="B19"/>
  <c r="I130" i="1" l="1"/>
  <c r="C222"/>
  <c r="D222" s="1"/>
  <c r="B227" s="1"/>
  <c r="C221"/>
  <c r="D221" s="1"/>
  <c r="B226" s="1"/>
  <c r="E216"/>
  <c r="M50" i="2"/>
  <c r="K57"/>
  <c r="L57" s="1"/>
  <c r="L56"/>
  <c r="M48" s="1"/>
  <c r="Q46"/>
  <c r="K36"/>
  <c r="N25"/>
  <c r="H132" i="1" l="1"/>
  <c r="F137"/>
  <c r="C223"/>
  <c r="D223" s="1"/>
  <c r="M52" i="2"/>
  <c r="P48"/>
  <c r="M29"/>
  <c r="Q25"/>
  <c r="M31"/>
  <c r="P27"/>
  <c r="E214" i="1" l="1"/>
  <c r="D231" s="1"/>
  <c r="B228"/>
  <c r="D105"/>
  <c r="C117"/>
  <c r="D166"/>
  <c r="D165"/>
  <c r="D162"/>
  <c r="C155"/>
  <c r="F155" s="1"/>
  <c r="C156"/>
  <c r="F153"/>
  <c r="B122"/>
  <c r="B123"/>
  <c r="B124"/>
  <c r="B125"/>
  <c r="B126"/>
  <c r="B121"/>
  <c r="B120"/>
  <c r="G84"/>
  <c r="F106"/>
  <c r="D126"/>
  <c r="E121"/>
  <c r="E120"/>
  <c r="C55"/>
  <c r="F55" s="1"/>
  <c r="E59" s="1"/>
  <c r="H31"/>
  <c r="C29"/>
  <c r="E34" i="2"/>
  <c r="G29"/>
  <c r="G17"/>
  <c r="B20"/>
  <c r="B18"/>
  <c r="C96" i="1"/>
  <c r="D96" s="1"/>
  <c r="E94" s="1"/>
  <c r="A84"/>
  <c r="C84" s="1"/>
  <c r="B75"/>
  <c r="C3"/>
  <c r="F3" s="1"/>
  <c r="B79" l="1"/>
  <c r="B78"/>
  <c r="E218"/>
  <c r="H214"/>
  <c r="E36" i="2"/>
  <c r="E37" s="1"/>
  <c r="D117" i="1"/>
  <c r="E124"/>
  <c r="I155"/>
  <c r="H112"/>
  <c r="D101"/>
  <c r="E99" s="1"/>
  <c r="I55"/>
  <c r="C64" l="1"/>
  <c r="D64" s="1"/>
  <c r="C65"/>
  <c r="D65" s="1"/>
  <c r="E158"/>
  <c r="D114"/>
  <c r="B17"/>
  <c r="C16"/>
  <c r="D16" s="1"/>
  <c r="E16" s="1"/>
  <c r="C66"/>
  <c r="D66" s="1"/>
  <c r="E57" s="1"/>
  <c r="C17"/>
  <c r="E61" l="1"/>
  <c r="H57"/>
  <c r="H158"/>
  <c r="D115"/>
  <c r="D42"/>
  <c r="D17"/>
  <c r="D116" l="1"/>
  <c r="E113" s="1"/>
  <c r="D43"/>
  <c r="E17"/>
  <c r="D44" l="1"/>
  <c r="D45" l="1"/>
  <c r="D46" l="1"/>
  <c r="C48" l="1"/>
  <c r="D47"/>
  <c r="C49" l="1"/>
  <c r="D48"/>
  <c r="C50" l="1"/>
  <c r="D49"/>
  <c r="C51" l="1"/>
  <c r="D50"/>
  <c r="D51" l="1"/>
  <c r="E33" s="1"/>
  <c r="C52"/>
  <c r="G35" l="1"/>
</calcChain>
</file>

<file path=xl/comments1.xml><?xml version="1.0" encoding="utf-8"?>
<comments xmlns="http://schemas.openxmlformats.org/spreadsheetml/2006/main">
  <authors>
    <author>作者</author>
  </authors>
  <commentList>
    <comment ref="G2" authorId="0">
      <text>
        <r>
          <rPr>
            <b/>
            <sz val="9"/>
            <color indexed="81"/>
            <rFont val="宋体"/>
            <family val="3"/>
            <charset val="134"/>
          </rPr>
          <t>作者:</t>
        </r>
        <r>
          <rPr>
            <sz val="9"/>
            <color indexed="81"/>
            <rFont val="宋体"/>
            <family val="3"/>
            <charset val="134"/>
          </rPr>
          <t xml:space="preserve">
整年</t>
        </r>
        <r>
          <rPr>
            <sz val="9"/>
            <color indexed="81"/>
            <rFont val="Tahoma"/>
            <family val="2"/>
          </rPr>
          <t>+</t>
        </r>
        <r>
          <rPr>
            <sz val="9"/>
            <color indexed="81"/>
            <rFont val="宋体"/>
            <family val="3"/>
            <charset val="134"/>
          </rPr>
          <t>剩下的天数</t>
        </r>
        <r>
          <rPr>
            <sz val="9"/>
            <color indexed="81"/>
            <rFont val="Tahoma"/>
            <family val="2"/>
          </rPr>
          <t>/365</t>
        </r>
        <r>
          <rPr>
            <sz val="9"/>
            <color indexed="81"/>
            <rFont val="宋体"/>
            <family val="3"/>
            <charset val="134"/>
          </rPr>
          <t>（不论计息基础）</t>
        </r>
      </text>
    </comment>
    <comment ref="A74" authorId="0">
      <text>
        <r>
          <rPr>
            <b/>
            <sz val="9"/>
            <color indexed="81"/>
            <rFont val="宋体"/>
            <family val="3"/>
            <charset val="134"/>
          </rPr>
          <t>作者:</t>
        </r>
        <r>
          <rPr>
            <sz val="9"/>
            <color indexed="81"/>
            <rFont val="宋体"/>
            <family val="3"/>
            <charset val="134"/>
          </rPr>
          <t xml:space="preserve">
每次利息与债券面值之比</t>
        </r>
      </text>
    </comment>
    <comment ref="A77" authorId="0">
      <text>
        <r>
          <rPr>
            <b/>
            <sz val="9"/>
            <color indexed="81"/>
            <rFont val="Tahoma"/>
            <family val="2"/>
          </rPr>
          <t>作者:</t>
        </r>
        <r>
          <rPr>
            <sz val="9"/>
            <color indexed="81"/>
            <rFont val="Tahoma"/>
            <family val="2"/>
          </rPr>
          <t xml:space="preserve">
0 </t>
        </r>
        <r>
          <rPr>
            <sz val="9"/>
            <color indexed="81"/>
            <rFont val="宋体"/>
            <family val="3"/>
            <charset val="134"/>
          </rPr>
          <t>或省略</t>
        </r>
        <r>
          <rPr>
            <sz val="9"/>
            <color indexed="81"/>
            <rFont val="Tahoma"/>
            <family val="2"/>
          </rPr>
          <t xml:space="preserve"> US (NASD) 30/360 
1 </t>
        </r>
        <r>
          <rPr>
            <sz val="9"/>
            <color indexed="81"/>
            <rFont val="宋体"/>
            <family val="3"/>
            <charset val="134"/>
          </rPr>
          <t>实际天数</t>
        </r>
        <r>
          <rPr>
            <sz val="9"/>
            <color indexed="81"/>
            <rFont val="Tahoma"/>
            <family val="2"/>
          </rPr>
          <t>/</t>
        </r>
        <r>
          <rPr>
            <sz val="9"/>
            <color indexed="81"/>
            <rFont val="宋体"/>
            <family val="3"/>
            <charset val="134"/>
          </rPr>
          <t>实际天数</t>
        </r>
        <r>
          <rPr>
            <sz val="9"/>
            <color indexed="81"/>
            <rFont val="Tahoma"/>
            <family val="2"/>
          </rPr>
          <t xml:space="preserve"> 
2 </t>
        </r>
        <r>
          <rPr>
            <sz val="9"/>
            <color indexed="81"/>
            <rFont val="宋体"/>
            <family val="3"/>
            <charset val="134"/>
          </rPr>
          <t>实际天数</t>
        </r>
        <r>
          <rPr>
            <sz val="9"/>
            <color indexed="81"/>
            <rFont val="Tahoma"/>
            <family val="2"/>
          </rPr>
          <t xml:space="preserve">/360 
3 </t>
        </r>
        <r>
          <rPr>
            <sz val="9"/>
            <color indexed="81"/>
            <rFont val="宋体"/>
            <family val="3"/>
            <charset val="134"/>
          </rPr>
          <t>实际天数</t>
        </r>
        <r>
          <rPr>
            <sz val="9"/>
            <color indexed="81"/>
            <rFont val="Tahoma"/>
            <family val="2"/>
          </rPr>
          <t xml:space="preserve">/365 
4 </t>
        </r>
        <r>
          <rPr>
            <sz val="9"/>
            <color indexed="81"/>
            <rFont val="宋体"/>
            <family val="3"/>
            <charset val="134"/>
          </rPr>
          <t>欧洲</t>
        </r>
        <r>
          <rPr>
            <sz val="9"/>
            <color indexed="81"/>
            <rFont val="Tahoma"/>
            <family val="2"/>
          </rPr>
          <t xml:space="preserve"> 30/360 
</t>
        </r>
      </text>
    </comment>
    <comment ref="B195" authorId="0">
      <text>
        <r>
          <rPr>
            <b/>
            <sz val="9"/>
            <color indexed="81"/>
            <rFont val="Tahoma"/>
            <family val="2"/>
          </rPr>
          <t>作者:</t>
        </r>
        <r>
          <rPr>
            <sz val="9"/>
            <color indexed="81"/>
            <rFont val="Tahoma"/>
            <family val="2"/>
          </rPr>
          <t xml:space="preserve">
30/360  0</t>
        </r>
        <r>
          <rPr>
            <sz val="9"/>
            <color indexed="81"/>
            <rFont val="宋体"/>
            <family val="3"/>
            <charset val="134"/>
          </rPr>
          <t xml:space="preserve">或省略
</t>
        </r>
        <r>
          <rPr>
            <sz val="9"/>
            <color indexed="81"/>
            <rFont val="Tahoma"/>
            <family val="2"/>
          </rPr>
          <t xml:space="preserve">ACTUAL 1
A360      2
A365      3
</t>
        </r>
        <r>
          <rPr>
            <sz val="9"/>
            <color indexed="81"/>
            <rFont val="宋体"/>
            <family val="3"/>
            <charset val="134"/>
          </rPr>
          <t>欧洲</t>
        </r>
        <r>
          <rPr>
            <sz val="9"/>
            <color indexed="81"/>
            <rFont val="Tahoma"/>
            <family val="2"/>
          </rPr>
          <t xml:space="preserve">30/360 4
</t>
        </r>
      </text>
    </comment>
  </commentList>
</comments>
</file>

<file path=xl/comments2.xml><?xml version="1.0" encoding="utf-8"?>
<comments xmlns="http://schemas.openxmlformats.org/spreadsheetml/2006/main">
  <authors>
    <author>作者</author>
  </authors>
  <commentList>
    <comment ref="B30" authorId="0">
      <text>
        <r>
          <rPr>
            <b/>
            <sz val="9"/>
            <color indexed="81"/>
            <rFont val="宋体"/>
            <family val="3"/>
            <charset val="134"/>
          </rPr>
          <t>作者:</t>
        </r>
        <r>
          <rPr>
            <sz val="9"/>
            <color indexed="81"/>
            <rFont val="宋体"/>
            <family val="3"/>
            <charset val="134"/>
          </rPr>
          <t xml:space="preserve">
即CDATE那天的到期收益率</t>
        </r>
      </text>
    </comment>
    <comment ref="A37" authorId="0">
      <text>
        <r>
          <rPr>
            <b/>
            <sz val="9"/>
            <color indexed="81"/>
            <rFont val="宋体"/>
            <family val="3"/>
            <charset val="134"/>
          </rPr>
          <t>作者:</t>
        </r>
        <r>
          <rPr>
            <sz val="9"/>
            <color indexed="81"/>
            <rFont val="宋体"/>
            <family val="3"/>
            <charset val="134"/>
          </rPr>
          <t xml:space="preserve">
程序算法计算的结果</t>
        </r>
      </text>
    </comment>
    <comment ref="A91" authorId="0">
      <text>
        <r>
          <rPr>
            <b/>
            <sz val="9"/>
            <color indexed="81"/>
            <rFont val="宋体"/>
            <family val="3"/>
            <charset val="134"/>
          </rPr>
          <t>作者:</t>
        </r>
        <r>
          <rPr>
            <sz val="9"/>
            <color indexed="81"/>
            <rFont val="宋体"/>
            <family val="3"/>
            <charset val="134"/>
          </rPr>
          <t xml:space="preserve">
即CDATE那天的到期收益率</t>
        </r>
      </text>
    </comment>
    <comment ref="A113" authorId="0">
      <text>
        <r>
          <rPr>
            <b/>
            <sz val="9"/>
            <color indexed="81"/>
            <rFont val="宋体"/>
            <family val="3"/>
            <charset val="134"/>
          </rPr>
          <t>作者:</t>
        </r>
        <r>
          <rPr>
            <sz val="9"/>
            <color indexed="81"/>
            <rFont val="宋体"/>
            <family val="3"/>
            <charset val="134"/>
          </rPr>
          <t xml:space="preserve">
即CDATE那天的到期收益率</t>
        </r>
      </text>
    </comment>
    <comment ref="A156" authorId="0">
      <text>
        <r>
          <rPr>
            <b/>
            <sz val="9"/>
            <color indexed="81"/>
            <rFont val="宋体"/>
            <family val="3"/>
            <charset val="134"/>
          </rPr>
          <t>作者:</t>
        </r>
        <r>
          <rPr>
            <sz val="9"/>
            <color indexed="81"/>
            <rFont val="宋体"/>
            <family val="3"/>
            <charset val="134"/>
          </rPr>
          <t xml:space="preserve">
即CDATE那天的到期收益率</t>
        </r>
      </text>
    </comment>
  </commentList>
</comments>
</file>

<file path=xl/sharedStrings.xml><?xml version="1.0" encoding="utf-8"?>
<sst xmlns="http://schemas.openxmlformats.org/spreadsheetml/2006/main" count="699" uniqueCount="250">
  <si>
    <t>收益率</t>
    <phoneticPr fontId="1" type="noConversion"/>
  </si>
  <si>
    <t>年化剩余天数</t>
    <phoneticPr fontId="1" type="noConversion"/>
  </si>
  <si>
    <t>计算日</t>
    <phoneticPr fontId="1" type="noConversion"/>
  </si>
  <si>
    <t>付息日</t>
    <phoneticPr fontId="1" type="noConversion"/>
  </si>
  <si>
    <t>持续天数</t>
    <phoneticPr fontId="1" type="noConversion"/>
  </si>
  <si>
    <t>利率</t>
    <phoneticPr fontId="1" type="noConversion"/>
  </si>
  <si>
    <t>计息基准天数</t>
    <phoneticPr fontId="1" type="noConversion"/>
  </si>
  <si>
    <t>应计利息</t>
    <phoneticPr fontId="1" type="noConversion"/>
  </si>
  <si>
    <t>债券结算日是债券付息日</t>
    <phoneticPr fontId="1" type="noConversion"/>
  </si>
  <si>
    <t>日期</t>
    <phoneticPr fontId="1" type="noConversion"/>
  </si>
  <si>
    <t>现金流</t>
    <phoneticPr fontId="1" type="noConversion"/>
  </si>
  <si>
    <t>收益率</t>
    <phoneticPr fontId="1" type="noConversion"/>
  </si>
  <si>
    <t>债券结算日不是债券付息日</t>
    <phoneticPr fontId="1" type="noConversion"/>
  </si>
  <si>
    <t>日期</t>
    <phoneticPr fontId="1" type="noConversion"/>
  </si>
  <si>
    <t>现金流年期</t>
    <phoneticPr fontId="1" type="noConversion"/>
  </si>
  <si>
    <t>现金流现值</t>
    <phoneticPr fontId="1" type="noConversion"/>
  </si>
  <si>
    <t>债券价格</t>
    <phoneticPr fontId="1" type="noConversion"/>
  </si>
  <si>
    <t>现金流年期</t>
    <phoneticPr fontId="1" type="noConversion"/>
  </si>
  <si>
    <t>日期</t>
    <phoneticPr fontId="1" type="noConversion"/>
  </si>
  <si>
    <t>现金流</t>
    <phoneticPr fontId="1" type="noConversion"/>
  </si>
  <si>
    <t>计算久期</t>
    <phoneticPr fontId="1" type="noConversion"/>
  </si>
  <si>
    <t>计算日</t>
    <phoneticPr fontId="1" type="noConversion"/>
  </si>
  <si>
    <t>到期日</t>
    <phoneticPr fontId="1" type="noConversion"/>
  </si>
  <si>
    <t>年息票利率</t>
    <phoneticPr fontId="1" type="noConversion"/>
  </si>
  <si>
    <t>年收益率</t>
    <phoneticPr fontId="1" type="noConversion"/>
  </si>
  <si>
    <t>年付息次数</t>
    <phoneticPr fontId="1" type="noConversion"/>
  </si>
  <si>
    <t>Basis</t>
    <phoneticPr fontId="1" type="noConversion"/>
  </si>
  <si>
    <t>久期</t>
    <phoneticPr fontId="1" type="noConversion"/>
  </si>
  <si>
    <t>3133XHE81</t>
    <phoneticPr fontId="1" type="noConversion"/>
  </si>
  <si>
    <t>净价</t>
    <phoneticPr fontId="1" type="noConversion"/>
  </si>
  <si>
    <t>价格</t>
    <phoneticPr fontId="1" type="noConversion"/>
  </si>
  <si>
    <t>收益率</t>
    <phoneticPr fontId="1" type="noConversion"/>
  </si>
  <si>
    <t>日期</t>
    <phoneticPr fontId="1" type="noConversion"/>
  </si>
  <si>
    <r>
      <t>·</t>
    </r>
    <r>
      <rPr>
        <sz val="7"/>
        <color theme="1"/>
        <rFont val="Times New Roman"/>
        <family val="1"/>
      </rPr>
      <t xml:space="preserve">   </t>
    </r>
    <r>
      <rPr>
        <sz val="10.5"/>
        <color theme="1"/>
        <rFont val="宋体"/>
        <family val="3"/>
        <charset val="134"/>
      </rPr>
      <t>当日每笔交易债券卖出量、卖出净价</t>
    </r>
  </si>
  <si>
    <r>
      <t>·</t>
    </r>
    <r>
      <rPr>
        <sz val="7"/>
        <color theme="1"/>
        <rFont val="Times New Roman"/>
        <family val="1"/>
      </rPr>
      <t xml:space="preserve">   </t>
    </r>
    <r>
      <rPr>
        <sz val="10.5"/>
        <color theme="1"/>
        <rFont val="宋体"/>
        <family val="3"/>
        <charset val="134"/>
      </rPr>
      <t>债券票面利率</t>
    </r>
    <r>
      <rPr>
        <sz val="10.5"/>
        <color theme="1"/>
        <rFont val="Times New Roman"/>
        <family val="1"/>
      </rPr>
      <t>R</t>
    </r>
    <phoneticPr fontId="1" type="noConversion"/>
  </si>
  <si>
    <r>
      <t>·</t>
    </r>
    <r>
      <rPr>
        <sz val="7"/>
        <color theme="1"/>
        <rFont val="Times New Roman"/>
        <family val="1"/>
      </rPr>
      <t xml:space="preserve">   </t>
    </r>
    <r>
      <rPr>
        <sz val="10.5"/>
        <color theme="1"/>
        <rFont val="宋体"/>
        <family val="3"/>
        <charset val="134"/>
      </rPr>
      <t>上一日债券持仓量</t>
    </r>
    <r>
      <rPr>
        <sz val="10.5"/>
        <color theme="1"/>
        <rFont val="Times New Roman"/>
        <family val="1"/>
      </rPr>
      <t xml:space="preserve">POS(n-1) </t>
    </r>
    <phoneticPr fontId="1" type="noConversion"/>
  </si>
  <si>
    <t>输入：</t>
    <phoneticPr fontId="1" type="noConversion"/>
  </si>
  <si>
    <t>R=</t>
    <phoneticPr fontId="1" type="noConversion"/>
  </si>
  <si>
    <r>
      <t>·</t>
    </r>
    <r>
      <rPr>
        <sz val="7"/>
        <color theme="1"/>
        <rFont val="Times New Roman"/>
        <family val="1"/>
      </rPr>
      <t xml:space="preserve">   </t>
    </r>
    <r>
      <rPr>
        <sz val="10.5"/>
        <color theme="1"/>
        <rFont val="宋体"/>
        <family val="3"/>
        <charset val="134"/>
      </rPr>
      <t>上一日持仓单位净价、净价金额</t>
    </r>
    <r>
      <rPr>
        <sz val="10.5"/>
        <color theme="1"/>
        <rFont val="Times New Roman"/>
        <family val="1"/>
      </rPr>
      <t xml:space="preserve"> </t>
    </r>
    <phoneticPr fontId="1" type="noConversion"/>
  </si>
  <si>
    <t xml:space="preserve"> 上一日持仓单位净价</t>
  </si>
  <si>
    <t xml:space="preserve"> 上一日持仓单位净价金额</t>
    <phoneticPr fontId="1" type="noConversion"/>
  </si>
  <si>
    <r>
      <t>·</t>
    </r>
    <r>
      <rPr>
        <sz val="7"/>
        <color theme="1"/>
        <rFont val="Times New Roman"/>
        <family val="1"/>
      </rPr>
      <t xml:space="preserve">   </t>
    </r>
    <r>
      <rPr>
        <sz val="10.5"/>
        <color theme="1"/>
        <rFont val="宋体"/>
        <family val="3"/>
        <charset val="134"/>
      </rPr>
      <t>当日每笔交易债券买入量、买入净价</t>
    </r>
    <phoneticPr fontId="1" type="noConversion"/>
  </si>
  <si>
    <t> 当日每笔交易债券买入量</t>
    <phoneticPr fontId="1" type="noConversion"/>
  </si>
  <si>
    <t xml:space="preserve"> 当日每笔交易债券买入净价</t>
    <phoneticPr fontId="1" type="noConversion"/>
  </si>
  <si>
    <r>
      <t>·</t>
    </r>
    <r>
      <rPr>
        <sz val="7"/>
        <color theme="1"/>
        <rFont val="Times New Roman"/>
        <family val="1"/>
      </rPr>
      <t xml:space="preserve">   </t>
    </r>
    <r>
      <rPr>
        <sz val="10.5"/>
        <color theme="1"/>
        <rFont val="宋体"/>
        <family val="3"/>
        <charset val="134"/>
      </rPr>
      <t>债券每日的公允价值</t>
    </r>
    <r>
      <rPr>
        <sz val="10.5"/>
        <color theme="1"/>
        <rFont val="Times New Roman"/>
        <family val="1"/>
      </rPr>
      <t>(MKV)</t>
    </r>
    <r>
      <rPr>
        <sz val="10.5"/>
        <color theme="1"/>
        <rFont val="宋体"/>
        <family val="3"/>
        <charset val="134"/>
      </rPr>
      <t>，公允价值为按照估值法或按照成交价确定的债券净价</t>
    </r>
    <phoneticPr fontId="1" type="noConversion"/>
  </si>
  <si>
    <t>债券每日的公允价值(MKV)</t>
    <phoneticPr fontId="1" type="noConversion"/>
  </si>
  <si>
    <r>
      <t>假设当日买入债券</t>
    </r>
    <r>
      <rPr>
        <sz val="10.5"/>
        <color theme="1"/>
        <rFont val="Times New Roman"/>
        <family val="1"/>
      </rPr>
      <t>m</t>
    </r>
    <r>
      <rPr>
        <sz val="10.5"/>
        <color theme="1"/>
        <rFont val="宋体"/>
        <family val="3"/>
        <charset val="134"/>
      </rPr>
      <t>笔，第</t>
    </r>
    <r>
      <rPr>
        <sz val="10.5"/>
        <color theme="1"/>
        <rFont val="Times New Roman"/>
        <family val="1"/>
      </rPr>
      <t>i</t>
    </r>
    <r>
      <rPr>
        <sz val="10.5"/>
        <color theme="1"/>
        <rFont val="宋体"/>
        <family val="3"/>
        <charset val="134"/>
      </rPr>
      <t>笔交易的相关要素分别为：</t>
    </r>
  </si>
  <si>
    <r>
      <t>净价（元</t>
    </r>
    <r>
      <rPr>
        <sz val="10.5"/>
        <color theme="1"/>
        <rFont val="Times New Roman"/>
        <family val="1"/>
      </rPr>
      <t>/</t>
    </r>
    <r>
      <rPr>
        <sz val="10.5"/>
        <color theme="1"/>
        <rFont val="宋体"/>
        <family val="3"/>
        <charset val="134"/>
      </rPr>
      <t>百元面值）：</t>
    </r>
    <r>
      <rPr>
        <sz val="10.5"/>
        <color theme="1"/>
        <rFont val="Times New Roman"/>
        <family val="1"/>
      </rPr>
      <t>B_CP(i)</t>
    </r>
  </si>
  <si>
    <r>
      <t>应计利息（元</t>
    </r>
    <r>
      <rPr>
        <sz val="10.5"/>
        <color theme="1"/>
        <rFont val="Times New Roman"/>
        <family val="1"/>
      </rPr>
      <t>/</t>
    </r>
    <r>
      <rPr>
        <sz val="10.5"/>
        <color theme="1"/>
        <rFont val="宋体"/>
        <family val="3"/>
        <charset val="134"/>
      </rPr>
      <t>百元面值）：</t>
    </r>
    <r>
      <rPr>
        <sz val="10.5"/>
        <color theme="1"/>
        <rFont val="Times New Roman"/>
        <family val="1"/>
      </rPr>
      <t>B_AIi</t>
    </r>
    <r>
      <rPr>
        <sz val="10.5"/>
        <color theme="1"/>
        <rFont val="宋体"/>
        <family val="3"/>
        <charset val="134"/>
      </rPr>
      <t>；</t>
    </r>
  </si>
  <si>
    <r>
      <t>全价（元</t>
    </r>
    <r>
      <rPr>
        <sz val="10.5"/>
        <color theme="1"/>
        <rFont val="Times New Roman"/>
        <family val="1"/>
      </rPr>
      <t>/</t>
    </r>
    <r>
      <rPr>
        <sz val="10.5"/>
        <color theme="1"/>
        <rFont val="宋体"/>
        <family val="3"/>
        <charset val="134"/>
      </rPr>
      <t>百元面值）：</t>
    </r>
    <r>
      <rPr>
        <sz val="10.5"/>
        <color theme="1"/>
        <rFont val="Times New Roman"/>
        <family val="1"/>
      </rPr>
      <t>B_DP(i)</t>
    </r>
  </si>
  <si>
    <r>
      <t>券面总额：</t>
    </r>
    <r>
      <rPr>
        <sz val="10.5"/>
        <color theme="1"/>
        <rFont val="Times New Roman"/>
        <family val="1"/>
      </rPr>
      <t>B_PARi</t>
    </r>
  </si>
  <si>
    <r>
      <t>净价金额：</t>
    </r>
    <r>
      <rPr>
        <sz val="10.5"/>
        <color theme="1"/>
        <rFont val="Times New Roman"/>
        <family val="1"/>
      </rPr>
      <t>B_CAMT(i)</t>
    </r>
  </si>
  <si>
    <r>
      <t>应计利息总额：</t>
    </r>
    <r>
      <rPr>
        <sz val="10.5"/>
        <color theme="1"/>
        <rFont val="Times New Roman"/>
        <family val="1"/>
      </rPr>
      <t>B_IAMTi</t>
    </r>
  </si>
  <si>
    <r>
      <t>全价金额：</t>
    </r>
    <r>
      <rPr>
        <sz val="10.5"/>
        <color theme="1"/>
        <rFont val="Times New Roman"/>
        <family val="1"/>
      </rPr>
      <t>B_DAMT(i)</t>
    </r>
  </si>
  <si>
    <r>
      <t>手续费：</t>
    </r>
    <r>
      <rPr>
        <sz val="10.5"/>
        <color theme="1"/>
        <rFont val="Times New Roman"/>
        <family val="1"/>
      </rPr>
      <t>B_FEE(i)</t>
    </r>
  </si>
  <si>
    <r>
      <t>债券上一日持仓量：</t>
    </r>
    <r>
      <rPr>
        <sz val="10.5"/>
        <color theme="1"/>
        <rFont val="Times New Roman"/>
        <family val="1"/>
      </rPr>
      <t>POS(n-1)</t>
    </r>
  </si>
  <si>
    <r>
      <t>上日持仓摊余成本：</t>
    </r>
    <r>
      <rPr>
        <sz val="10.5"/>
        <color theme="1"/>
        <rFont val="Times New Roman"/>
        <family val="1"/>
      </rPr>
      <t>POS_CST(n-1)</t>
    </r>
  </si>
  <si>
    <r>
      <t>上日摊余成本金额：</t>
    </r>
    <r>
      <rPr>
        <sz val="10.5"/>
        <color theme="1"/>
        <rFont val="Times New Roman"/>
        <family val="1"/>
      </rPr>
      <t>POS_CSTAMT(n-1)</t>
    </r>
  </si>
  <si>
    <t>实际利息收入</t>
  </si>
  <si>
    <r>
      <t>·</t>
    </r>
    <r>
      <rPr>
        <sz val="7"/>
        <color theme="1"/>
        <rFont val="Times New Roman"/>
        <family val="1"/>
      </rPr>
      <t xml:space="preserve">   </t>
    </r>
    <r>
      <rPr>
        <sz val="10.5"/>
        <color theme="1"/>
        <rFont val="宋体"/>
        <family val="3"/>
        <charset val="134"/>
      </rPr>
      <t>当日计提应收未收利息</t>
    </r>
    <r>
      <rPr>
        <sz val="10.5"/>
        <color theme="1"/>
        <rFont val="Times New Roman"/>
        <family val="1"/>
      </rPr>
      <t>=</t>
    </r>
    <r>
      <rPr>
        <sz val="10.5"/>
        <color theme="1"/>
        <rFont val="宋体"/>
        <family val="3"/>
        <charset val="134"/>
      </rPr>
      <t/>
    </r>
    <phoneticPr fontId="1" type="noConversion"/>
  </si>
  <si>
    <t>当日持仓量*票面利率*计息基础函数</t>
    <phoneticPr fontId="1" type="noConversion"/>
  </si>
  <si>
    <t>当日计提应收未收利息</t>
  </si>
  <si>
    <t>票面利率</t>
    <phoneticPr fontId="1" type="noConversion"/>
  </si>
  <si>
    <t>成本价收益率</t>
    <phoneticPr fontId="1" type="noConversion"/>
  </si>
  <si>
    <t>实际利率法折价摊销计算</t>
    <phoneticPr fontId="1" type="noConversion"/>
  </si>
  <si>
    <t>年初摊余成本</t>
    <phoneticPr fontId="1" type="noConversion"/>
  </si>
  <si>
    <t>利息收入
（摊余成本*实际利率）</t>
    <phoneticPr fontId="1" type="noConversion"/>
  </si>
  <si>
    <t>现金流量
（面值*票面利率）</t>
    <phoneticPr fontId="1" type="noConversion"/>
  </si>
  <si>
    <t>年末摊余成本
（年初摊余成本+利息收入-现金流量）</t>
    <phoneticPr fontId="1" type="noConversion"/>
  </si>
  <si>
    <t>年摊销额</t>
    <phoneticPr fontId="1" type="noConversion"/>
  </si>
  <si>
    <t>why（贴现）</t>
    <phoneticPr fontId="1" type="noConversion"/>
  </si>
  <si>
    <t>A360</t>
    <phoneticPr fontId="1" type="noConversion"/>
  </si>
  <si>
    <t>30/360</t>
    <phoneticPr fontId="1" type="noConversion"/>
  </si>
  <si>
    <t>ACTUAL</t>
    <phoneticPr fontId="1" type="noConversion"/>
  </si>
  <si>
    <t>3个月一付</t>
    <phoneticPr fontId="1" type="noConversion"/>
  </si>
  <si>
    <t>A/365</t>
  </si>
  <si>
    <t>A/365F</t>
  </si>
  <si>
    <t>到期一次支付</t>
    <phoneticPr fontId="1" type="noConversion"/>
  </si>
  <si>
    <t>EG1789759</t>
    <phoneticPr fontId="1" type="noConversion"/>
  </si>
  <si>
    <t>到期一次支付</t>
    <phoneticPr fontId="1" type="noConversion"/>
  </si>
  <si>
    <t>当日摊销</t>
  </si>
  <si>
    <t>下一日初始摊销全价成本价</t>
  </si>
  <si>
    <t>下一日初始摊销净价成本价</t>
  </si>
  <si>
    <t>PRICEYIELD</t>
  </si>
  <si>
    <t>下一日初始摊销收益率</t>
  </si>
  <si>
    <t>下一日初始持仓净价成本金额</t>
  </si>
  <si>
    <t>NETCOSTPRICE</t>
  </si>
  <si>
    <t>当日日终净价成本价</t>
  </si>
  <si>
    <t>DAYPRICE</t>
  </si>
  <si>
    <t>当日日终全价成本价</t>
  </si>
  <si>
    <t>当日日终全价成本价值</t>
  </si>
  <si>
    <t>PLVALUE</t>
  </si>
  <si>
    <t>当日浮动盈亏</t>
  </si>
  <si>
    <t>2010-10-12持仓中的摊销字段计算</t>
    <phoneticPr fontId="1" type="noConversion"/>
  </si>
  <si>
    <r>
      <t>实际利息收入</t>
    </r>
    <r>
      <rPr>
        <sz val="10.5"/>
        <color theme="1"/>
        <rFont val="Times New Roman"/>
        <family val="1"/>
      </rPr>
      <t>=</t>
    </r>
    <r>
      <rPr>
        <sz val="10.5"/>
        <color theme="1"/>
        <rFont val="宋体"/>
        <family val="3"/>
        <charset val="134"/>
        <scheme val="minor"/>
      </rPr>
      <t>摊销前摊余成本</t>
    </r>
    <r>
      <rPr>
        <sz val="10.5"/>
        <color theme="1"/>
        <rFont val="Times New Roman"/>
        <family val="1"/>
      </rPr>
      <t>*</t>
    </r>
    <r>
      <rPr>
        <sz val="10.5"/>
        <color theme="1"/>
        <rFont val="宋体"/>
        <family val="3"/>
        <charset val="134"/>
        <scheme val="minor"/>
      </rPr>
      <t>成本价收益率</t>
    </r>
    <r>
      <rPr>
        <sz val="10.5"/>
        <color theme="1"/>
        <rFont val="Times New Roman"/>
        <family val="1"/>
      </rPr>
      <t>*</t>
    </r>
    <r>
      <rPr>
        <sz val="10.5"/>
        <color theme="1"/>
        <rFont val="宋体"/>
        <family val="3"/>
        <charset val="134"/>
        <scheme val="minor"/>
      </rPr>
      <t>计息基础</t>
    </r>
    <phoneticPr fontId="1" type="noConversion"/>
  </si>
  <si>
    <t>AMORTIZE</t>
    <phoneticPr fontId="1" type="noConversion"/>
  </si>
  <si>
    <t>摊销AMORTIZE</t>
    <phoneticPr fontId="1" type="noConversion"/>
  </si>
  <si>
    <t>NETAMORPRICE=</t>
    <phoneticPr fontId="1" type="noConversion"/>
  </si>
  <si>
    <t>按照公式计算出的下一日摊销净价：</t>
    <phoneticPr fontId="1" type="noConversion"/>
  </si>
  <si>
    <t>按照公式计算出的下一日摊销全价：</t>
    <phoneticPr fontId="1" type="noConversion"/>
  </si>
  <si>
    <t>按照公式计算的下一日初始摊销收益率</t>
    <phoneticPr fontId="1" type="noConversion"/>
  </si>
  <si>
    <t>程序算法计算的下一日初始摊销收益率</t>
    <phoneticPr fontId="1" type="noConversion"/>
  </si>
  <si>
    <t>程序算法计算出的下一日初始持仓净价成本金额：</t>
    <phoneticPr fontId="1" type="noConversion"/>
  </si>
  <si>
    <t>COSTPRICE</t>
    <phoneticPr fontId="1" type="noConversion"/>
  </si>
  <si>
    <t>程序算法计算出的下一日摊销全价：COSTPRICE</t>
    <phoneticPr fontId="1" type="noConversion"/>
  </si>
  <si>
    <t>NETAMORPRICE</t>
    <phoneticPr fontId="1" type="noConversion"/>
  </si>
  <si>
    <t>程序算法计算出的下一日摊销净价：NETAMORPRICE</t>
    <phoneticPr fontId="1" type="noConversion"/>
  </si>
  <si>
    <t>因计算的摊销额不一样故得到的净价值不一样</t>
    <phoneticPr fontId="1" type="noConversion"/>
  </si>
  <si>
    <t>等于净价+下一日应计利息</t>
    <phoneticPr fontId="1" type="noConversion"/>
  </si>
  <si>
    <t>（当日净价金额+当日摊销）/当日持仓</t>
    <phoneticPr fontId="1" type="noConversion"/>
  </si>
  <si>
    <t>当日净价+当日摊销</t>
    <phoneticPr fontId="1" type="noConversion"/>
  </si>
  <si>
    <t>净价+当日应计利息</t>
    <phoneticPr fontId="1" type="noConversion"/>
  </si>
  <si>
    <t>DAYPRICEVALUE</t>
    <phoneticPr fontId="1" type="noConversion"/>
  </si>
  <si>
    <t>当日日终净价成本价 NETCOSTPRICE</t>
    <phoneticPr fontId="1" type="noConversion"/>
  </si>
  <si>
    <t>当日日终全价成本价 DAYPRICE</t>
    <phoneticPr fontId="1" type="noConversion"/>
  </si>
  <si>
    <t>SETTAVGCOST</t>
    <phoneticPr fontId="1" type="noConversion"/>
  </si>
  <si>
    <t>按照公式计算出的下一日初始持仓净价成本金额：
SETTAVGCOST</t>
    <phoneticPr fontId="1" type="noConversion"/>
  </si>
  <si>
    <t>当日浮动盈亏 PLVALUE</t>
    <phoneticPr fontId="1" type="noConversion"/>
  </si>
  <si>
    <t>当日日终全价成本价值 DAYPRICEVALUE</t>
    <phoneticPr fontId="1" type="noConversion"/>
  </si>
  <si>
    <t>摊销前摊余成本=</t>
    <phoneticPr fontId="1" type="noConversion"/>
  </si>
  <si>
    <t xml:space="preserve"> PLVALUE 等于市价净价总额-摊销前摊余成本总额</t>
    <phoneticPr fontId="1" type="noConversion"/>
  </si>
  <si>
    <t>债券010217 2010-10-12号的持仓指标计算</t>
    <phoneticPr fontId="1" type="noConversion"/>
  </si>
  <si>
    <t>书上给出的公式计算到期一次付息的债券到期收益率</t>
    <phoneticPr fontId="1" type="noConversion"/>
  </si>
  <si>
    <t>债券2005050501 2010-10-12号的持仓指标计算</t>
    <phoneticPr fontId="1" type="noConversion"/>
  </si>
  <si>
    <t>到期收益率</t>
    <phoneticPr fontId="1" type="noConversion"/>
  </si>
  <si>
    <t>成本价收益率（购买时的全价对应的收益率）</t>
    <phoneticPr fontId="1" type="noConversion"/>
  </si>
  <si>
    <t>利率可能扩大了100倍</t>
    <phoneticPr fontId="1" type="noConversion"/>
  </si>
  <si>
    <t>久期</t>
    <phoneticPr fontId="1" type="noConversion"/>
  </si>
  <si>
    <t>修正久期</t>
    <phoneticPr fontId="1" type="noConversion"/>
  </si>
  <si>
    <t>收益率</t>
    <phoneticPr fontId="1" type="noConversion"/>
  </si>
  <si>
    <t>收益率-1%</t>
    <phoneticPr fontId="1" type="noConversion"/>
  </si>
  <si>
    <t>收益率+1%</t>
    <phoneticPr fontId="1" type="noConversion"/>
  </si>
  <si>
    <t>PVBP：</t>
    <phoneticPr fontId="1" type="noConversion"/>
  </si>
  <si>
    <t>程序计算的：</t>
    <phoneticPr fontId="1" type="noConversion"/>
  </si>
  <si>
    <t>基点的价值</t>
    <phoneticPr fontId="1" type="noConversion"/>
  </si>
  <si>
    <t>PVBP：Price Value of a Basis Point</t>
    <phoneticPr fontId="1" type="noConversion"/>
  </si>
  <si>
    <t>必要收益率每变化1个基点所引起的价格变动额</t>
    <phoneticPr fontId="1" type="noConversion"/>
  </si>
  <si>
    <t>A/360</t>
    <phoneticPr fontId="1" type="noConversion"/>
  </si>
  <si>
    <t>EF4943975</t>
    <phoneticPr fontId="1" type="noConversion"/>
  </si>
  <si>
    <t>f006</t>
    <phoneticPr fontId="1" type="noConversion"/>
  </si>
  <si>
    <t>IAM</t>
    <phoneticPr fontId="1" type="noConversion"/>
  </si>
  <si>
    <t>R＝（FP－IP＋CF）/[（IP×D/365）-（CF×d/365）]</t>
    <phoneticPr fontId="1" type="noConversion"/>
  </si>
  <si>
    <t>现金流距离回购到期的期限</t>
    <phoneticPr fontId="1" type="noConversion"/>
  </si>
  <si>
    <t>回购期间如发生回购债券付息，则回购利率可以通过如下公式计算：</t>
  </si>
  <si>
    <t>数。</t>
  </si>
  <si>
    <t>R＝（FP－IP＋7℃）/[（IP×D/365）-（7℃×d/365）]</t>
    <phoneticPr fontId="1" type="noConversion"/>
  </si>
  <si>
    <t>上述式中为回购利率，FP为到期资金支付额，IP为首期资金支付额，7℃为回购期内回购债券发</t>
    <phoneticPr fontId="1" type="noConversion"/>
  </si>
  <si>
    <t>行人支付的利息额，D为回购期限，d为回购期间回购债券利息支付日至到期结算日的实际天</t>
    <phoneticPr fontId="1" type="noConversion"/>
  </si>
  <si>
    <t>fp=</t>
    <phoneticPr fontId="1" type="noConversion"/>
  </si>
  <si>
    <t>IP</t>
    <phoneticPr fontId="1" type="noConversion"/>
  </si>
  <si>
    <t>CF=</t>
    <phoneticPr fontId="1" type="noConversion"/>
  </si>
  <si>
    <t>D=</t>
    <phoneticPr fontId="1" type="noConversion"/>
  </si>
  <si>
    <t>d=</t>
    <phoneticPr fontId="1" type="noConversion"/>
  </si>
  <si>
    <t>回购利率=</t>
    <phoneticPr fontId="1" type="noConversion"/>
  </si>
  <si>
    <t>0981218</t>
    <phoneticPr fontId="1" type="noConversion"/>
  </si>
  <si>
    <t>0982145</t>
    <phoneticPr fontId="1" type="noConversion"/>
  </si>
  <si>
    <t>060228</t>
    <phoneticPr fontId="1" type="noConversion"/>
  </si>
  <si>
    <t>061301</t>
    <phoneticPr fontId="1" type="noConversion"/>
  </si>
  <si>
    <t>080218</t>
    <phoneticPr fontId="1" type="noConversion"/>
  </si>
  <si>
    <t>080219</t>
    <phoneticPr fontId="1" type="noConversion"/>
  </si>
  <si>
    <t>5号</t>
    <phoneticPr fontId="1" type="noConversion"/>
  </si>
  <si>
    <t>6号</t>
    <phoneticPr fontId="1" type="noConversion"/>
  </si>
  <si>
    <t>11号</t>
    <phoneticPr fontId="1" type="noConversion"/>
  </si>
  <si>
    <t>FP总和</t>
    <phoneticPr fontId="1" type="noConversion"/>
  </si>
  <si>
    <t>IP总和</t>
    <phoneticPr fontId="1" type="noConversion"/>
  </si>
  <si>
    <t>CF总和</t>
    <phoneticPr fontId="1" type="noConversion"/>
  </si>
  <si>
    <t>利息计算错误</t>
    <phoneticPr fontId="1" type="noConversion"/>
  </si>
  <si>
    <t>利息计算不出来</t>
    <phoneticPr fontId="1" type="noConversion"/>
  </si>
  <si>
    <t>090027</t>
    <phoneticPr fontId="1" type="noConversion"/>
  </si>
  <si>
    <t>8号版本已OK</t>
    <phoneticPr fontId="1" type="noConversion"/>
  </si>
  <si>
    <t>实际利息收入</t>
    <phoneticPr fontId="1" type="noConversion"/>
  </si>
  <si>
    <t>债券090028 2010-11-04号的持仓指标计算</t>
    <phoneticPr fontId="1" type="noConversion"/>
  </si>
  <si>
    <t>购买当天用的是成交时的净价计算，后续每天使用收益率计算</t>
    <phoneticPr fontId="1" type="noConversion"/>
  </si>
  <si>
    <t>差额</t>
    <phoneticPr fontId="1" type="noConversion"/>
  </si>
  <si>
    <t>078069</t>
    <phoneticPr fontId="1" type="noConversion"/>
  </si>
  <si>
    <t>078073</t>
    <phoneticPr fontId="1" type="noConversion"/>
  </si>
  <si>
    <t>13号</t>
    <phoneticPr fontId="1" type="noConversion"/>
  </si>
  <si>
    <t>14号</t>
    <phoneticPr fontId="1" type="noConversion"/>
  </si>
  <si>
    <t>回购利率=</t>
    <phoneticPr fontId="1" type="noConversion"/>
  </si>
  <si>
    <t>公式的分母：</t>
    <phoneticPr fontId="1" type="noConversion"/>
  </si>
  <si>
    <t>fp之和：</t>
    <phoneticPr fontId="1" type="noConversion"/>
  </si>
  <si>
    <t>IP之和：</t>
    <phoneticPr fontId="1" type="noConversion"/>
  </si>
  <si>
    <t>CF之和：</t>
    <phoneticPr fontId="1" type="noConversion"/>
  </si>
  <si>
    <t>公式的分子：</t>
    <phoneticPr fontId="1" type="noConversion"/>
  </si>
  <si>
    <t>j009</t>
    <phoneticPr fontId="1" type="noConversion"/>
  </si>
  <si>
    <t>j011</t>
    <phoneticPr fontId="1" type="noConversion"/>
  </si>
  <si>
    <t>j001</t>
    <phoneticPr fontId="1" type="noConversion"/>
  </si>
  <si>
    <t>回购利率：</t>
    <phoneticPr fontId="1" type="noConversion"/>
  </si>
  <si>
    <t>R20101122001</t>
  </si>
  <si>
    <t>0731011</t>
    <phoneticPr fontId="1" type="noConversion"/>
  </si>
  <si>
    <t>1月1付</t>
    <phoneticPr fontId="1" type="noConversion"/>
  </si>
  <si>
    <t>j010</t>
    <phoneticPr fontId="1" type="noConversion"/>
  </si>
  <si>
    <t>1年</t>
    <phoneticPr fontId="1" type="noConversion"/>
  </si>
  <si>
    <t>30/360</t>
    <phoneticPr fontId="1" type="noConversion"/>
  </si>
  <si>
    <t>010217</t>
    <phoneticPr fontId="1" type="noConversion"/>
  </si>
  <si>
    <t>分子</t>
    <phoneticPr fontId="1" type="noConversion"/>
  </si>
  <si>
    <t>分母</t>
    <phoneticPr fontId="1" type="noConversion"/>
  </si>
  <si>
    <t>回购利率=</t>
    <phoneticPr fontId="1" type="noConversion"/>
  </si>
  <si>
    <t>资产负债表</t>
    <phoneticPr fontId="1" type="noConversion"/>
  </si>
  <si>
    <t>债券</t>
    <phoneticPr fontId="1" type="noConversion"/>
  </si>
  <si>
    <t>成本</t>
    <phoneticPr fontId="1" type="noConversion"/>
  </si>
  <si>
    <t>当日日终全价成本价*券面总额</t>
    <phoneticPr fontId="1" type="noConversion"/>
  </si>
  <si>
    <t>回购、拆借</t>
    <phoneticPr fontId="1" type="noConversion"/>
  </si>
  <si>
    <t>利率互换</t>
    <phoneticPr fontId="1" type="noConversion"/>
  </si>
  <si>
    <t>现值</t>
    <phoneticPr fontId="1" type="noConversion"/>
  </si>
  <si>
    <t>市值</t>
    <phoneticPr fontId="1" type="noConversion"/>
  </si>
  <si>
    <t>本金</t>
    <phoneticPr fontId="1" type="noConversion"/>
  </si>
  <si>
    <t>本金+利息</t>
    <phoneticPr fontId="1" type="noConversion"/>
  </si>
  <si>
    <t>产品</t>
    <phoneticPr fontId="1" type="noConversion"/>
  </si>
  <si>
    <t>剩余本金是实时更新的，收益需要等跑批计算</t>
    <phoneticPr fontId="1" type="noConversion"/>
  </si>
  <si>
    <t>收益表</t>
    <phoneticPr fontId="1" type="noConversion"/>
  </si>
  <si>
    <t>浮盈浮亏</t>
    <phoneticPr fontId="1" type="noConversion"/>
  </si>
  <si>
    <t>持有至到期投资</t>
    <phoneticPr fontId="1" type="noConversion"/>
  </si>
  <si>
    <r>
      <t>在确定实际利率时，应当在考虑金融资产或金融负债所有合同条款</t>
    </r>
    <r>
      <rPr>
        <sz val="10.5"/>
        <color theme="1"/>
        <rFont val="Times New Roman"/>
        <family val="1"/>
      </rPr>
      <t/>
    </r>
    <phoneticPr fontId="1" type="noConversion"/>
  </si>
  <si>
    <t>(包括提前还款权、看涨期权或类似期权等)的基础上预计未来现金流量，但不应考虑未来信用损失</t>
  </si>
  <si>
    <t>060012</t>
    <phoneticPr fontId="1" type="noConversion"/>
  </si>
  <si>
    <t>当日日终全价成本价*券面总额</t>
    <phoneticPr fontId="1" type="noConversion"/>
  </si>
  <si>
    <t>计算日</t>
    <phoneticPr fontId="1" type="noConversion"/>
  </si>
  <si>
    <t>付息日</t>
    <phoneticPr fontId="1" type="noConversion"/>
  </si>
  <si>
    <t>持续天数</t>
    <phoneticPr fontId="1" type="noConversion"/>
  </si>
  <si>
    <t>利率</t>
    <phoneticPr fontId="1" type="noConversion"/>
  </si>
  <si>
    <t>计息基准天数</t>
    <phoneticPr fontId="1" type="noConversion"/>
  </si>
  <si>
    <t>应计利息</t>
    <phoneticPr fontId="1" type="noConversion"/>
  </si>
  <si>
    <t>年化剩余天数</t>
    <phoneticPr fontId="1" type="noConversion"/>
  </si>
  <si>
    <t>paper_ir * accrue_days / days_between / ir_pay_freq</t>
    <phoneticPr fontId="1" type="noConversion"/>
  </si>
  <si>
    <t>days_between</t>
  </si>
  <si>
    <t>算法返回的是int型</t>
    <phoneticPr fontId="1" type="noConversion"/>
  </si>
  <si>
    <t>举例：A/365 半年一付息</t>
    <phoneticPr fontId="1" type="noConversion"/>
  </si>
  <si>
    <t>days_between</t>
    <phoneticPr fontId="1" type="noConversion"/>
  </si>
  <si>
    <t>~182</t>
    <phoneticPr fontId="1" type="noConversion"/>
  </si>
  <si>
    <t>应计利息的算法</t>
    <phoneticPr fontId="1" type="noConversion"/>
  </si>
  <si>
    <t>2011-8-11的应计利息</t>
    <phoneticPr fontId="1" type="noConversion"/>
  </si>
  <si>
    <t>2011-8-1的应计利息</t>
    <phoneticPr fontId="1" type="noConversion"/>
  </si>
  <si>
    <t>结算日</t>
    <phoneticPr fontId="1" type="noConversion"/>
  </si>
  <si>
    <t>债券到期日</t>
    <phoneticPr fontId="1" type="noConversion"/>
  </si>
  <si>
    <t>票面利率</t>
    <phoneticPr fontId="1" type="noConversion"/>
  </si>
  <si>
    <t>到期收益率</t>
    <phoneticPr fontId="1" type="noConversion"/>
  </si>
  <si>
    <t>年付息次数</t>
    <phoneticPr fontId="1" type="noConversion"/>
  </si>
  <si>
    <t>计息基础</t>
    <phoneticPr fontId="1" type="noConversion"/>
  </si>
  <si>
    <t>VAR值</t>
    <phoneticPr fontId="1" type="noConversion"/>
  </si>
  <si>
    <t>Value at Risk</t>
    <phoneticPr fontId="1" type="noConversion"/>
  </si>
  <si>
    <t>处于风险中的价值</t>
    <phoneticPr fontId="1" type="noConversion"/>
  </si>
  <si>
    <t>在一定持有期内，一定概率条件下，可能被超过的损失的临界值</t>
    <phoneticPr fontId="1" type="noConversion"/>
  </si>
  <si>
    <t>度量资产或负债在一定时间里和在一定的置信度下（95%、97.5%、99%等）其价值最大的损失额</t>
    <phoneticPr fontId="1" type="noConversion"/>
  </si>
  <si>
    <t>受险价值</t>
    <phoneticPr fontId="1" type="noConversion"/>
  </si>
  <si>
    <t>计算可交易金融资产受险价值的关键输入变量是该项金融资产的市值和市值变动率或标准差</t>
    <phoneticPr fontId="1" type="noConversion"/>
  </si>
  <si>
    <t>债券基本信息不走流程</t>
    <phoneticPr fontId="1" type="noConversion"/>
  </si>
  <si>
    <t>有X%的概率资产的损失在将来的N天内不会超过VaR</t>
    <phoneticPr fontId="1" type="noConversion"/>
  </si>
  <si>
    <r>
      <t>净价（元</t>
    </r>
    <r>
      <rPr>
        <sz val="10.5"/>
        <color theme="1"/>
        <rFont val="Times New Roman"/>
        <family val="1"/>
      </rPr>
      <t>/</t>
    </r>
    <r>
      <rPr>
        <sz val="10.5"/>
        <color theme="1"/>
        <rFont val="宋体"/>
        <family val="3"/>
        <charset val="134"/>
      </rPr>
      <t>百元面值）：</t>
    </r>
    <r>
      <rPr>
        <sz val="10.5"/>
        <color theme="1"/>
        <rFont val="Times New Roman"/>
        <family val="1"/>
      </rPr>
      <t>B_CP(i)</t>
    </r>
    <phoneticPr fontId="1" type="noConversion"/>
  </si>
  <si>
    <t>债券081901 2011-12-28号的持仓指标计算</t>
    <phoneticPr fontId="1" type="noConversion"/>
  </si>
</sst>
</file>

<file path=xl/styles.xml><?xml version="1.0" encoding="utf-8"?>
<styleSheet xmlns="http://schemas.openxmlformats.org/spreadsheetml/2006/main">
  <numFmts count="15">
    <numFmt numFmtId="176" formatCode="0.0000%"/>
    <numFmt numFmtId="177" formatCode="0.00000000_ "/>
    <numFmt numFmtId="178" formatCode="0.0000000%"/>
    <numFmt numFmtId="179" formatCode="0.00000%"/>
    <numFmt numFmtId="180" formatCode="000000"/>
    <numFmt numFmtId="181" formatCode="0.0000000000000_ "/>
    <numFmt numFmtId="182" formatCode="0.0000_ "/>
    <numFmt numFmtId="183" formatCode="0.00_ "/>
    <numFmt numFmtId="184" formatCode="0.000000000000_ "/>
    <numFmt numFmtId="185" formatCode="0.00000000000000_ "/>
    <numFmt numFmtId="186" formatCode="0.0000000_ "/>
    <numFmt numFmtId="187" formatCode="0.000000%"/>
    <numFmt numFmtId="188" formatCode="#,##0.00_ "/>
    <numFmt numFmtId="189" formatCode="#,##0.00000_ "/>
    <numFmt numFmtId="190" formatCode="#,##0.0000_ "/>
  </numFmts>
  <fonts count="24">
    <font>
      <sz val="11"/>
      <color theme="1"/>
      <name val="宋体"/>
      <family val="2"/>
      <charset val="134"/>
      <scheme val="minor"/>
    </font>
    <font>
      <sz val="9"/>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name val="宋体"/>
      <family val="2"/>
      <charset val="134"/>
      <scheme val="minor"/>
    </font>
    <font>
      <sz val="11"/>
      <name val="宋体"/>
      <family val="3"/>
      <charset val="134"/>
      <scheme val="minor"/>
    </font>
    <font>
      <sz val="11"/>
      <color rgb="FF9C0006"/>
      <name val="宋体"/>
      <family val="3"/>
      <charset val="134"/>
      <scheme val="minor"/>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b/>
      <sz val="11"/>
      <name val="宋体"/>
      <family val="3"/>
      <charset val="134"/>
      <scheme val="minor"/>
    </font>
    <font>
      <sz val="11"/>
      <color rgb="FFFF0000"/>
      <name val="宋体"/>
      <family val="3"/>
      <charset val="134"/>
      <scheme val="minor"/>
    </font>
    <font>
      <sz val="10.5"/>
      <color theme="1"/>
      <name val="宋体"/>
      <family val="3"/>
      <charset val="134"/>
    </font>
    <font>
      <sz val="7"/>
      <color theme="1"/>
      <name val="Times New Roman"/>
      <family val="1"/>
    </font>
    <font>
      <sz val="10.5"/>
      <color theme="1"/>
      <name val="Times New Roman"/>
      <family val="1"/>
    </font>
    <font>
      <sz val="10.5"/>
      <color theme="1"/>
      <name val="宋体"/>
      <family val="3"/>
      <charset val="134"/>
      <scheme val="minor"/>
    </font>
    <font>
      <sz val="11"/>
      <color rgb="FFFF0000"/>
      <name val="宋体"/>
      <family val="2"/>
      <charset val="134"/>
      <scheme val="minor"/>
    </font>
    <font>
      <b/>
      <sz val="11"/>
      <color theme="1"/>
      <name val="宋体"/>
      <family val="3"/>
      <charset val="134"/>
      <scheme val="minor"/>
    </font>
    <font>
      <sz val="11"/>
      <color theme="1"/>
      <name val="宋体"/>
      <family val="3"/>
      <charset val="134"/>
      <scheme val="minor"/>
    </font>
    <font>
      <b/>
      <sz val="11"/>
      <color rgb="FFFF0000"/>
      <name val="宋体"/>
      <family val="3"/>
      <charset val="134"/>
      <scheme val="minor"/>
    </font>
    <font>
      <sz val="10.5"/>
      <color theme="1"/>
      <name val="华文仿宋"/>
      <family val="3"/>
      <charset val="134"/>
    </font>
    <font>
      <sz val="11"/>
      <color theme="1"/>
      <name val="宋体"/>
      <family val="3"/>
      <charset val="134"/>
      <scheme val="maj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auto="1"/>
      </bottom>
      <diagonal/>
    </border>
    <border>
      <left style="slantDashDot">
        <color rgb="FF00B050"/>
      </left>
      <right/>
      <top style="slantDashDot">
        <color rgb="FF00B050"/>
      </top>
      <bottom/>
      <diagonal/>
    </border>
    <border>
      <left/>
      <right/>
      <top style="slantDashDot">
        <color rgb="FF00B050"/>
      </top>
      <bottom/>
      <diagonal/>
    </border>
    <border>
      <left/>
      <right style="slantDashDot">
        <color rgb="FF00B050"/>
      </right>
      <top style="slantDashDot">
        <color rgb="FF00B050"/>
      </top>
      <bottom/>
      <diagonal/>
    </border>
    <border>
      <left style="slantDashDot">
        <color rgb="FF00B050"/>
      </left>
      <right/>
      <top/>
      <bottom/>
      <diagonal/>
    </border>
    <border>
      <left/>
      <right style="slantDashDot">
        <color rgb="FF00B050"/>
      </right>
      <top/>
      <bottom/>
      <diagonal/>
    </border>
    <border>
      <left style="slantDashDot">
        <color rgb="FF00B050"/>
      </left>
      <right/>
      <top/>
      <bottom style="slantDashDot">
        <color rgb="FF00B050"/>
      </bottom>
      <diagonal/>
    </border>
    <border>
      <left/>
      <right/>
      <top/>
      <bottom style="slantDashDot">
        <color rgb="FF00B050"/>
      </bottom>
      <diagonal/>
    </border>
    <border>
      <left/>
      <right style="slantDashDot">
        <color rgb="FF00B050"/>
      </right>
      <top/>
      <bottom style="slantDashDot">
        <color rgb="FF00B050"/>
      </bottom>
      <diagonal/>
    </border>
    <border>
      <left style="slantDashDot">
        <color rgb="FFC00000"/>
      </left>
      <right/>
      <top style="slantDashDot">
        <color rgb="FFC00000"/>
      </top>
      <bottom/>
      <diagonal/>
    </border>
    <border>
      <left/>
      <right/>
      <top style="slantDashDot">
        <color rgb="FFC00000"/>
      </top>
      <bottom/>
      <diagonal/>
    </border>
    <border>
      <left/>
      <right style="slantDashDot">
        <color rgb="FFC00000"/>
      </right>
      <top style="slantDashDot">
        <color rgb="FFC00000"/>
      </top>
      <bottom/>
      <diagonal/>
    </border>
    <border>
      <left style="slantDashDot">
        <color rgb="FFC00000"/>
      </left>
      <right/>
      <top/>
      <bottom/>
      <diagonal/>
    </border>
    <border>
      <left/>
      <right style="slantDashDot">
        <color rgb="FFC00000"/>
      </right>
      <top/>
      <bottom/>
      <diagonal/>
    </border>
    <border>
      <left style="slantDashDot">
        <color rgb="FFC00000"/>
      </left>
      <right/>
      <top/>
      <bottom style="slantDashDot">
        <color rgb="FFC00000"/>
      </bottom>
      <diagonal/>
    </border>
    <border>
      <left/>
      <right/>
      <top/>
      <bottom style="slantDashDot">
        <color rgb="FFC00000"/>
      </bottom>
      <diagonal/>
    </border>
    <border>
      <left/>
      <right style="slantDashDot">
        <color rgb="FFC00000"/>
      </right>
      <top/>
      <bottom style="slantDashDot">
        <color rgb="FFC00000"/>
      </bottom>
      <diagonal/>
    </border>
  </borders>
  <cellStyleXfs count="4">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cellStyleXfs>
  <cellXfs count="126">
    <xf numFmtId="0" fontId="0" fillId="0" borderId="0" xfId="0">
      <alignment vertical="center"/>
    </xf>
    <xf numFmtId="0" fontId="3" fillId="3" borderId="1" xfId="2" applyBorder="1">
      <alignment vertical="center"/>
    </xf>
    <xf numFmtId="0" fontId="6" fillId="2" borderId="1" xfId="1" applyFont="1" applyBorder="1">
      <alignment vertical="center"/>
    </xf>
    <xf numFmtId="0" fontId="6" fillId="0" borderId="0" xfId="0" applyFont="1">
      <alignment vertical="center"/>
    </xf>
    <xf numFmtId="14" fontId="6" fillId="0" borderId="0" xfId="0" applyNumberFormat="1" applyFont="1">
      <alignment vertical="center"/>
    </xf>
    <xf numFmtId="0" fontId="6" fillId="5" borderId="1" xfId="3" applyFont="1" applyFill="1" applyBorder="1">
      <alignment vertical="center"/>
    </xf>
    <xf numFmtId="14" fontId="6" fillId="5" borderId="1" xfId="3" applyNumberFormat="1" applyFont="1" applyFill="1" applyBorder="1">
      <alignment vertical="center"/>
    </xf>
    <xf numFmtId="47" fontId="6" fillId="0" borderId="0" xfId="0" applyNumberFormat="1" applyFont="1">
      <alignment vertical="center"/>
    </xf>
    <xf numFmtId="176" fontId="6" fillId="2" borderId="1" xfId="1" applyNumberFormat="1" applyFont="1" applyBorder="1">
      <alignment vertical="center"/>
    </xf>
    <xf numFmtId="0" fontId="6" fillId="0" borderId="0" xfId="0" applyFont="1" applyBorder="1">
      <alignment vertical="center"/>
    </xf>
    <xf numFmtId="0" fontId="6" fillId="0" borderId="2" xfId="0" applyFont="1" applyBorder="1">
      <alignment vertical="center"/>
    </xf>
    <xf numFmtId="176" fontId="6" fillId="0" borderId="0" xfId="0" applyNumberFormat="1" applyFont="1">
      <alignment vertical="center"/>
    </xf>
    <xf numFmtId="14" fontId="6" fillId="5" borderId="1" xfId="0" applyNumberFormat="1" applyFont="1" applyFill="1" applyBorder="1">
      <alignment vertical="center"/>
    </xf>
    <xf numFmtId="0" fontId="6" fillId="0" borderId="1" xfId="0" applyFont="1" applyBorder="1">
      <alignment vertical="center"/>
    </xf>
    <xf numFmtId="0" fontId="6" fillId="5" borderId="1" xfId="0" applyFont="1" applyFill="1" applyBorder="1">
      <alignment vertical="center"/>
    </xf>
    <xf numFmtId="177" fontId="6" fillId="5" borderId="1" xfId="3" applyNumberFormat="1" applyFont="1" applyFill="1" applyBorder="1">
      <alignment vertical="center"/>
    </xf>
    <xf numFmtId="177" fontId="6" fillId="2" borderId="1" xfId="1" applyNumberFormat="1" applyFont="1" applyBorder="1">
      <alignment vertical="center"/>
    </xf>
    <xf numFmtId="0" fontId="5" fillId="5" borderId="1" xfId="3" applyFont="1" applyFill="1" applyBorder="1">
      <alignment vertical="center"/>
    </xf>
    <xf numFmtId="176" fontId="7" fillId="3" borderId="1" xfId="2" applyNumberFormat="1" applyFont="1" applyBorder="1">
      <alignment vertical="center"/>
    </xf>
    <xf numFmtId="9" fontId="6" fillId="0" borderId="0" xfId="0" applyNumberFormat="1" applyFont="1">
      <alignment vertical="center"/>
    </xf>
    <xf numFmtId="178" fontId="6" fillId="0" borderId="0" xfId="0" applyNumberFormat="1" applyFont="1">
      <alignment vertical="center"/>
    </xf>
    <xf numFmtId="0" fontId="12" fillId="0" borderId="0" xfId="0" applyFont="1">
      <alignment vertical="center"/>
    </xf>
    <xf numFmtId="10" fontId="6" fillId="0" borderId="0" xfId="0" applyNumberFormat="1" applyFont="1">
      <alignment vertical="center"/>
    </xf>
    <xf numFmtId="179" fontId="6" fillId="0" borderId="0" xfId="0" applyNumberFormat="1" applyFont="1">
      <alignment vertical="center"/>
    </xf>
    <xf numFmtId="0" fontId="13" fillId="0" borderId="0" xfId="0" applyFont="1">
      <alignment vertical="center"/>
    </xf>
    <xf numFmtId="180" fontId="13" fillId="0" borderId="0" xfId="0" applyNumberFormat="1" applyFont="1">
      <alignment vertical="center"/>
    </xf>
    <xf numFmtId="181" fontId="6" fillId="2" borderId="1" xfId="1" applyNumberFormat="1" applyFont="1" applyBorder="1">
      <alignment vertical="center"/>
    </xf>
    <xf numFmtId="182" fontId="6" fillId="2" borderId="1" xfId="1" applyNumberFormat="1" applyFont="1" applyBorder="1">
      <alignment vertical="center"/>
    </xf>
    <xf numFmtId="0" fontId="14" fillId="0" borderId="0" xfId="0" applyFont="1" applyAlignment="1">
      <alignment horizontal="justify" vertical="center"/>
    </xf>
    <xf numFmtId="180" fontId="0" fillId="0" borderId="0" xfId="0" applyNumberFormat="1" applyAlignment="1">
      <alignment horizontal="left" vertical="center"/>
    </xf>
    <xf numFmtId="0" fontId="17" fillId="0" borderId="0" xfId="0" applyFont="1">
      <alignment vertical="center"/>
    </xf>
    <xf numFmtId="0" fontId="16" fillId="0" borderId="0" xfId="0" applyFont="1" applyAlignment="1">
      <alignment horizontal="justify" vertical="center"/>
    </xf>
    <xf numFmtId="182" fontId="0" fillId="0" borderId="0" xfId="0" applyNumberFormat="1">
      <alignment vertical="center"/>
    </xf>
    <xf numFmtId="9" fontId="0" fillId="0" borderId="0" xfId="0" applyNumberFormat="1">
      <alignment vertical="center"/>
    </xf>
    <xf numFmtId="14" fontId="6" fillId="5" borderId="0" xfId="3" applyNumberFormat="1" applyFont="1" applyFill="1" applyBorder="1">
      <alignment vertical="center"/>
    </xf>
    <xf numFmtId="0" fontId="19" fillId="0" borderId="0" xfId="0" applyFont="1">
      <alignment vertical="center"/>
    </xf>
    <xf numFmtId="183" fontId="0" fillId="0" borderId="0" xfId="0" applyNumberFormat="1">
      <alignment vertical="center"/>
    </xf>
    <xf numFmtId="0" fontId="0" fillId="6" borderId="0" xfId="0" applyFill="1">
      <alignment vertical="center"/>
    </xf>
    <xf numFmtId="179" fontId="0" fillId="0" borderId="0" xfId="0" applyNumberFormat="1">
      <alignment vertical="center"/>
    </xf>
    <xf numFmtId="0" fontId="18" fillId="0" borderId="0" xfId="0" applyFont="1">
      <alignment vertical="center"/>
    </xf>
    <xf numFmtId="0" fontId="21" fillId="0" borderId="0" xfId="0" applyFont="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0" xfId="0" applyBorder="1" applyAlignment="1">
      <alignment vertical="center" wrapText="1"/>
    </xf>
    <xf numFmtId="0" fontId="0" fillId="0" borderId="7" xfId="0" applyBorder="1" applyAlignment="1">
      <alignment vertical="center" wrapText="1"/>
    </xf>
    <xf numFmtId="0" fontId="0" fillId="0" borderId="9" xfId="0" applyBorder="1">
      <alignment vertical="center"/>
    </xf>
    <xf numFmtId="0" fontId="0" fillId="0" borderId="10" xfId="0" applyBorder="1">
      <alignment vertical="center"/>
    </xf>
    <xf numFmtId="184" fontId="0" fillId="0" borderId="0" xfId="0" applyNumberFormat="1">
      <alignment vertical="center"/>
    </xf>
    <xf numFmtId="181" fontId="0" fillId="0" borderId="0" xfId="0" applyNumberFormat="1">
      <alignment vertical="center"/>
    </xf>
    <xf numFmtId="0" fontId="0" fillId="0" borderId="11" xfId="0" applyBorder="1">
      <alignment vertical="center"/>
    </xf>
    <xf numFmtId="183" fontId="0" fillId="0" borderId="11" xfId="0" applyNumberFormat="1" applyBorder="1">
      <alignment vertical="center"/>
    </xf>
    <xf numFmtId="185" fontId="0" fillId="0" borderId="11" xfId="0" applyNumberFormat="1" applyBorder="1">
      <alignment vertical="center"/>
    </xf>
    <xf numFmtId="185" fontId="19" fillId="0" borderId="0" xfId="0" applyNumberFormat="1" applyFont="1">
      <alignment vertical="center"/>
    </xf>
    <xf numFmtId="0" fontId="19" fillId="0" borderId="11" xfId="0" applyFont="1" applyBorder="1">
      <alignment vertical="center"/>
    </xf>
    <xf numFmtId="185" fontId="19" fillId="0" borderId="11" xfId="0" applyNumberFormat="1" applyFont="1" applyBorder="1">
      <alignment vertical="center"/>
    </xf>
    <xf numFmtId="181" fontId="0" fillId="0" borderId="11" xfId="0" applyNumberFormat="1" applyBorder="1">
      <alignment vertical="center"/>
    </xf>
    <xf numFmtId="181" fontId="0" fillId="0" borderId="0" xfId="0" applyNumberFormat="1" applyFill="1" applyBorder="1">
      <alignment vertical="center"/>
    </xf>
    <xf numFmtId="181" fontId="0" fillId="0" borderId="11" xfId="0" applyNumberFormat="1" applyFill="1" applyBorder="1">
      <alignment vertical="center"/>
    </xf>
    <xf numFmtId="0" fontId="20" fillId="0" borderId="0" xfId="0" applyFont="1">
      <alignment vertical="center"/>
    </xf>
    <xf numFmtId="181" fontId="0" fillId="0" borderId="0" xfId="0" applyNumberFormat="1" applyAlignment="1">
      <alignment vertical="center" wrapText="1"/>
    </xf>
    <xf numFmtId="180" fontId="13" fillId="0" borderId="3" xfId="0" applyNumberFormat="1" applyFont="1" applyBorder="1">
      <alignment vertical="center"/>
    </xf>
    <xf numFmtId="0" fontId="6" fillId="0" borderId="4" xfId="0" applyFont="1" applyBorder="1">
      <alignment vertical="center"/>
    </xf>
    <xf numFmtId="0" fontId="6" fillId="0" borderId="5" xfId="0" applyFont="1" applyBorder="1">
      <alignment vertical="center"/>
    </xf>
    <xf numFmtId="14" fontId="6" fillId="0" borderId="6" xfId="0" applyNumberFormat="1" applyFont="1" applyBorder="1">
      <alignment vertical="center"/>
    </xf>
    <xf numFmtId="14" fontId="6" fillId="0" borderId="0" xfId="0" applyNumberFormat="1" applyFont="1" applyBorder="1">
      <alignment vertical="center"/>
    </xf>
    <xf numFmtId="0" fontId="6" fillId="0" borderId="7" xfId="0" applyFont="1" applyBorder="1">
      <alignment vertical="center"/>
    </xf>
    <xf numFmtId="0" fontId="6" fillId="0" borderId="6" xfId="0" applyFont="1" applyBorder="1">
      <alignment vertical="center"/>
    </xf>
    <xf numFmtId="179" fontId="6" fillId="0" borderId="0" xfId="0" applyNumberFormat="1" applyFont="1" applyBorder="1">
      <alignment vertical="center"/>
    </xf>
    <xf numFmtId="14" fontId="6" fillId="0" borderId="8" xfId="0" applyNumberFormat="1" applyFont="1" applyBorder="1">
      <alignment vertical="center"/>
    </xf>
    <xf numFmtId="0" fontId="6" fillId="0" borderId="9" xfId="0" applyFont="1" applyBorder="1">
      <alignment vertical="center"/>
    </xf>
    <xf numFmtId="0" fontId="6" fillId="0" borderId="10" xfId="0" applyFont="1" applyBorder="1">
      <alignment vertical="center"/>
    </xf>
    <xf numFmtId="177" fontId="0" fillId="0" borderId="0" xfId="0" applyNumberFormat="1">
      <alignment vertical="center"/>
    </xf>
    <xf numFmtId="183" fontId="19" fillId="0" borderId="0" xfId="0" applyNumberFormat="1" applyFont="1">
      <alignment vertical="center"/>
    </xf>
    <xf numFmtId="0" fontId="6" fillId="0" borderId="3" xfId="0" applyFont="1" applyBorder="1">
      <alignment vertical="center"/>
    </xf>
    <xf numFmtId="14" fontId="6" fillId="6" borderId="4" xfId="0" applyNumberFormat="1" applyFont="1" applyFill="1" applyBorder="1">
      <alignment vertical="center"/>
    </xf>
    <xf numFmtId="14" fontId="6" fillId="6" borderId="0" xfId="0" applyNumberFormat="1" applyFont="1" applyFill="1" applyBorder="1">
      <alignment vertical="center"/>
    </xf>
    <xf numFmtId="186" fontId="6" fillId="6" borderId="0" xfId="0" applyNumberFormat="1" applyFont="1" applyFill="1" applyBorder="1">
      <alignment vertical="center"/>
    </xf>
    <xf numFmtId="0" fontId="6" fillId="6" borderId="0" xfId="0" applyFont="1" applyFill="1" applyBorder="1">
      <alignment vertical="center"/>
    </xf>
    <xf numFmtId="0" fontId="6" fillId="0" borderId="8" xfId="0" applyFont="1" applyBorder="1">
      <alignment vertical="center"/>
    </xf>
    <xf numFmtId="0" fontId="21" fillId="0" borderId="0" xfId="0" applyFont="1" applyBorder="1">
      <alignment vertical="center"/>
    </xf>
    <xf numFmtId="187" fontId="6" fillId="0" borderId="0" xfId="0" applyNumberFormat="1" applyFont="1">
      <alignment vertical="center"/>
    </xf>
    <xf numFmtId="186" fontId="6" fillId="0" borderId="0" xfId="0" applyNumberFormat="1" applyFont="1">
      <alignment vertical="center"/>
    </xf>
    <xf numFmtId="177" fontId="6" fillId="0" borderId="0" xfId="0" applyNumberFormat="1" applyFont="1">
      <alignment vertical="center"/>
    </xf>
    <xf numFmtId="0" fontId="0" fillId="0" borderId="0" xfId="0" quotePrefix="1">
      <alignment vertical="center"/>
    </xf>
    <xf numFmtId="14" fontId="0" fillId="0" borderId="0" xfId="0" applyNumberFormat="1">
      <alignment vertical="center"/>
    </xf>
    <xf numFmtId="0" fontId="18" fillId="0" borderId="0" xfId="0" quotePrefix="1" applyFont="1">
      <alignment vertical="center"/>
    </xf>
    <xf numFmtId="0" fontId="0" fillId="7" borderId="0" xfId="0" applyFill="1">
      <alignment vertical="center"/>
    </xf>
    <xf numFmtId="4" fontId="0" fillId="0" borderId="0" xfId="0" applyNumberFormat="1">
      <alignment vertical="center"/>
    </xf>
    <xf numFmtId="183" fontId="0" fillId="0" borderId="8" xfId="0" applyNumberFormat="1" applyBorder="1">
      <alignment vertical="center"/>
    </xf>
    <xf numFmtId="183" fontId="0" fillId="0" borderId="9" xfId="0" applyNumberFormat="1" applyBorder="1">
      <alignment vertical="center"/>
    </xf>
    <xf numFmtId="10" fontId="0" fillId="0" borderId="0" xfId="0" applyNumberFormat="1">
      <alignment vertical="center"/>
    </xf>
    <xf numFmtId="188" fontId="0" fillId="0" borderId="0" xfId="0" applyNumberFormat="1">
      <alignment vertical="center"/>
    </xf>
    <xf numFmtId="0" fontId="6" fillId="0" borderId="0" xfId="0" quotePrefix="1" applyFont="1">
      <alignment vertical="center"/>
    </xf>
    <xf numFmtId="180" fontId="13" fillId="0" borderId="0" xfId="0" quotePrefix="1" applyNumberFormat="1" applyFont="1">
      <alignment vertical="center"/>
    </xf>
    <xf numFmtId="0" fontId="0" fillId="0" borderId="0" xfId="0" applyBorder="1">
      <alignment vertical="center"/>
    </xf>
    <xf numFmtId="0" fontId="0" fillId="0" borderId="0" xfId="0" quotePrefix="1" applyBorder="1">
      <alignment vertical="center"/>
    </xf>
    <xf numFmtId="14" fontId="0" fillId="0" borderId="0" xfId="0" applyNumberFormat="1" applyBorder="1">
      <alignment vertical="center"/>
    </xf>
    <xf numFmtId="188" fontId="0" fillId="0" borderId="0" xfId="0" applyNumberFormat="1" applyBorder="1">
      <alignment vertical="center"/>
    </xf>
    <xf numFmtId="0" fontId="0" fillId="0" borderId="12" xfId="0" applyBorder="1">
      <alignment vertical="center"/>
    </xf>
    <xf numFmtId="0" fontId="0" fillId="0" borderId="13" xfId="0" applyBorder="1">
      <alignment vertical="center"/>
    </xf>
    <xf numFmtId="188" fontId="0" fillId="0" borderId="13" xfId="0" applyNumberFormat="1"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188" fontId="0" fillId="0" borderId="24" xfId="0" applyNumberFormat="1" applyBorder="1">
      <alignment vertical="center"/>
    </xf>
    <xf numFmtId="0" fontId="0" fillId="0" borderId="24" xfId="0" applyBorder="1">
      <alignment vertical="center"/>
    </xf>
    <xf numFmtId="14" fontId="0" fillId="0" borderId="24" xfId="0" applyNumberFormat="1" applyBorder="1">
      <alignment vertical="center"/>
    </xf>
    <xf numFmtId="0" fontId="0" fillId="0" borderId="25" xfId="0" applyBorder="1">
      <alignment vertical="center"/>
    </xf>
    <xf numFmtId="0" fontId="0" fillId="0" borderId="26" xfId="0" applyBorder="1">
      <alignment vertical="center"/>
    </xf>
    <xf numFmtId="0" fontId="0" fillId="0" borderId="27" xfId="0" applyBorder="1">
      <alignment vertical="center"/>
    </xf>
    <xf numFmtId="0" fontId="0" fillId="0" borderId="0" xfId="0" applyAlignment="1">
      <alignment horizontal="right" vertical="center"/>
    </xf>
    <xf numFmtId="0" fontId="0" fillId="0" borderId="0" xfId="0" applyAlignment="1">
      <alignment horizontal="center" vertical="center"/>
    </xf>
    <xf numFmtId="0" fontId="6" fillId="0" borderId="0" xfId="0" quotePrefix="1" applyFont="1" applyAlignment="1">
      <alignment horizontal="right" vertical="center"/>
    </xf>
    <xf numFmtId="189" fontId="6" fillId="2" borderId="1" xfId="1" applyNumberFormat="1" applyFont="1" applyBorder="1">
      <alignment vertical="center"/>
    </xf>
    <xf numFmtId="0" fontId="22" fillId="0" borderId="0" xfId="0" applyFont="1">
      <alignment vertical="center"/>
    </xf>
    <xf numFmtId="0" fontId="23" fillId="0" borderId="0" xfId="0" applyFont="1">
      <alignment vertical="center"/>
    </xf>
    <xf numFmtId="190" fontId="0" fillId="0" borderId="0" xfId="0" applyNumberFormat="1">
      <alignment vertical="center"/>
    </xf>
  </cellXfs>
  <cellStyles count="4">
    <cellStyle name="差" xfId="2" builtinId="27"/>
    <cellStyle name="常规" xfId="0" builtinId="0"/>
    <cellStyle name="好" xfId="1" builtinId="26"/>
    <cellStyle name="适中" xfId="3" builtinId="2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F26"/>
  <sheetViews>
    <sheetView workbookViewId="0">
      <selection activeCell="G16" sqref="G16"/>
    </sheetView>
  </sheetViews>
  <sheetFormatPr defaultRowHeight="13.5"/>
  <cols>
    <col min="4" max="4" width="10.5" bestFit="1" customWidth="1"/>
  </cols>
  <sheetData>
    <row r="2" spans="1:6">
      <c r="A2" t="s">
        <v>239</v>
      </c>
      <c r="B2" t="s">
        <v>240</v>
      </c>
      <c r="D2" t="s">
        <v>241</v>
      </c>
      <c r="F2" t="s">
        <v>242</v>
      </c>
    </row>
    <row r="3" spans="1:6">
      <c r="B3" t="s">
        <v>244</v>
      </c>
      <c r="D3" t="s">
        <v>243</v>
      </c>
    </row>
    <row r="4" spans="1:6">
      <c r="D4" s="124" t="s">
        <v>247</v>
      </c>
    </row>
    <row r="5" spans="1:6" ht="15.75">
      <c r="D5" s="123"/>
    </row>
    <row r="6" spans="1:6">
      <c r="A6" t="s">
        <v>245</v>
      </c>
    </row>
    <row r="8" spans="1:6">
      <c r="A8" s="3" t="s">
        <v>135</v>
      </c>
      <c r="B8" s="3"/>
      <c r="C8" s="3"/>
      <c r="E8" s="3" t="s">
        <v>136</v>
      </c>
    </row>
    <row r="9" spans="1:6">
      <c r="B9" s="3"/>
      <c r="C9" s="3"/>
    </row>
    <row r="26" spans="4:4">
      <c r="D26" s="86"/>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2:Q448"/>
  <sheetViews>
    <sheetView topLeftCell="A46" zoomScale="115" zoomScaleNormal="115" workbookViewId="0">
      <selection activeCell="E71" sqref="E71:G72"/>
    </sheetView>
  </sheetViews>
  <sheetFormatPr defaultRowHeight="13.5"/>
  <cols>
    <col min="1" max="1" width="11.625" style="3" customWidth="1"/>
    <col min="2" max="2" width="15" style="3" bestFit="1" customWidth="1"/>
    <col min="3" max="3" width="15.125" style="3" bestFit="1" customWidth="1"/>
    <col min="4" max="4" width="16.75" style="3" customWidth="1"/>
    <col min="5" max="5" width="14.25" style="3" bestFit="1" customWidth="1"/>
    <col min="6" max="6" width="12.75" style="3" bestFit="1" customWidth="1"/>
    <col min="7" max="7" width="14" style="3" bestFit="1" customWidth="1"/>
    <col min="8" max="8" width="12.75" style="3" bestFit="1" customWidth="1"/>
    <col min="9" max="9" width="20.5" style="3" bestFit="1" customWidth="1"/>
    <col min="10" max="10" width="11.625" style="3" bestFit="1" customWidth="1"/>
    <col min="11" max="11" width="13.75" style="3" bestFit="1" customWidth="1"/>
    <col min="12" max="12" width="11.5" style="3" bestFit="1" customWidth="1"/>
    <col min="13" max="17" width="9.5" style="3" bestFit="1" customWidth="1"/>
    <col min="18" max="16384" width="9" style="3"/>
  </cols>
  <sheetData>
    <row r="2" spans="1:16">
      <c r="A2" s="17" t="s">
        <v>2</v>
      </c>
      <c r="B2" s="5" t="s">
        <v>3</v>
      </c>
      <c r="C2" s="5" t="s">
        <v>4</v>
      </c>
      <c r="D2" s="5" t="s">
        <v>5</v>
      </c>
      <c r="E2" s="5" t="s">
        <v>6</v>
      </c>
      <c r="F2" s="2" t="s">
        <v>7</v>
      </c>
      <c r="G2" s="2" t="s">
        <v>1</v>
      </c>
    </row>
    <row r="3" spans="1:16">
      <c r="A3" s="6">
        <v>40460</v>
      </c>
      <c r="B3" s="6">
        <v>40396</v>
      </c>
      <c r="C3" s="5">
        <f>A3-B3</f>
        <v>64</v>
      </c>
      <c r="D3" s="5">
        <v>2.97</v>
      </c>
      <c r="E3" s="5">
        <v>365</v>
      </c>
      <c r="F3" s="2">
        <f>C3*D3/E3</f>
        <v>0.52076712328767127</v>
      </c>
      <c r="G3" s="2">
        <f>1-C3/E3</f>
        <v>0.8246575342465754</v>
      </c>
    </row>
    <row r="6" spans="1:16">
      <c r="A6" s="3" t="s">
        <v>8</v>
      </c>
      <c r="L6" s="4"/>
      <c r="M6" s="4"/>
      <c r="N6" s="4"/>
      <c r="O6" s="4"/>
      <c r="P6" s="4"/>
    </row>
    <row r="7" spans="1:16">
      <c r="A7" s="5" t="s">
        <v>9</v>
      </c>
      <c r="B7" s="6">
        <v>38310</v>
      </c>
      <c r="C7" s="6">
        <v>38675</v>
      </c>
      <c r="D7" s="6">
        <v>39040</v>
      </c>
      <c r="E7" s="6">
        <v>39405</v>
      </c>
      <c r="F7" s="6">
        <v>39771</v>
      </c>
      <c r="G7" s="6">
        <v>40136</v>
      </c>
      <c r="H7" s="6">
        <v>40501</v>
      </c>
    </row>
    <row r="8" spans="1:16">
      <c r="A8" s="5" t="s">
        <v>10</v>
      </c>
      <c r="B8" s="5">
        <v>-92</v>
      </c>
      <c r="C8" s="5">
        <v>3.5</v>
      </c>
      <c r="D8" s="5">
        <v>3.5</v>
      </c>
      <c r="E8" s="5">
        <v>3.5</v>
      </c>
      <c r="F8" s="5">
        <v>3.5</v>
      </c>
      <c r="G8" s="5">
        <v>3.5</v>
      </c>
      <c r="H8" s="5">
        <v>103.5</v>
      </c>
      <c r="L8" s="7"/>
    </row>
    <row r="9" spans="1:16">
      <c r="A9" s="2" t="s">
        <v>11</v>
      </c>
      <c r="B9" s="8">
        <f>IRR(B8:H8)</f>
        <v>5.080183708340269E-2</v>
      </c>
      <c r="L9" s="7"/>
    </row>
    <row r="10" spans="1:16">
      <c r="B10" s="19"/>
      <c r="L10" s="7"/>
    </row>
    <row r="11" spans="1:16">
      <c r="L11" s="7"/>
    </row>
    <row r="12" spans="1:16">
      <c r="A12" s="9"/>
    </row>
    <row r="13" spans="1:16">
      <c r="A13" s="10" t="s">
        <v>12</v>
      </c>
      <c r="B13" s="11"/>
    </row>
    <row r="14" spans="1:16">
      <c r="A14" s="10" t="s">
        <v>13</v>
      </c>
      <c r="B14" s="12">
        <v>40761</v>
      </c>
      <c r="C14" s="12">
        <v>41127</v>
      </c>
      <c r="D14" s="12">
        <v>41492</v>
      </c>
      <c r="E14" s="12">
        <v>41857</v>
      </c>
      <c r="F14" s="6"/>
      <c r="G14" s="6"/>
    </row>
    <row r="15" spans="1:16">
      <c r="A15" s="13" t="s">
        <v>10</v>
      </c>
      <c r="B15" s="14">
        <v>2.97</v>
      </c>
      <c r="C15" s="14">
        <v>2.97</v>
      </c>
      <c r="D15" s="14">
        <v>2.97</v>
      </c>
      <c r="E15" s="14">
        <v>102.97</v>
      </c>
      <c r="F15" s="5"/>
      <c r="G15" s="5"/>
    </row>
    <row r="16" spans="1:16">
      <c r="A16" s="16" t="s">
        <v>17</v>
      </c>
      <c r="B16" s="16">
        <f>G3</f>
        <v>0.8246575342465754</v>
      </c>
      <c r="C16" s="16">
        <f>1+B16</f>
        <v>1.8246575342465754</v>
      </c>
      <c r="D16" s="16">
        <f>1+C16</f>
        <v>2.8246575342465752</v>
      </c>
      <c r="E16" s="16">
        <f>1+D16</f>
        <v>3.8246575342465752</v>
      </c>
      <c r="F16" s="15"/>
      <c r="G16" s="15"/>
    </row>
    <row r="17" spans="1:8">
      <c r="A17" s="16" t="s">
        <v>15</v>
      </c>
      <c r="B17" s="16">
        <f>B15/(1+$B$19)^B16</f>
        <v>2.9148246498284225</v>
      </c>
      <c r="C17" s="16">
        <f>C15/(1+$B$19)^C16</f>
        <v>2.8492909577990444</v>
      </c>
      <c r="D17" s="16">
        <f>D15/(1+$B$19)^D16</f>
        <v>2.7852306527849904</v>
      </c>
      <c r="E17" s="16">
        <f>E15/(1+$B$19)^E16</f>
        <v>94.393001476896842</v>
      </c>
      <c r="F17" s="15"/>
      <c r="G17" s="15"/>
    </row>
    <row r="18" spans="1:8">
      <c r="A18" s="2" t="s">
        <v>16</v>
      </c>
      <c r="B18" s="16">
        <f>SUM(B17:G17)</f>
        <v>102.9423477373093</v>
      </c>
      <c r="C18" s="13"/>
      <c r="D18" s="13"/>
      <c r="E18" s="13"/>
      <c r="F18" s="14"/>
      <c r="G18" s="14"/>
    </row>
    <row r="19" spans="1:8">
      <c r="A19" s="1" t="s">
        <v>0</v>
      </c>
      <c r="B19" s="18">
        <v>2.3E-2</v>
      </c>
      <c r="C19" s="13"/>
      <c r="D19" s="13"/>
      <c r="E19" s="13"/>
      <c r="F19" s="14"/>
      <c r="G19" s="14"/>
    </row>
    <row r="21" spans="1:8">
      <c r="A21" s="3" t="s">
        <v>8</v>
      </c>
    </row>
    <row r="22" spans="1:8">
      <c r="A22" s="3" t="s">
        <v>18</v>
      </c>
      <c r="B22" s="3" t="s">
        <v>19</v>
      </c>
    </row>
    <row r="24" spans="1:8">
      <c r="A24" s="30" t="s">
        <v>213</v>
      </c>
    </row>
    <row r="25" spans="1:8">
      <c r="A25" s="30" t="s">
        <v>214</v>
      </c>
    </row>
    <row r="26" spans="1:8">
      <c r="A26" s="30"/>
    </row>
    <row r="27" spans="1:8">
      <c r="A27" s="24" t="s">
        <v>28</v>
      </c>
      <c r="B27" s="3" t="s">
        <v>72</v>
      </c>
    </row>
    <row r="28" spans="1:8">
      <c r="A28" s="17" t="s">
        <v>2</v>
      </c>
      <c r="B28" s="5" t="s">
        <v>3</v>
      </c>
      <c r="C28" s="5" t="s">
        <v>4</v>
      </c>
      <c r="D28" s="5" t="s">
        <v>5</v>
      </c>
      <c r="E28" s="5" t="s">
        <v>6</v>
      </c>
      <c r="F28" s="2" t="s">
        <v>7</v>
      </c>
      <c r="G28" s="2" t="s">
        <v>1</v>
      </c>
    </row>
    <row r="29" spans="1:8">
      <c r="A29" s="6">
        <v>40464</v>
      </c>
      <c r="B29" s="6">
        <v>40295</v>
      </c>
      <c r="C29" s="5">
        <f>6*30+(13-27)</f>
        <v>166</v>
      </c>
      <c r="D29" s="5">
        <v>6.05</v>
      </c>
      <c r="E29" s="5">
        <v>360</v>
      </c>
      <c r="F29" s="2">
        <f>C29*D29/E29</f>
        <v>2.7897222222222222</v>
      </c>
      <c r="G29" s="2">
        <f>1-C29/E29</f>
        <v>0.53888888888888886</v>
      </c>
      <c r="H29" s="4">
        <v>40478</v>
      </c>
    </row>
    <row r="30" spans="1:8">
      <c r="H30" s="3">
        <v>14</v>
      </c>
    </row>
    <row r="31" spans="1:8">
      <c r="A31" s="10" t="s">
        <v>12</v>
      </c>
      <c r="G31" s="3">
        <f>H31</f>
        <v>3.888888888888889E-2</v>
      </c>
      <c r="H31" s="3">
        <f>H30/360</f>
        <v>3.888888888888889E-2</v>
      </c>
    </row>
    <row r="32" spans="1:8">
      <c r="A32" s="3" t="s">
        <v>18</v>
      </c>
      <c r="B32" s="3" t="s">
        <v>19</v>
      </c>
      <c r="C32" s="16" t="s">
        <v>14</v>
      </c>
      <c r="D32" s="16" t="s">
        <v>15</v>
      </c>
      <c r="E32" s="16" t="s">
        <v>16</v>
      </c>
      <c r="F32" s="1" t="s">
        <v>11</v>
      </c>
    </row>
    <row r="33" spans="1:7">
      <c r="A33" s="4">
        <v>39199</v>
      </c>
      <c r="B33" s="3">
        <v>3.0249999999999999</v>
      </c>
      <c r="E33" s="3">
        <f>SUM(D40:D52)</f>
        <v>139.54999944701902</v>
      </c>
      <c r="F33" s="20">
        <v>7.6299346222542209E-10</v>
      </c>
    </row>
    <row r="34" spans="1:7">
      <c r="A34" s="4">
        <v>39382</v>
      </c>
      <c r="B34" s="3">
        <v>3.0249999999999999</v>
      </c>
      <c r="G34" s="3">
        <v>2.7896999999999998</v>
      </c>
    </row>
    <row r="35" spans="1:7">
      <c r="A35" s="4">
        <v>39565</v>
      </c>
      <c r="B35" s="3">
        <v>3.0249999999999999</v>
      </c>
      <c r="G35" s="3">
        <f>E33-G34</f>
        <v>136.76029944701901</v>
      </c>
    </row>
    <row r="36" spans="1:7">
      <c r="A36" s="4">
        <v>39748</v>
      </c>
      <c r="B36" s="3">
        <v>3.0249999999999999</v>
      </c>
    </row>
    <row r="37" spans="1:7">
      <c r="A37" s="4">
        <v>39930</v>
      </c>
      <c r="B37" s="3">
        <v>3.0249999999999999</v>
      </c>
    </row>
    <row r="38" spans="1:7">
      <c r="A38" s="4">
        <v>40113</v>
      </c>
      <c r="B38" s="3">
        <v>3.0249999999999999</v>
      </c>
    </row>
    <row r="39" spans="1:7">
      <c r="A39" s="4">
        <v>40295</v>
      </c>
      <c r="B39" s="3">
        <v>3.0249999999999999</v>
      </c>
      <c r="G39" s="3">
        <v>105.90540919579</v>
      </c>
    </row>
    <row r="40" spans="1:7">
      <c r="A40" s="4">
        <v>40478</v>
      </c>
      <c r="B40" s="3">
        <v>3.0249999999999999</v>
      </c>
      <c r="C40" s="3">
        <f>G31</f>
        <v>3.888888888888889E-2</v>
      </c>
      <c r="D40" s="3">
        <f>B40/(1+F33)^C40</f>
        <v>3.0249999999102419</v>
      </c>
    </row>
    <row r="41" spans="1:7">
      <c r="A41" s="4">
        <v>40660</v>
      </c>
      <c r="B41" s="3">
        <v>3.0249999999999999</v>
      </c>
      <c r="C41" s="3">
        <f>0.5+C40</f>
        <v>0.53888888888888886</v>
      </c>
      <c r="D41" s="3">
        <f>B41/(1+F33)^C41</f>
        <v>3.0249999987562148</v>
      </c>
    </row>
    <row r="42" spans="1:7">
      <c r="A42" s="4">
        <v>40843</v>
      </c>
      <c r="B42" s="3">
        <v>3.0249999999999999</v>
      </c>
      <c r="C42" s="3">
        <f t="shared" ref="C42:C47" si="0">0.5+C41</f>
        <v>1.0388888888888888</v>
      </c>
      <c r="D42" s="3">
        <f>B42/(1+F33)^C42</f>
        <v>3.0249999976021869</v>
      </c>
    </row>
    <row r="43" spans="1:7">
      <c r="A43" s="4">
        <v>41026</v>
      </c>
      <c r="B43" s="3">
        <v>3.0249999999999999</v>
      </c>
      <c r="C43" s="3">
        <f t="shared" si="0"/>
        <v>1.5388888888888888</v>
      </c>
      <c r="D43" s="3">
        <f>B43/(1+F33)^C43</f>
        <v>3.0249999964481598</v>
      </c>
    </row>
    <row r="44" spans="1:7">
      <c r="A44" s="4">
        <v>41209</v>
      </c>
      <c r="B44" s="3">
        <v>3.0249999999999999</v>
      </c>
      <c r="C44" s="3">
        <f t="shared" si="0"/>
        <v>2.0388888888888888</v>
      </c>
      <c r="D44" s="3">
        <f>B44/(1+F33)^C44</f>
        <v>3.0249999952941318</v>
      </c>
    </row>
    <row r="45" spans="1:7">
      <c r="A45" s="4">
        <v>41391</v>
      </c>
      <c r="B45" s="3">
        <v>3.0249999999999999</v>
      </c>
      <c r="C45" s="3">
        <f t="shared" si="0"/>
        <v>2.5388888888888888</v>
      </c>
      <c r="D45" s="3">
        <f>B45/(1+F33)^C45</f>
        <v>3.0249999941401042</v>
      </c>
    </row>
    <row r="46" spans="1:7">
      <c r="A46" s="4">
        <v>41574</v>
      </c>
      <c r="B46" s="3">
        <v>3.0249999999999999</v>
      </c>
      <c r="C46" s="3">
        <f t="shared" si="0"/>
        <v>3.0388888888888888</v>
      </c>
      <c r="D46" s="3">
        <f>B46/(1+F33)^C46</f>
        <v>3.0249999929860767</v>
      </c>
    </row>
    <row r="47" spans="1:7">
      <c r="A47" s="4">
        <v>41756</v>
      </c>
      <c r="B47" s="3">
        <v>3.0249999999999999</v>
      </c>
      <c r="C47" s="3">
        <f t="shared" si="0"/>
        <v>3.5388888888888888</v>
      </c>
      <c r="D47" s="3">
        <f>B47/(1+F33)^C47</f>
        <v>3.0249999918320492</v>
      </c>
    </row>
    <row r="48" spans="1:7">
      <c r="A48" s="4">
        <v>41939</v>
      </c>
      <c r="B48" s="3">
        <v>3.0249999999999999</v>
      </c>
      <c r="C48" s="3">
        <f t="shared" ref="C48:C52" si="1">0.5+C47</f>
        <v>4.0388888888888888</v>
      </c>
      <c r="D48" s="3">
        <f>B48/(1+F33)^C48</f>
        <v>3.0249999906780212</v>
      </c>
    </row>
    <row r="49" spans="1:9">
      <c r="A49" s="4">
        <v>42121</v>
      </c>
      <c r="B49" s="3">
        <v>3.0249999999999999</v>
      </c>
      <c r="C49" s="3">
        <f t="shared" si="1"/>
        <v>4.5388888888888888</v>
      </c>
      <c r="D49" s="3">
        <f>B49/(1+F33)^C49</f>
        <v>3.0249999895239941</v>
      </c>
    </row>
    <row r="50" spans="1:9">
      <c r="A50" s="4">
        <v>42304</v>
      </c>
      <c r="B50" s="3">
        <v>3.0249999999999999</v>
      </c>
      <c r="C50" s="3">
        <f t="shared" si="1"/>
        <v>5.0388888888888888</v>
      </c>
      <c r="D50" s="3">
        <f t="shared" ref="D50:D51" si="2">B50/(1+F$33)^C50</f>
        <v>3.0249999883699661</v>
      </c>
    </row>
    <row r="51" spans="1:9">
      <c r="A51" s="4">
        <v>42487</v>
      </c>
      <c r="B51" s="3">
        <v>3.0249999999999999</v>
      </c>
      <c r="C51" s="3">
        <f>0.5+C50</f>
        <v>5.5388888888888888</v>
      </c>
      <c r="D51" s="3">
        <f t="shared" si="2"/>
        <v>3.024999987215939</v>
      </c>
    </row>
    <row r="52" spans="1:9">
      <c r="A52" s="4">
        <v>42670</v>
      </c>
      <c r="B52" s="3">
        <v>103.25</v>
      </c>
      <c r="C52" s="3">
        <f t="shared" si="1"/>
        <v>6.0388888888888888</v>
      </c>
      <c r="D52" s="3">
        <f>B52/(1+F$33)^C52</f>
        <v>103.24999952426192</v>
      </c>
      <c r="E52" s="3">
        <f>SUM(B40:B52)</f>
        <v>139.54999999999998</v>
      </c>
    </row>
    <row r="53" spans="1:9">
      <c r="A53" s="95" t="s">
        <v>194</v>
      </c>
      <c r="B53" s="4">
        <v>40463</v>
      </c>
      <c r="C53" s="3" t="s">
        <v>73</v>
      </c>
    </row>
    <row r="54" spans="1:9">
      <c r="A54" s="17" t="s">
        <v>2</v>
      </c>
      <c r="B54" s="5" t="s">
        <v>3</v>
      </c>
      <c r="C54" s="5" t="s">
        <v>4</v>
      </c>
      <c r="D54" s="5" t="s">
        <v>5</v>
      </c>
      <c r="E54" s="5" t="s">
        <v>6</v>
      </c>
      <c r="F54" s="2" t="s">
        <v>7</v>
      </c>
      <c r="G54" s="2" t="s">
        <v>1</v>
      </c>
      <c r="H54" s="3" t="s">
        <v>29</v>
      </c>
      <c r="I54" s="3" t="s">
        <v>30</v>
      </c>
    </row>
    <row r="55" spans="1:9">
      <c r="A55" s="6">
        <v>39831</v>
      </c>
      <c r="B55" s="6">
        <v>39764</v>
      </c>
      <c r="C55" s="5">
        <f>A55-B55</f>
        <v>67</v>
      </c>
      <c r="D55" s="5">
        <v>3.9</v>
      </c>
      <c r="E55" s="5">
        <v>365</v>
      </c>
      <c r="F55" s="2">
        <f>C55*D55/E55</f>
        <v>0.71589041095890416</v>
      </c>
      <c r="G55" s="2">
        <f>1-C55/E55</f>
        <v>0.81643835616438354</v>
      </c>
      <c r="H55" s="3">
        <v>98.1233</v>
      </c>
      <c r="I55" s="26">
        <f>H55+F55</f>
        <v>98.839190410958906</v>
      </c>
    </row>
    <row r="56" spans="1:9">
      <c r="A56" s="3" t="s">
        <v>18</v>
      </c>
      <c r="B56" s="3" t="s">
        <v>19</v>
      </c>
      <c r="C56" s="16" t="s">
        <v>14</v>
      </c>
      <c r="D56" s="16" t="s">
        <v>15</v>
      </c>
      <c r="E56" s="16" t="s">
        <v>16</v>
      </c>
      <c r="F56" s="1" t="s">
        <v>11</v>
      </c>
    </row>
    <row r="57" spans="1:9">
      <c r="A57" s="4">
        <v>37572</v>
      </c>
      <c r="B57" s="3">
        <v>3.9</v>
      </c>
      <c r="E57" s="3">
        <f>SUM(D64:D66)</f>
        <v>106.76293902134591</v>
      </c>
      <c r="F57" s="82">
        <v>1.6819049999999999E-2</v>
      </c>
      <c r="H57" s="3">
        <f>E57-F55</f>
        <v>106.04704861038701</v>
      </c>
    </row>
    <row r="58" spans="1:9">
      <c r="A58" s="4">
        <v>37937</v>
      </c>
      <c r="B58" s="3">
        <v>3.9</v>
      </c>
      <c r="E58" s="3">
        <v>100</v>
      </c>
    </row>
    <row r="59" spans="1:9">
      <c r="A59" s="4">
        <v>38303</v>
      </c>
      <c r="B59" s="3">
        <v>3.9</v>
      </c>
      <c r="E59" s="3">
        <f>E58+F55</f>
        <v>100.71589041095891</v>
      </c>
    </row>
    <row r="60" spans="1:9">
      <c r="A60" s="4">
        <v>38668</v>
      </c>
      <c r="B60" s="3">
        <v>3.9</v>
      </c>
    </row>
    <row r="61" spans="1:9">
      <c r="A61" s="4">
        <v>39033</v>
      </c>
      <c r="B61" s="3">
        <v>3.9</v>
      </c>
      <c r="E61" s="3">
        <f>E57-F55</f>
        <v>106.04704861038701</v>
      </c>
    </row>
    <row r="62" spans="1:9">
      <c r="A62" s="4">
        <v>39398</v>
      </c>
      <c r="B62" s="3">
        <v>3.9</v>
      </c>
    </row>
    <row r="63" spans="1:9">
      <c r="A63" s="4">
        <v>39764</v>
      </c>
      <c r="B63" s="3">
        <v>3.9</v>
      </c>
    </row>
    <row r="64" spans="1:9">
      <c r="A64" s="4">
        <v>40129</v>
      </c>
      <c r="B64" s="3">
        <v>3.9</v>
      </c>
      <c r="C64" s="3">
        <f>G55</f>
        <v>0.81643835616438354</v>
      </c>
      <c r="D64" s="3">
        <f>B64/(1+F57)^C64</f>
        <v>3.8472516418772886</v>
      </c>
      <c r="E64" s="3" t="s">
        <v>130</v>
      </c>
      <c r="F64" s="3">
        <f>F65-0.01</f>
        <v>1.681905</v>
      </c>
      <c r="G64" s="83">
        <v>106.762939021346</v>
      </c>
    </row>
    <row r="65" spans="1:7">
      <c r="A65" s="4">
        <v>40494</v>
      </c>
      <c r="B65" s="3">
        <v>3.9</v>
      </c>
      <c r="C65" s="3">
        <f>G55+1</f>
        <v>1.8164383561643835</v>
      </c>
      <c r="D65" s="3">
        <f>B65/(1+F57)^C65</f>
        <v>3.7836148347902103</v>
      </c>
      <c r="E65" s="3" t="s">
        <v>129</v>
      </c>
      <c r="F65" s="3">
        <v>1.691905</v>
      </c>
    </row>
    <row r="66" spans="1:7">
      <c r="A66" s="4">
        <v>40859</v>
      </c>
      <c r="B66" s="3">
        <v>103.9</v>
      </c>
      <c r="C66" s="3">
        <f>1+C65</f>
        <v>2.8164383561643835</v>
      </c>
      <c r="D66" s="3">
        <f>B66/(1+F57)^C66</f>
        <v>99.132072544678408</v>
      </c>
      <c r="E66" s="3" t="s">
        <v>131</v>
      </c>
      <c r="F66" s="3">
        <f>F65+0.01</f>
        <v>1.701905</v>
      </c>
      <c r="G66" s="83">
        <v>106.706074253705</v>
      </c>
    </row>
    <row r="68" spans="1:7">
      <c r="E68" s="3" t="s">
        <v>134</v>
      </c>
      <c r="F68" s="40" t="s">
        <v>132</v>
      </c>
      <c r="G68" s="84">
        <f>(G64-G66)/2</f>
        <v>2.8432383820501173E-2</v>
      </c>
    </row>
    <row r="69" spans="1:7">
      <c r="F69" s="3" t="s">
        <v>133</v>
      </c>
      <c r="G69" s="84">
        <v>2.843238E-2</v>
      </c>
    </row>
    <row r="70" spans="1:7">
      <c r="A70" s="21" t="s">
        <v>20</v>
      </c>
    </row>
    <row r="71" spans="1:7">
      <c r="E71" s="3" t="s">
        <v>135</v>
      </c>
    </row>
    <row r="72" spans="1:7">
      <c r="A72" s="3" t="s">
        <v>21</v>
      </c>
      <c r="B72" s="4">
        <v>40462</v>
      </c>
      <c r="E72" s="3" t="s">
        <v>136</v>
      </c>
    </row>
    <row r="73" spans="1:7">
      <c r="A73" s="3" t="s">
        <v>22</v>
      </c>
      <c r="B73" s="4">
        <v>40859</v>
      </c>
    </row>
    <row r="74" spans="1:7">
      <c r="A74" s="3" t="s">
        <v>23</v>
      </c>
      <c r="B74" s="22">
        <v>6.0499999999999998E-2</v>
      </c>
    </row>
    <row r="75" spans="1:7">
      <c r="A75" s="3" t="s">
        <v>24</v>
      </c>
      <c r="B75" s="19">
        <f>F33</f>
        <v>7.6299346222542209E-10</v>
      </c>
    </row>
    <row r="76" spans="1:7">
      <c r="A76" s="3" t="s">
        <v>25</v>
      </c>
      <c r="B76" s="3">
        <v>2</v>
      </c>
    </row>
    <row r="77" spans="1:7">
      <c r="A77" s="3" t="s">
        <v>26</v>
      </c>
      <c r="B77" s="3">
        <v>0</v>
      </c>
    </row>
    <row r="78" spans="1:7">
      <c r="A78" s="1" t="s">
        <v>27</v>
      </c>
      <c r="B78" s="3">
        <f>DURATION(B72,B73,B74,B75,B76,B77)</f>
        <v>1.0445112944460544</v>
      </c>
    </row>
    <row r="79" spans="1:7">
      <c r="B79" s="3">
        <f>MDURATION(B72,B73,B74,B75,B76,B77)</f>
        <v>1.0445112940475767</v>
      </c>
    </row>
    <row r="82" spans="1:14">
      <c r="A82" s="25">
        <v>2005050501</v>
      </c>
      <c r="B82" s="4">
        <v>40464</v>
      </c>
      <c r="C82" s="3" t="s">
        <v>71</v>
      </c>
      <c r="H82" s="3" t="s">
        <v>184</v>
      </c>
    </row>
    <row r="83" spans="1:14">
      <c r="A83" s="17" t="s">
        <v>2</v>
      </c>
      <c r="B83" s="5" t="s">
        <v>3</v>
      </c>
      <c r="C83" s="5" t="s">
        <v>4</v>
      </c>
      <c r="D83" s="5" t="s">
        <v>5</v>
      </c>
      <c r="E83" s="5" t="s">
        <v>6</v>
      </c>
      <c r="F83" s="2" t="s">
        <v>7</v>
      </c>
      <c r="G83" s="2" t="s">
        <v>1</v>
      </c>
      <c r="H83" s="17" t="s">
        <v>2</v>
      </c>
      <c r="I83" s="5" t="s">
        <v>3</v>
      </c>
      <c r="J83" s="5" t="s">
        <v>4</v>
      </c>
      <c r="K83" s="5" t="s">
        <v>5</v>
      </c>
      <c r="L83" s="5" t="s">
        <v>6</v>
      </c>
      <c r="M83" s="2" t="s">
        <v>7</v>
      </c>
      <c r="N83" s="2" t="s">
        <v>1</v>
      </c>
    </row>
    <row r="84" spans="1:14">
      <c r="A84" s="6">
        <f>B82</f>
        <v>40464</v>
      </c>
      <c r="B84" s="6">
        <v>38640</v>
      </c>
      <c r="C84" s="5">
        <f>A84-B84</f>
        <v>1824</v>
      </c>
      <c r="D84" s="5">
        <v>3.6</v>
      </c>
      <c r="E84" s="5">
        <v>360</v>
      </c>
      <c r="F84" s="27">
        <f>C84*D84/E84</f>
        <v>18.240000000000002</v>
      </c>
      <c r="G84" s="2">
        <f>2/E84</f>
        <v>5.5555555555555558E-3</v>
      </c>
      <c r="H84" s="6">
        <v>40500</v>
      </c>
      <c r="I84" s="6">
        <v>40500</v>
      </c>
      <c r="J84" s="5">
        <f>H84-I84</f>
        <v>0</v>
      </c>
      <c r="K84" s="5">
        <v>3.6</v>
      </c>
      <c r="L84" s="5">
        <v>365</v>
      </c>
      <c r="M84" s="27">
        <f>J84*K84/L84</f>
        <v>0</v>
      </c>
      <c r="N84" s="2">
        <f>0/L84</f>
        <v>0</v>
      </c>
    </row>
    <row r="85" spans="1:14">
      <c r="B85" s="4">
        <v>40466</v>
      </c>
      <c r="C85" s="3">
        <f>B85-B84</f>
        <v>1826</v>
      </c>
      <c r="H85" s="3" t="s">
        <v>32</v>
      </c>
      <c r="I85" s="3" t="s">
        <v>19</v>
      </c>
      <c r="J85" s="16" t="s">
        <v>14</v>
      </c>
      <c r="K85" s="16" t="s">
        <v>15</v>
      </c>
    </row>
    <row r="86" spans="1:14">
      <c r="D86" s="1" t="s">
        <v>31</v>
      </c>
      <c r="E86" s="3" t="s">
        <v>30</v>
      </c>
      <c r="H86" s="4"/>
      <c r="M86" s="3">
        <f>SUM(K87:K95)</f>
        <v>99.999251307854834</v>
      </c>
      <c r="N86" s="22">
        <v>1.1001922320212056E-2</v>
      </c>
    </row>
    <row r="87" spans="1:14">
      <c r="D87" s="23">
        <v>5.6991469375531373E-2</v>
      </c>
      <c r="E87" s="3">
        <f>D89</f>
        <v>118.22359030600926</v>
      </c>
      <c r="H87" s="4">
        <v>40865</v>
      </c>
      <c r="I87" s="3">
        <v>2.0608</v>
      </c>
      <c r="J87" s="3">
        <f>1+J86</f>
        <v>1</v>
      </c>
      <c r="K87" s="3">
        <f>I87/(1+N86)^J87</f>
        <v>2.0383739679451254</v>
      </c>
    </row>
    <row r="88" spans="1:14">
      <c r="A88" s="3" t="s">
        <v>32</v>
      </c>
      <c r="B88" s="3" t="s">
        <v>19</v>
      </c>
      <c r="C88" s="16" t="s">
        <v>14</v>
      </c>
      <c r="D88" s="16" t="s">
        <v>15</v>
      </c>
      <c r="H88" s="4">
        <v>41231</v>
      </c>
      <c r="I88" s="3">
        <v>2.0664460299999998</v>
      </c>
      <c r="J88" s="3">
        <v>2</v>
      </c>
      <c r="K88" s="3">
        <f>I88/(1+N86)^J88</f>
        <v>2.0217157965855104</v>
      </c>
    </row>
    <row r="89" spans="1:14">
      <c r="A89" s="4">
        <v>40466</v>
      </c>
      <c r="B89" s="3">
        <v>118.26</v>
      </c>
      <c r="C89" s="3">
        <f>G84</f>
        <v>5.5555555555555558E-3</v>
      </c>
      <c r="D89" s="3">
        <f>B89/(1+D87)^C89</f>
        <v>118.22359030600926</v>
      </c>
      <c r="H89" s="4">
        <v>41596</v>
      </c>
      <c r="I89" s="3">
        <v>2.0608</v>
      </c>
      <c r="J89" s="3">
        <v>3</v>
      </c>
      <c r="K89" s="3">
        <f>I89/(1+N86)^J89</f>
        <v>1.9942513816067808</v>
      </c>
    </row>
    <row r="90" spans="1:14">
      <c r="H90" s="4">
        <v>41961</v>
      </c>
      <c r="I90" s="3">
        <v>2.0608</v>
      </c>
      <c r="J90" s="3">
        <f t="shared" ref="J90" si="3">1+J89</f>
        <v>4</v>
      </c>
      <c r="K90" s="3">
        <f>I90/(1+N86)^J90</f>
        <v>1.9725495447427512</v>
      </c>
    </row>
    <row r="91" spans="1:14">
      <c r="A91" s="62" t="s">
        <v>70</v>
      </c>
      <c r="B91" s="63"/>
      <c r="C91" s="63"/>
      <c r="D91" s="63"/>
      <c r="E91" s="64"/>
      <c r="H91" s="4">
        <v>42326</v>
      </c>
      <c r="I91" s="3">
        <v>2.0608</v>
      </c>
      <c r="J91" s="3">
        <v>5</v>
      </c>
      <c r="K91" s="3">
        <f>I91/(1+N86)^J91</f>
        <v>1.9510838715477643</v>
      </c>
    </row>
    <row r="92" spans="1:14">
      <c r="A92" s="65">
        <v>40464</v>
      </c>
      <c r="B92" s="66">
        <v>40544</v>
      </c>
      <c r="C92" s="9">
        <f>B92-A92</f>
        <v>80</v>
      </c>
      <c r="D92" s="9">
        <v>365</v>
      </c>
      <c r="E92" s="67">
        <f>C92/D92</f>
        <v>0.21917808219178081</v>
      </c>
      <c r="H92" s="4">
        <v>42692</v>
      </c>
      <c r="I92" s="3">
        <v>2.0664460299999998</v>
      </c>
      <c r="J92" s="3">
        <v>6</v>
      </c>
      <c r="K92" s="3">
        <f>I92/(1+N86)^J92</f>
        <v>1.9351390596632265</v>
      </c>
    </row>
    <row r="93" spans="1:14">
      <c r="A93" s="68"/>
      <c r="B93" s="9"/>
      <c r="C93" s="9"/>
      <c r="D93" s="1" t="s">
        <v>31</v>
      </c>
      <c r="E93" s="67" t="s">
        <v>30</v>
      </c>
      <c r="H93" s="4">
        <v>43057</v>
      </c>
      <c r="I93" s="3">
        <v>2.0608</v>
      </c>
      <c r="J93" s="3">
        <f t="shared" ref="J93" si="4">1+J92</f>
        <v>7</v>
      </c>
      <c r="K93" s="3">
        <f>I93/(1+N86)^J93</f>
        <v>1.9088507642134407</v>
      </c>
    </row>
    <row r="94" spans="1:14">
      <c r="A94" s="68"/>
      <c r="B94" s="9"/>
      <c r="C94" s="9"/>
      <c r="D94" s="69">
        <v>4.0883999999999997E-2</v>
      </c>
      <c r="E94" s="67">
        <f>D96</f>
        <v>99.125591094578155</v>
      </c>
      <c r="H94" s="4">
        <v>43422</v>
      </c>
      <c r="I94" s="3">
        <v>94.0608</v>
      </c>
      <c r="J94" s="3">
        <v>8</v>
      </c>
      <c r="K94" s="3">
        <f>I94/(1+N86)^J94</f>
        <v>86.177286921550234</v>
      </c>
    </row>
    <row r="95" spans="1:14">
      <c r="A95" s="68" t="s">
        <v>32</v>
      </c>
      <c r="B95" s="9" t="s">
        <v>19</v>
      </c>
      <c r="C95" s="16" t="s">
        <v>14</v>
      </c>
      <c r="D95" s="16" t="s">
        <v>15</v>
      </c>
      <c r="E95" s="67"/>
    </row>
    <row r="96" spans="1:14">
      <c r="A96" s="70">
        <v>40544</v>
      </c>
      <c r="B96" s="71">
        <v>100</v>
      </c>
      <c r="C96" s="71">
        <f>E92</f>
        <v>0.21917808219178081</v>
      </c>
      <c r="D96" s="71">
        <f>B96/(1+D94)^C96</f>
        <v>99.125591094578155</v>
      </c>
      <c r="E96" s="72"/>
    </row>
    <row r="98" spans="1:17">
      <c r="D98" s="1" t="s">
        <v>31</v>
      </c>
      <c r="E98" s="3" t="s">
        <v>30</v>
      </c>
    </row>
    <row r="99" spans="1:17">
      <c r="D99" s="23">
        <v>1.2278893343838581E-5</v>
      </c>
      <c r="E99" s="3">
        <f>D101</f>
        <v>99.999730875584959</v>
      </c>
    </row>
    <row r="100" spans="1:17">
      <c r="A100" s="3" t="s">
        <v>32</v>
      </c>
      <c r="B100" s="3" t="s">
        <v>19</v>
      </c>
      <c r="C100" s="16" t="s">
        <v>14</v>
      </c>
      <c r="D100" s="16" t="s">
        <v>15</v>
      </c>
    </row>
    <row r="101" spans="1:17">
      <c r="A101" s="4">
        <v>40483</v>
      </c>
      <c r="B101" s="3">
        <v>100</v>
      </c>
      <c r="C101" s="3">
        <f>B104</f>
        <v>0.21917808219178081</v>
      </c>
      <c r="D101" s="3">
        <f>B101/(1+D99)^C101</f>
        <v>99.999730875584959</v>
      </c>
    </row>
    <row r="103" spans="1:17">
      <c r="A103" s="4">
        <v>40544</v>
      </c>
      <c r="B103" s="3">
        <f>A103-A84</f>
        <v>80</v>
      </c>
    </row>
    <row r="104" spans="1:17">
      <c r="B104" s="3">
        <f>B103/365</f>
        <v>0.21917808219178081</v>
      </c>
    </row>
    <row r="105" spans="1:17">
      <c r="D105" s="3">
        <f>D108/4</f>
        <v>0.32124999999999998</v>
      </c>
    </row>
    <row r="106" spans="1:17">
      <c r="A106" s="25" t="s">
        <v>78</v>
      </c>
      <c r="B106" s="3" t="s">
        <v>74</v>
      </c>
      <c r="C106" s="3" t="s">
        <v>75</v>
      </c>
      <c r="E106" s="4">
        <v>40496</v>
      </c>
      <c r="F106" s="3">
        <f>E106-A108</f>
        <v>32</v>
      </c>
      <c r="K106" s="94" t="s">
        <v>189</v>
      </c>
      <c r="L106" s="3" t="s">
        <v>190</v>
      </c>
      <c r="M106" s="3">
        <f>K110-K108</f>
        <v>26</v>
      </c>
    </row>
    <row r="107" spans="1:17">
      <c r="A107" s="17" t="s">
        <v>2</v>
      </c>
      <c r="B107" s="5" t="s">
        <v>3</v>
      </c>
      <c r="C107" s="5" t="s">
        <v>4</v>
      </c>
      <c r="D107" s="5" t="s">
        <v>5</v>
      </c>
      <c r="E107" s="5" t="s">
        <v>6</v>
      </c>
      <c r="F107" s="2" t="s">
        <v>7</v>
      </c>
      <c r="G107" s="2" t="s">
        <v>1</v>
      </c>
      <c r="H107" s="3" t="s">
        <v>29</v>
      </c>
      <c r="I107" s="3" t="s">
        <v>30</v>
      </c>
      <c r="K107" s="17" t="s">
        <v>2</v>
      </c>
      <c r="L107" s="5" t="s">
        <v>3</v>
      </c>
      <c r="M107" s="5" t="s">
        <v>4</v>
      </c>
      <c r="N107" s="5" t="s">
        <v>5</v>
      </c>
      <c r="O107" s="5" t="s">
        <v>6</v>
      </c>
      <c r="P107" s="2" t="s">
        <v>7</v>
      </c>
      <c r="Q107" s="2" t="s">
        <v>1</v>
      </c>
    </row>
    <row r="108" spans="1:17">
      <c r="A108" s="6">
        <v>40464</v>
      </c>
      <c r="B108" s="6">
        <v>40404</v>
      </c>
      <c r="C108" s="5">
        <f>A108-B108</f>
        <v>60</v>
      </c>
      <c r="D108" s="5">
        <v>1.2849999999999999</v>
      </c>
      <c r="E108" s="5">
        <v>365</v>
      </c>
      <c r="F108" s="2">
        <f>C108*D108/E108</f>
        <v>0.21123287671232877</v>
      </c>
      <c r="G108" s="2">
        <f>32/365</f>
        <v>8.7671232876712329E-2</v>
      </c>
      <c r="H108" s="3">
        <v>98.1233</v>
      </c>
      <c r="I108" s="26">
        <f>H108+F108</f>
        <v>98.334532876712331</v>
      </c>
      <c r="K108" s="6">
        <v>40500</v>
      </c>
      <c r="L108" s="6">
        <v>40496</v>
      </c>
      <c r="M108" s="5">
        <f>K108-L108</f>
        <v>4</v>
      </c>
      <c r="N108" s="5">
        <v>2.34</v>
      </c>
      <c r="O108" s="5">
        <v>365</v>
      </c>
      <c r="P108" s="2">
        <f>M108*N108/O108/12</f>
        <v>2.1369863013698631E-3</v>
      </c>
      <c r="Q108" s="2">
        <f>26/O108</f>
        <v>7.1232876712328766E-2</v>
      </c>
    </row>
    <row r="109" spans="1:17">
      <c r="A109" s="3" t="s">
        <v>18</v>
      </c>
      <c r="B109" s="3" t="s">
        <v>19</v>
      </c>
      <c r="C109" s="16" t="s">
        <v>14</v>
      </c>
      <c r="D109" s="16" t="s">
        <v>15</v>
      </c>
      <c r="E109" s="16" t="s">
        <v>16</v>
      </c>
      <c r="F109" s="1" t="s">
        <v>11</v>
      </c>
      <c r="K109" s="4"/>
      <c r="P109" s="3">
        <f>SUM(N110:N448)</f>
        <v>99.999741099382291</v>
      </c>
      <c r="Q109" s="23">
        <v>1.9526079700306009E-3</v>
      </c>
    </row>
    <row r="110" spans="1:17">
      <c r="A110" s="4"/>
      <c r="E110" s="3">
        <f>SUM(D111:D117)</f>
        <v>100.84444120984426</v>
      </c>
      <c r="F110" s="23">
        <v>5.2387184726377503E-2</v>
      </c>
      <c r="H110" s="3">
        <f>E110-F108</f>
        <v>100.63320833313193</v>
      </c>
      <c r="K110" s="4">
        <v>40526</v>
      </c>
      <c r="L110" s="3">
        <v>1.6E-2</v>
      </c>
      <c r="M110" s="3">
        <f>Q108</f>
        <v>7.1232876712328766E-2</v>
      </c>
      <c r="N110" s="3">
        <f>L110/(1+Q$109)^M110</f>
        <v>1.5997776886214354E-2</v>
      </c>
    </row>
    <row r="111" spans="1:17">
      <c r="A111" s="4">
        <v>40404</v>
      </c>
      <c r="E111" s="3">
        <v>101.03279999999999</v>
      </c>
      <c r="H111" s="3">
        <v>100</v>
      </c>
      <c r="K111" s="4">
        <v>40557</v>
      </c>
      <c r="L111" s="3">
        <v>1.6561639999999999E-2</v>
      </c>
      <c r="M111" s="3">
        <f>(K111-K110)/365+M110</f>
        <v>0.15616438356164383</v>
      </c>
      <c r="N111" s="3">
        <f>L111/(1+Q$109)^M111</f>
        <v>1.6556595587628169E-2</v>
      </c>
    </row>
    <row r="112" spans="1:17">
      <c r="A112" s="4">
        <v>40496</v>
      </c>
      <c r="B112" s="3">
        <f>12.95561644/10</f>
        <v>1.295561644</v>
      </c>
      <c r="C112" s="3">
        <f>G108</f>
        <v>8.7671232876712329E-2</v>
      </c>
      <c r="D112" s="3">
        <f>B112/(1+F110)^C112</f>
        <v>1.2897749091171145</v>
      </c>
      <c r="H112" s="3">
        <f>H111+F108</f>
        <v>100.21123287671233</v>
      </c>
      <c r="K112" s="4">
        <v>40588</v>
      </c>
      <c r="L112" s="3">
        <v>1.6561639999999999E-2</v>
      </c>
      <c r="M112" s="3">
        <f>(K112-K111)/365+M111</f>
        <v>0.24109589041095891</v>
      </c>
      <c r="N112" s="3">
        <f t="shared" ref="N112:N175" si="5">L112/(1+Q$109)^M112</f>
        <v>1.6553852780349283E-2</v>
      </c>
    </row>
    <row r="113" spans="1:14">
      <c r="A113" s="4">
        <v>40588</v>
      </c>
      <c r="B113" s="3">
        <f>12.95561644/10</f>
        <v>1.295561644</v>
      </c>
      <c r="C113" s="3">
        <f>(A113-A112)/365+C112</f>
        <v>0.33972602739726032</v>
      </c>
      <c r="D113" s="3">
        <f>B113/(1+F110)^C113</f>
        <v>1.2732816203153874</v>
      </c>
      <c r="E113" s="3">
        <f>E110-E111</f>
        <v>-0.18835879015573198</v>
      </c>
      <c r="H113" s="3">
        <v>100.84493150684899</v>
      </c>
      <c r="K113" s="4">
        <v>40616</v>
      </c>
      <c r="L113" s="3">
        <v>1.4958900000000001E-2</v>
      </c>
      <c r="M113" s="3">
        <f>(K113-K112)/365+M112</f>
        <v>0.31780821917808222</v>
      </c>
      <c r="N113" s="3">
        <f t="shared" si="5"/>
        <v>1.4949629106992357E-2</v>
      </c>
    </row>
    <row r="114" spans="1:14">
      <c r="A114" s="4">
        <v>40677</v>
      </c>
      <c r="B114" s="3">
        <f>12.53315068/10</f>
        <v>1.253315068</v>
      </c>
      <c r="C114" s="3">
        <f>(A114-A113)/365+C113</f>
        <v>0.58356164383561648</v>
      </c>
      <c r="D114" s="3">
        <f>B114/(1+F110)^C114</f>
        <v>1.2165205792919542</v>
      </c>
      <c r="K114" s="4">
        <v>40647</v>
      </c>
      <c r="L114" s="3">
        <v>1.6561639999999999E-2</v>
      </c>
      <c r="M114" s="3">
        <f>(K114-K113)/365+M113</f>
        <v>0.40273972602739727</v>
      </c>
      <c r="N114" s="3">
        <f t="shared" si="5"/>
        <v>1.6548633854029403E-2</v>
      </c>
    </row>
    <row r="115" spans="1:14">
      <c r="A115" s="4">
        <v>40769</v>
      </c>
      <c r="B115" s="3">
        <f>12.95561644/10</f>
        <v>1.295561644</v>
      </c>
      <c r="C115" s="3">
        <f>(A115-A114)/365+C114</f>
        <v>0.83561643835616439</v>
      </c>
      <c r="D115" s="3">
        <f>B115/(1+F110)^C115</f>
        <v>1.2414459816346295</v>
      </c>
      <c r="K115" s="4">
        <v>40677</v>
      </c>
      <c r="L115" s="3">
        <v>1.6027400000000001E-2</v>
      </c>
      <c r="M115" s="3">
        <f t="shared" ref="M115:M176" si="6">(K115-K114)/365+M114</f>
        <v>0.48493150684931507</v>
      </c>
      <c r="N115" s="3">
        <f t="shared" si="5"/>
        <v>1.6012245923315165E-2</v>
      </c>
    </row>
    <row r="116" spans="1:14">
      <c r="A116" s="4">
        <v>40861</v>
      </c>
      <c r="B116" s="3">
        <f>12.95561644/10</f>
        <v>1.295561644</v>
      </c>
      <c r="C116" s="3">
        <f>(A116-A115)/365+C115</f>
        <v>1.0876712328767124</v>
      </c>
      <c r="D116" s="3">
        <f>B116/(1+F110)^C116</f>
        <v>1.2255707099402375</v>
      </c>
      <c r="K116" s="4">
        <v>40708</v>
      </c>
      <c r="L116" s="3">
        <v>1.6561639999999999E-2</v>
      </c>
      <c r="M116" s="3">
        <f t="shared" si="6"/>
        <v>0.56986301369863013</v>
      </c>
      <c r="N116" s="3">
        <f t="shared" si="5"/>
        <v>1.6543239744923648E-2</v>
      </c>
    </row>
    <row r="117" spans="1:14">
      <c r="A117" s="4">
        <v>40953</v>
      </c>
      <c r="B117" s="3">
        <f>12.95561644/10+100</f>
        <v>101.295561644</v>
      </c>
      <c r="C117" s="3">
        <f>(A117-A116)/365+C116</f>
        <v>1.3397260273972604</v>
      </c>
      <c r="D117" s="3">
        <f>B117/(1+F110)^C117</f>
        <v>94.59784740954494</v>
      </c>
      <c r="K117" s="4">
        <v>40738</v>
      </c>
      <c r="L117" s="3">
        <v>1.6027400000000001E-2</v>
      </c>
      <c r="M117" s="3">
        <f t="shared" si="6"/>
        <v>0.65205479452054793</v>
      </c>
      <c r="N117" s="3">
        <f t="shared" si="5"/>
        <v>1.6007026652510074E-2</v>
      </c>
    </row>
    <row r="118" spans="1:14">
      <c r="A118" s="4"/>
      <c r="G118" s="3">
        <v>12.53315068</v>
      </c>
      <c r="K118" s="4">
        <v>40769</v>
      </c>
      <c r="L118" s="3">
        <v>1.6561639999999999E-2</v>
      </c>
      <c r="M118" s="3">
        <f t="shared" si="6"/>
        <v>0.73698630136986298</v>
      </c>
      <c r="N118" s="3">
        <f t="shared" si="5"/>
        <v>1.6537847394054457E-2</v>
      </c>
    </row>
    <row r="119" spans="1:14">
      <c r="A119" s="4"/>
      <c r="E119" s="4">
        <v>40496</v>
      </c>
      <c r="K119" s="4">
        <v>40800</v>
      </c>
      <c r="L119" s="3">
        <v>1.6561639999999999E-2</v>
      </c>
      <c r="M119" s="3">
        <f t="shared" si="6"/>
        <v>0.82191780821917804</v>
      </c>
      <c r="N119" s="3">
        <f t="shared" si="5"/>
        <v>1.6535107692648491E-2</v>
      </c>
    </row>
    <row r="120" spans="1:14">
      <c r="B120" s="3">
        <f>A112-A111</f>
        <v>92</v>
      </c>
      <c r="E120" s="3">
        <f>E119-A108</f>
        <v>32</v>
      </c>
      <c r="K120" s="4">
        <v>40830</v>
      </c>
      <c r="L120" s="3">
        <v>1.6027400000000001E-2</v>
      </c>
      <c r="M120" s="3">
        <f t="shared" si="6"/>
        <v>0.90410958904109584</v>
      </c>
      <c r="N120" s="3">
        <f t="shared" si="5"/>
        <v>1.5999158183001374E-2</v>
      </c>
    </row>
    <row r="121" spans="1:14">
      <c r="B121" s="3">
        <f>(A112-A111)*D$108/365</f>
        <v>0.32389041095890408</v>
      </c>
      <c r="E121" s="3">
        <f>E120/365/4</f>
        <v>2.1917808219178082E-2</v>
      </c>
      <c r="K121" s="4">
        <v>40861</v>
      </c>
      <c r="L121" s="3">
        <v>1.6561639999999999E-2</v>
      </c>
      <c r="M121" s="3">
        <f t="shared" si="6"/>
        <v>0.98904109589041089</v>
      </c>
      <c r="N121" s="3">
        <f t="shared" si="5"/>
        <v>1.6529717992461983E-2</v>
      </c>
    </row>
    <row r="122" spans="1:14">
      <c r="B122" s="3">
        <f t="shared" ref="B122:B126" si="7">(A113-A112)*D$108/365</f>
        <v>0.32389041095890408</v>
      </c>
      <c r="K122" s="4">
        <v>40891</v>
      </c>
      <c r="L122" s="3">
        <v>1.6027400000000001E-2</v>
      </c>
      <c r="M122" s="3">
        <f t="shared" si="6"/>
        <v>1.0712328767123287</v>
      </c>
      <c r="N122" s="3">
        <f t="shared" si="5"/>
        <v>1.5993943178210009E-2</v>
      </c>
    </row>
    <row r="123" spans="1:14">
      <c r="B123" s="3">
        <f t="shared" si="7"/>
        <v>0.31332876712328767</v>
      </c>
      <c r="K123" s="4">
        <v>40922</v>
      </c>
      <c r="L123" s="3">
        <v>1.6561639999999999E-2</v>
      </c>
      <c r="M123" s="3">
        <f t="shared" si="6"/>
        <v>1.1561643835616437</v>
      </c>
      <c r="N123" s="3">
        <f t="shared" si="5"/>
        <v>1.6524330049074928E-2</v>
      </c>
    </row>
    <row r="124" spans="1:14">
      <c r="B124" s="3">
        <f t="shared" si="7"/>
        <v>0.32389041095890408</v>
      </c>
      <c r="E124" s="3">
        <f>G108*E108</f>
        <v>32</v>
      </c>
      <c r="K124" s="4">
        <v>40953</v>
      </c>
      <c r="L124" s="3">
        <v>1.6561639999999999E-2</v>
      </c>
      <c r="M124" s="3">
        <f t="shared" si="6"/>
        <v>1.2410958904109588</v>
      </c>
      <c r="N124" s="3">
        <f t="shared" si="5"/>
        <v>1.6521592586986336E-2</v>
      </c>
    </row>
    <row r="125" spans="1:14">
      <c r="B125" s="3">
        <f t="shared" si="7"/>
        <v>0.32389041095890408</v>
      </c>
      <c r="K125" s="4">
        <v>40982</v>
      </c>
      <c r="L125" s="3">
        <v>1.5493150000000001E-2</v>
      </c>
      <c r="M125" s="3">
        <f t="shared" si="6"/>
        <v>1.3205479452054794</v>
      </c>
      <c r="N125" s="3">
        <f t="shared" si="5"/>
        <v>1.5453291032251864E-2</v>
      </c>
    </row>
    <row r="126" spans="1:14">
      <c r="B126" s="3">
        <f t="shared" si="7"/>
        <v>0.32389041095890408</v>
      </c>
      <c r="D126" s="3">
        <f>D108/4</f>
        <v>0.32124999999999998</v>
      </c>
      <c r="E126" s="4"/>
      <c r="F126" s="4"/>
      <c r="K126" s="4">
        <v>41013</v>
      </c>
      <c r="L126" s="3">
        <v>1.6561639999999999E-2</v>
      </c>
      <c r="M126" s="3">
        <f t="shared" si="6"/>
        <v>1.4054794520547944</v>
      </c>
      <c r="N126" s="3">
        <f t="shared" si="5"/>
        <v>1.6516295561483971E-2</v>
      </c>
    </row>
    <row r="127" spans="1:14">
      <c r="E127" s="4"/>
      <c r="F127" s="4"/>
      <c r="K127" s="4">
        <v>41043</v>
      </c>
      <c r="L127" s="3">
        <v>1.6027400000000001E-2</v>
      </c>
      <c r="M127" s="3">
        <f t="shared" si="6"/>
        <v>1.4876712328767123</v>
      </c>
      <c r="N127" s="3">
        <f t="shared" si="5"/>
        <v>1.5980955806103977E-2</v>
      </c>
    </row>
    <row r="128" spans="1:14">
      <c r="A128" s="25" t="s">
        <v>138</v>
      </c>
      <c r="B128" s="3" t="s">
        <v>74</v>
      </c>
      <c r="C128" s="3" t="s">
        <v>137</v>
      </c>
      <c r="E128" s="4">
        <v>40496</v>
      </c>
      <c r="F128" s="3">
        <f>E128-A130</f>
        <v>18</v>
      </c>
      <c r="K128" s="4">
        <v>41074</v>
      </c>
      <c r="L128" s="3">
        <v>1.6561639999999999E-2</v>
      </c>
      <c r="M128" s="3">
        <f t="shared" si="6"/>
        <v>1.5726027397260274</v>
      </c>
      <c r="N128" s="3">
        <f t="shared" si="5"/>
        <v>1.651091199320472E-2</v>
      </c>
    </row>
    <row r="129" spans="1:14">
      <c r="A129" s="17" t="s">
        <v>2</v>
      </c>
      <c r="B129" s="5" t="s">
        <v>3</v>
      </c>
      <c r="C129" s="5" t="s">
        <v>4</v>
      </c>
      <c r="D129" s="5" t="s">
        <v>5</v>
      </c>
      <c r="E129" s="5" t="s">
        <v>6</v>
      </c>
      <c r="F129" s="2" t="s">
        <v>7</v>
      </c>
      <c r="G129" s="2" t="s">
        <v>1</v>
      </c>
      <c r="H129" s="3" t="s">
        <v>29</v>
      </c>
      <c r="I129" s="3" t="s">
        <v>30</v>
      </c>
      <c r="K129" s="4">
        <v>41104</v>
      </c>
      <c r="L129" s="3">
        <v>1.6027400000000001E-2</v>
      </c>
      <c r="M129" s="3">
        <f t="shared" si="6"/>
        <v>1.6547945205479451</v>
      </c>
      <c r="N129" s="3">
        <f t="shared" si="5"/>
        <v>1.5975746734467451E-2</v>
      </c>
    </row>
    <row r="130" spans="1:14">
      <c r="A130" s="6">
        <v>40478</v>
      </c>
      <c r="B130" s="6">
        <v>40447</v>
      </c>
      <c r="C130" s="5">
        <f>A130-B130</f>
        <v>31</v>
      </c>
      <c r="D130" s="5">
        <v>2.85</v>
      </c>
      <c r="E130" s="5">
        <v>360</v>
      </c>
      <c r="F130" s="2">
        <f>C130*D130/E130</f>
        <v>0.2454166666666667</v>
      </c>
      <c r="G130" s="2">
        <f>31/360</f>
        <v>8.611111111111111E-2</v>
      </c>
      <c r="H130" s="3">
        <v>98.1233</v>
      </c>
      <c r="I130" s="26">
        <f>H130+F130</f>
        <v>98.368716666666671</v>
      </c>
      <c r="K130" s="4">
        <v>41135</v>
      </c>
      <c r="L130" s="3">
        <v>1.6561639999999999E-2</v>
      </c>
      <c r="M130" s="3">
        <f t="shared" si="6"/>
        <v>1.7397260273972601</v>
      </c>
      <c r="N130" s="3">
        <f t="shared" si="5"/>
        <v>1.6505530179726197E-2</v>
      </c>
    </row>
    <row r="131" spans="1:14">
      <c r="A131" s="3" t="s">
        <v>18</v>
      </c>
      <c r="B131" s="3" t="s">
        <v>19</v>
      </c>
      <c r="C131" s="16" t="s">
        <v>14</v>
      </c>
      <c r="D131" s="16" t="s">
        <v>15</v>
      </c>
      <c r="E131" s="16" t="s">
        <v>16</v>
      </c>
      <c r="F131" s="1" t="s">
        <v>11</v>
      </c>
      <c r="K131" s="4">
        <v>41166</v>
      </c>
      <c r="L131" s="3">
        <v>1.6561639999999999E-2</v>
      </c>
      <c r="M131" s="3">
        <f t="shared" si="6"/>
        <v>1.8246575342465752</v>
      </c>
      <c r="N131" s="3">
        <f t="shared" si="5"/>
        <v>1.650279583207126E-2</v>
      </c>
    </row>
    <row r="132" spans="1:14">
      <c r="A132" s="4"/>
      <c r="E132" s="3">
        <f>SUM(D133:D135)</f>
        <v>99.264284613187968</v>
      </c>
      <c r="F132" s="23">
        <v>0.05</v>
      </c>
      <c r="H132" s="3">
        <f>E132-F130</f>
        <v>99.018867946521297</v>
      </c>
      <c r="K132" s="4">
        <v>41196</v>
      </c>
      <c r="L132" s="3">
        <v>1.6027400000000001E-2</v>
      </c>
      <c r="M132" s="3">
        <f t="shared" si="6"/>
        <v>1.9068493150684929</v>
      </c>
      <c r="N132" s="3">
        <f t="shared" si="5"/>
        <v>1.5967893641023689E-2</v>
      </c>
    </row>
    <row r="133" spans="1:14">
      <c r="A133" s="4">
        <v>40538</v>
      </c>
      <c r="B133" s="3">
        <v>0.70420000000000005</v>
      </c>
      <c r="C133" s="3">
        <f>G130</f>
        <v>8.611111111111111E-2</v>
      </c>
      <c r="D133" s="3">
        <f>B133/(1+F132)^C133</f>
        <v>0.70124759796769498</v>
      </c>
      <c r="F133" s="23"/>
      <c r="K133" s="4">
        <v>41227</v>
      </c>
      <c r="L133" s="3">
        <v>1.6561639999999999E-2</v>
      </c>
      <c r="M133" s="3">
        <f t="shared" si="6"/>
        <v>1.9917808219178079</v>
      </c>
      <c r="N133" s="3">
        <f t="shared" si="5"/>
        <v>1.649741666409562E-2</v>
      </c>
    </row>
    <row r="134" spans="1:14">
      <c r="A134" s="4">
        <v>40628</v>
      </c>
      <c r="B134" s="3">
        <v>0.71250000000000002</v>
      </c>
      <c r="C134" s="3">
        <f>(A134-A133)/360+C133</f>
        <v>0.33611111111111114</v>
      </c>
      <c r="D134" s="3">
        <f>B134/(1+F132)^C134</f>
        <v>0.70091105492466421</v>
      </c>
      <c r="E134" s="4"/>
      <c r="F134" s="4"/>
      <c r="K134" s="4">
        <v>41257</v>
      </c>
      <c r="L134" s="3">
        <v>1.6027400000000001E-2</v>
      </c>
      <c r="M134" s="3">
        <f t="shared" si="6"/>
        <v>2.0739726027397256</v>
      </c>
      <c r="N134" s="3">
        <f t="shared" si="5"/>
        <v>1.5962688827064517E-2</v>
      </c>
    </row>
    <row r="135" spans="1:14">
      <c r="A135" s="4">
        <v>40720</v>
      </c>
      <c r="B135" s="3">
        <f>0.728333333+100</f>
        <v>100.72833333299999</v>
      </c>
      <c r="C135" s="3">
        <f>(A135-A134)/360+C134</f>
        <v>0.59166666666666667</v>
      </c>
      <c r="D135" s="3">
        <f>B135/(1+F132)^C135</f>
        <v>97.862125960295614</v>
      </c>
      <c r="E135" s="4"/>
      <c r="F135" s="4"/>
      <c r="K135" s="4">
        <v>41288</v>
      </c>
      <c r="L135" s="3">
        <v>1.6561639999999999E-2</v>
      </c>
      <c r="M135" s="3">
        <f t="shared" si="6"/>
        <v>2.1589041095890407</v>
      </c>
      <c r="N135" s="3">
        <f t="shared" si="5"/>
        <v>1.6492039249486411E-2</v>
      </c>
    </row>
    <row r="136" spans="1:14">
      <c r="A136" s="4"/>
      <c r="E136" s="4"/>
      <c r="F136" s="4"/>
      <c r="K136" s="4">
        <v>41319</v>
      </c>
      <c r="L136" s="3">
        <v>1.6561639999999999E-2</v>
      </c>
      <c r="M136" s="3">
        <f t="shared" si="6"/>
        <v>2.2438356164383557</v>
      </c>
      <c r="N136" s="3">
        <f t="shared" si="5"/>
        <v>1.6489307136772918E-2</v>
      </c>
    </row>
    <row r="137" spans="1:14">
      <c r="B137" s="3">
        <v>7.2042000000000002</v>
      </c>
      <c r="E137" s="4"/>
      <c r="F137" s="3">
        <f>E132-F130</f>
        <v>99.018867946521297</v>
      </c>
      <c r="K137" s="4">
        <v>41347</v>
      </c>
      <c r="L137" s="3">
        <v>1.4958900000000001E-2</v>
      </c>
      <c r="M137" s="3">
        <f t="shared" si="6"/>
        <v>2.3205479452054791</v>
      </c>
      <c r="N137" s="3">
        <f t="shared" si="5"/>
        <v>1.489133854196545E-2</v>
      </c>
    </row>
    <row r="138" spans="1:14">
      <c r="E138" s="4"/>
      <c r="F138" s="4"/>
      <c r="K138" s="4">
        <v>41378</v>
      </c>
      <c r="L138" s="3">
        <v>1.6561639999999999E-2</v>
      </c>
      <c r="M138" s="3">
        <f t="shared" si="6"/>
        <v>2.4054794520547942</v>
      </c>
      <c r="N138" s="3">
        <f t="shared" si="5"/>
        <v>1.648410855973139E-2</v>
      </c>
    </row>
    <row r="139" spans="1:14">
      <c r="E139" s="4"/>
      <c r="F139" s="4"/>
      <c r="K139" s="4">
        <v>41408</v>
      </c>
      <c r="L139" s="3">
        <v>1.6027400000000001E-2</v>
      </c>
      <c r="M139" s="3">
        <f t="shared" si="6"/>
        <v>2.4876712328767119</v>
      </c>
      <c r="N139" s="3">
        <f t="shared" si="5"/>
        <v>1.5949812075924039E-2</v>
      </c>
    </row>
    <row r="140" spans="1:14">
      <c r="A140" s="25" t="s">
        <v>139</v>
      </c>
      <c r="B140" s="3" t="s">
        <v>140</v>
      </c>
      <c r="C140" s="3" t="s">
        <v>137</v>
      </c>
      <c r="E140" s="4"/>
      <c r="K140" s="4">
        <v>41439</v>
      </c>
      <c r="L140" s="3">
        <v>1.6561639999999999E-2</v>
      </c>
      <c r="M140" s="3">
        <f t="shared" si="6"/>
        <v>2.5726027397260269</v>
      </c>
      <c r="N140" s="3">
        <f t="shared" si="5"/>
        <v>1.6478735482964659E-2</v>
      </c>
    </row>
    <row r="141" spans="1:14">
      <c r="A141" s="17" t="s">
        <v>2</v>
      </c>
      <c r="B141" s="5" t="s">
        <v>3</v>
      </c>
      <c r="C141" s="5" t="s">
        <v>4</v>
      </c>
      <c r="D141" s="5" t="s">
        <v>5</v>
      </c>
      <c r="E141" s="5" t="s">
        <v>6</v>
      </c>
      <c r="F141" s="2" t="s">
        <v>7</v>
      </c>
      <c r="G141" s="2" t="s">
        <v>1</v>
      </c>
      <c r="H141" s="3" t="s">
        <v>29</v>
      </c>
      <c r="I141" s="3" t="s">
        <v>30</v>
      </c>
      <c r="K141" s="4">
        <v>41469</v>
      </c>
      <c r="L141" s="3">
        <v>1.6027400000000001E-2</v>
      </c>
      <c r="M141" s="3">
        <f t="shared" si="6"/>
        <v>2.6547945205479446</v>
      </c>
      <c r="N141" s="3">
        <f t="shared" si="5"/>
        <v>1.59446131557405E-2</v>
      </c>
    </row>
    <row r="142" spans="1:14">
      <c r="A142" s="6">
        <v>40479</v>
      </c>
      <c r="B142" s="6">
        <v>40479</v>
      </c>
      <c r="C142" s="5">
        <f>A142-B142</f>
        <v>0</v>
      </c>
      <c r="D142" s="5">
        <v>3.6</v>
      </c>
      <c r="E142" s="5">
        <v>360</v>
      </c>
      <c r="F142" s="2">
        <v>0</v>
      </c>
      <c r="G142" s="2">
        <f>365/360</f>
        <v>1.0138888888888888</v>
      </c>
      <c r="H142" s="3">
        <v>98.1233</v>
      </c>
      <c r="I142" s="26">
        <f>H142+F142</f>
        <v>98.1233</v>
      </c>
      <c r="K142" s="4">
        <v>41500</v>
      </c>
      <c r="L142" s="3">
        <v>1.6561639999999999E-2</v>
      </c>
      <c r="M142" s="3">
        <f t="shared" si="6"/>
        <v>2.7397260273972597</v>
      </c>
      <c r="N142" s="3">
        <f t="shared" si="5"/>
        <v>1.6473364157578892E-2</v>
      </c>
    </row>
    <row r="143" spans="1:14">
      <c r="A143" s="3" t="s">
        <v>9</v>
      </c>
      <c r="B143" s="3" t="s">
        <v>10</v>
      </c>
      <c r="C143" s="16" t="s">
        <v>14</v>
      </c>
      <c r="D143" s="16" t="s">
        <v>15</v>
      </c>
      <c r="E143" s="16" t="s">
        <v>16</v>
      </c>
      <c r="F143" s="1" t="s">
        <v>0</v>
      </c>
      <c r="K143" s="4">
        <v>41531</v>
      </c>
      <c r="L143" s="3">
        <v>1.6561639999999999E-2</v>
      </c>
      <c r="M143" s="3">
        <f t="shared" si="6"/>
        <v>2.8246575342465747</v>
      </c>
      <c r="N143" s="3">
        <f t="shared" si="5"/>
        <v>1.6470635138628106E-2</v>
      </c>
    </row>
    <row r="144" spans="1:14">
      <c r="A144" s="4"/>
      <c r="E144" s="3">
        <f>SUM(D145)</f>
        <v>99.999129876318847</v>
      </c>
      <c r="F144" s="23">
        <v>3.5999999999999997E-2</v>
      </c>
      <c r="H144" s="3">
        <f>E144-F142</f>
        <v>99.999129876318847</v>
      </c>
      <c r="K144" s="4">
        <v>41561</v>
      </c>
      <c r="L144" s="3">
        <v>1.6027400000000001E-2</v>
      </c>
      <c r="M144" s="3">
        <f t="shared" si="6"/>
        <v>2.9068493150684924</v>
      </c>
      <c r="N144" s="3">
        <f t="shared" si="5"/>
        <v>1.5936775366426622E-2</v>
      </c>
    </row>
    <row r="145" spans="1:14">
      <c r="A145" s="4">
        <v>40844</v>
      </c>
      <c r="B145" s="3">
        <v>103.65</v>
      </c>
      <c r="C145" s="3">
        <f>G142</f>
        <v>1.0138888888888888</v>
      </c>
      <c r="D145" s="3">
        <f>B145/(1+F144)^C145</f>
        <v>99.999129876318847</v>
      </c>
      <c r="F145" s="23"/>
      <c r="K145" s="4">
        <v>41592</v>
      </c>
      <c r="L145" s="3">
        <v>1.6561639999999999E-2</v>
      </c>
      <c r="M145" s="3">
        <f t="shared" si="6"/>
        <v>2.9917808219178075</v>
      </c>
      <c r="N145" s="3">
        <f t="shared" si="5"/>
        <v>1.6465266453589669E-2</v>
      </c>
    </row>
    <row r="146" spans="1:14">
      <c r="B146" s="3">
        <v>3.65</v>
      </c>
      <c r="E146" s="4"/>
      <c r="F146" s="3">
        <f>3.6*360/365</f>
        <v>3.5506849315068494</v>
      </c>
      <c r="K146" s="4">
        <v>41622</v>
      </c>
      <c r="L146" s="3">
        <v>1.6027400000000001E-2</v>
      </c>
      <c r="M146" s="3">
        <f t="shared" si="6"/>
        <v>3.0739726027397252</v>
      </c>
      <c r="N146" s="3">
        <f t="shared" si="5"/>
        <v>1.593158069562306E-2</v>
      </c>
    </row>
    <row r="147" spans="1:14">
      <c r="E147" s="4"/>
      <c r="F147" s="4"/>
      <c r="K147" s="4">
        <v>41653</v>
      </c>
      <c r="L147" s="3">
        <v>1.6561639999999999E-2</v>
      </c>
      <c r="M147" s="3">
        <f t="shared" si="6"/>
        <v>3.1589041095890402</v>
      </c>
      <c r="N147" s="3">
        <f t="shared" si="5"/>
        <v>1.6459899518500683E-2</v>
      </c>
    </row>
    <row r="148" spans="1:14">
      <c r="E148" s="3">
        <f>SUM(D149)</f>
        <v>99.886613283296839</v>
      </c>
      <c r="F148" s="22">
        <v>0.23004181253252245</v>
      </c>
      <c r="G148" s="3">
        <f>1/365</f>
        <v>2.7397260273972603E-3</v>
      </c>
      <c r="K148" s="4">
        <v>41684</v>
      </c>
      <c r="L148" s="3">
        <v>1.6561639999999999E-2</v>
      </c>
      <c r="M148" s="3">
        <f t="shared" si="6"/>
        <v>3.2438356164383553</v>
      </c>
      <c r="N148" s="3">
        <f t="shared" si="5"/>
        <v>1.6457172730135885E-2</v>
      </c>
    </row>
    <row r="149" spans="1:14">
      <c r="B149" s="3">
        <v>100</v>
      </c>
      <c r="C149" s="3">
        <f>2/365</f>
        <v>5.4794520547945206E-3</v>
      </c>
      <c r="D149" s="3">
        <f>B149/(1+F148)^C149</f>
        <v>99.886613283296839</v>
      </c>
      <c r="E149" s="4"/>
      <c r="F149" s="4"/>
      <c r="K149" s="4">
        <v>41712</v>
      </c>
      <c r="L149" s="3">
        <v>1.4958900000000001E-2</v>
      </c>
      <c r="M149" s="3">
        <f t="shared" si="6"/>
        <v>3.3205479452054787</v>
      </c>
      <c r="N149" s="3">
        <f t="shared" si="5"/>
        <v>1.4862318260876131E-2</v>
      </c>
    </row>
    <row r="150" spans="1:14">
      <c r="A150" s="4">
        <v>40122</v>
      </c>
      <c r="B150" s="4">
        <v>40485</v>
      </c>
      <c r="C150" s="3">
        <f>B150-A150</f>
        <v>363</v>
      </c>
      <c r="E150" s="3">
        <f>SUM(D151)</f>
        <v>103.52232090198821</v>
      </c>
      <c r="F150" s="23">
        <v>0.25225685624059152</v>
      </c>
      <c r="K150" s="4">
        <v>41743</v>
      </c>
      <c r="L150" s="3">
        <v>1.6561639999999999E-2</v>
      </c>
      <c r="M150" s="3">
        <f t="shared" si="6"/>
        <v>3.4054794520547937</v>
      </c>
      <c r="N150" s="3">
        <f t="shared" si="5"/>
        <v>1.6451984284095448E-2</v>
      </c>
    </row>
    <row r="151" spans="1:14">
      <c r="B151" s="3">
        <v>103.65</v>
      </c>
      <c r="C151" s="3">
        <f>2/365</f>
        <v>5.4794520547945206E-3</v>
      </c>
      <c r="D151" s="3">
        <f>B151/(1+F150)^C151</f>
        <v>103.52232090198821</v>
      </c>
      <c r="E151" s="4"/>
      <c r="F151" s="4"/>
      <c r="K151" s="4">
        <v>41773</v>
      </c>
      <c r="L151" s="3">
        <v>1.6027400000000001E-2</v>
      </c>
      <c r="M151" s="3">
        <f t="shared" si="6"/>
        <v>3.4876712328767114</v>
      </c>
      <c r="N151" s="3">
        <f t="shared" si="5"/>
        <v>1.5918729038730262E-2</v>
      </c>
    </row>
    <row r="152" spans="1:14">
      <c r="K152" s="4">
        <v>41804</v>
      </c>
      <c r="L152" s="3">
        <v>1.6561639999999999E-2</v>
      </c>
      <c r="M152" s="3">
        <f t="shared" si="6"/>
        <v>3.5726027397260265</v>
      </c>
      <c r="N152" s="3">
        <f t="shared" si="5"/>
        <v>1.6446621678395348E-2</v>
      </c>
    </row>
    <row r="153" spans="1:14">
      <c r="A153" s="25">
        <v>60012</v>
      </c>
      <c r="B153" s="3" t="s">
        <v>77</v>
      </c>
      <c r="C153" s="3" t="s">
        <v>76</v>
      </c>
      <c r="E153" s="4">
        <v>40496</v>
      </c>
      <c r="F153" s="3">
        <f>E153-A155</f>
        <v>32</v>
      </c>
      <c r="K153" s="4">
        <v>41834</v>
      </c>
      <c r="L153" s="3">
        <v>1.6027400000000001E-2</v>
      </c>
      <c r="M153" s="3">
        <f t="shared" si="6"/>
        <v>3.6547945205479442</v>
      </c>
      <c r="N153" s="3">
        <f t="shared" si="5"/>
        <v>1.5913540250216525E-2</v>
      </c>
    </row>
    <row r="154" spans="1:14">
      <c r="A154" s="17" t="s">
        <v>2</v>
      </c>
      <c r="B154" s="5" t="s">
        <v>3</v>
      </c>
      <c r="C154" s="5" t="s">
        <v>4</v>
      </c>
      <c r="D154" s="5" t="s">
        <v>5</v>
      </c>
      <c r="E154" s="5" t="s">
        <v>6</v>
      </c>
      <c r="F154" s="2" t="s">
        <v>7</v>
      </c>
      <c r="G154" s="2" t="s">
        <v>1</v>
      </c>
      <c r="H154" s="3" t="s">
        <v>29</v>
      </c>
      <c r="I154" s="3" t="s">
        <v>30</v>
      </c>
      <c r="K154" s="4">
        <v>41865</v>
      </c>
      <c r="L154" s="3">
        <v>1.6561639999999999E-2</v>
      </c>
      <c r="M154" s="3">
        <f t="shared" si="6"/>
        <v>3.7397260273972592</v>
      </c>
      <c r="N154" s="3">
        <f t="shared" si="5"/>
        <v>1.6441260820663113E-2</v>
      </c>
    </row>
    <row r="155" spans="1:14">
      <c r="A155" s="6">
        <v>40464</v>
      </c>
      <c r="B155" s="6">
        <v>38944</v>
      </c>
      <c r="C155" s="5">
        <f>A155-B155-1</f>
        <v>1519</v>
      </c>
      <c r="D155" s="5">
        <v>2.72</v>
      </c>
      <c r="E155" s="5">
        <v>365</v>
      </c>
      <c r="F155" s="2">
        <f>C155*D155/E155</f>
        <v>11.319671232876713</v>
      </c>
      <c r="G155" s="2">
        <f>306/365</f>
        <v>0.83835616438356164</v>
      </c>
      <c r="H155" s="3">
        <v>98.1233</v>
      </c>
      <c r="I155" s="26">
        <f>H155+F155</f>
        <v>109.44297123287672</v>
      </c>
      <c r="K155" s="4">
        <v>41896</v>
      </c>
      <c r="L155" s="3">
        <v>1.6561639999999999E-2</v>
      </c>
      <c r="M155" s="3">
        <f t="shared" si="6"/>
        <v>3.8246575342465743</v>
      </c>
      <c r="N155" s="3">
        <f t="shared" si="5"/>
        <v>1.6438537120031894E-2</v>
      </c>
    </row>
    <row r="156" spans="1:14">
      <c r="A156" s="34"/>
      <c r="B156" s="34">
        <v>40770</v>
      </c>
      <c r="C156" s="5">
        <f>B156-A155</f>
        <v>306</v>
      </c>
      <c r="D156" s="5"/>
      <c r="E156" s="5"/>
      <c r="F156" s="5"/>
      <c r="G156" s="5"/>
      <c r="K156" s="4">
        <v>41926</v>
      </c>
      <c r="L156" s="3">
        <v>1.6027400000000001E-2</v>
      </c>
      <c r="M156" s="3">
        <f t="shared" si="6"/>
        <v>3.906849315068492</v>
      </c>
      <c r="N156" s="3">
        <f t="shared" si="5"/>
        <v>1.5905717735207797E-2</v>
      </c>
    </row>
    <row r="157" spans="1:14">
      <c r="A157" s="3" t="s">
        <v>18</v>
      </c>
      <c r="B157" s="3" t="s">
        <v>19</v>
      </c>
      <c r="C157" s="16" t="s">
        <v>14</v>
      </c>
      <c r="D157" s="16" t="s">
        <v>15</v>
      </c>
      <c r="E157" s="16" t="s">
        <v>16</v>
      </c>
      <c r="F157" s="1" t="s">
        <v>11</v>
      </c>
      <c r="K157" s="4">
        <v>41957</v>
      </c>
      <c r="L157" s="3">
        <v>1.6561639999999999E-2</v>
      </c>
      <c r="M157" s="3">
        <f t="shared" si="6"/>
        <v>3.991780821917807</v>
      </c>
      <c r="N157" s="3">
        <f t="shared" si="5"/>
        <v>1.6433178897501469E-2</v>
      </c>
    </row>
    <row r="158" spans="1:14">
      <c r="A158" s="4"/>
      <c r="E158" s="3">
        <f>SUM(D159:D160)</f>
        <v>109.04710789567712</v>
      </c>
      <c r="F158" s="23">
        <v>0.05</v>
      </c>
      <c r="H158" s="3">
        <f>E158-F155</f>
        <v>97.7274366628004</v>
      </c>
      <c r="K158" s="4">
        <v>41987</v>
      </c>
      <c r="L158" s="3">
        <v>1.6027400000000001E-2</v>
      </c>
      <c r="M158" s="3">
        <f t="shared" si="6"/>
        <v>4.0739726027397252</v>
      </c>
      <c r="N158" s="3">
        <f t="shared" si="5"/>
        <v>1.5900533187792842E-2</v>
      </c>
    </row>
    <row r="159" spans="1:14">
      <c r="A159" s="4"/>
      <c r="E159" s="3">
        <v>101.03279999999999</v>
      </c>
      <c r="H159" s="3">
        <v>100</v>
      </c>
      <c r="K159" s="4">
        <v>42018</v>
      </c>
      <c r="L159" s="3">
        <v>1.6561639999999999E-2</v>
      </c>
      <c r="M159" s="3">
        <f t="shared" si="6"/>
        <v>4.1589041095890407</v>
      </c>
      <c r="N159" s="3">
        <f t="shared" si="5"/>
        <v>1.6427822421510196E-2</v>
      </c>
    </row>
    <row r="160" spans="1:14">
      <c r="A160" s="4">
        <v>40770</v>
      </c>
      <c r="B160" s="3">
        <v>113.6</v>
      </c>
      <c r="C160" s="3">
        <f>G155</f>
        <v>0.83835616438356164</v>
      </c>
      <c r="D160" s="3">
        <f>B160/(1+F158)^C160</f>
        <v>109.04710789567712</v>
      </c>
      <c r="K160" s="4">
        <v>42049</v>
      </c>
      <c r="L160" s="3">
        <v>1.6561639999999999E-2</v>
      </c>
      <c r="M160" s="3">
        <f t="shared" si="6"/>
        <v>4.2438356164383562</v>
      </c>
      <c r="N160" s="3">
        <f t="shared" si="5"/>
        <v>1.642510094711799E-2</v>
      </c>
    </row>
    <row r="161" spans="1:14">
      <c r="C161" s="3">
        <f>1/6</f>
        <v>0.16666666666666666</v>
      </c>
      <c r="G161" s="3">
        <v>11.319699999999999</v>
      </c>
      <c r="K161" s="4">
        <v>42077</v>
      </c>
      <c r="L161" s="3">
        <v>1.4958900000000001E-2</v>
      </c>
      <c r="M161" s="3">
        <f t="shared" si="6"/>
        <v>4.3205479452054796</v>
      </c>
      <c r="N161" s="3">
        <f t="shared" si="5"/>
        <v>1.4833354534589605E-2</v>
      </c>
    </row>
    <row r="162" spans="1:14">
      <c r="D162" s="3">
        <f>SUM(D163:D166)</f>
        <v>903.1024456895907</v>
      </c>
      <c r="E162" s="19">
        <v>0.11</v>
      </c>
      <c r="G162" s="3">
        <f>E158-G161</f>
        <v>97.727407895677118</v>
      </c>
      <c r="K162" s="4">
        <v>42108</v>
      </c>
      <c r="L162" s="3">
        <v>1.6561639999999999E-2</v>
      </c>
      <c r="M162" s="3">
        <f t="shared" si="6"/>
        <v>4.4054794520547951</v>
      </c>
      <c r="N162" s="3">
        <f t="shared" si="5"/>
        <v>1.6419922612335318E-2</v>
      </c>
    </row>
    <row r="163" spans="1:14">
      <c r="B163" s="3">
        <v>100</v>
      </c>
      <c r="C163" s="3">
        <v>1</v>
      </c>
      <c r="D163" s="3">
        <f>B163/(1+E162)^C163</f>
        <v>90.090090090090087</v>
      </c>
      <c r="K163" s="4">
        <v>42138</v>
      </c>
      <c r="L163" s="3">
        <v>1.6027400000000001E-2</v>
      </c>
      <c r="M163" s="3">
        <f t="shared" si="6"/>
        <v>4.4876712328767132</v>
      </c>
      <c r="N163" s="3">
        <f t="shared" si="5"/>
        <v>1.5887706576243981E-2</v>
      </c>
    </row>
    <row r="164" spans="1:14">
      <c r="B164" s="3">
        <v>100</v>
      </c>
      <c r="C164" s="3">
        <v>2</v>
      </c>
      <c r="D164" s="3">
        <f>B164/(1+E162)^C164</f>
        <v>81.16224332440548</v>
      </c>
      <c r="K164" s="4">
        <v>42169</v>
      </c>
      <c r="L164" s="3">
        <v>1.6561639999999999E-2</v>
      </c>
      <c r="M164" s="3">
        <f t="shared" si="6"/>
        <v>4.5726027397260287</v>
      </c>
      <c r="N164" s="3">
        <f t="shared" si="5"/>
        <v>1.6414570457295802E-2</v>
      </c>
    </row>
    <row r="165" spans="1:14">
      <c r="B165" s="3">
        <v>100</v>
      </c>
      <c r="C165" s="3">
        <v>3</v>
      </c>
      <c r="D165" s="3">
        <f>B165/(1+E162)^C165</f>
        <v>73.119138130095024</v>
      </c>
      <c r="K165" s="4">
        <v>42199</v>
      </c>
      <c r="L165" s="3">
        <v>1.6027400000000001E-2</v>
      </c>
      <c r="M165" s="3">
        <f t="shared" si="6"/>
        <v>4.6547945205479468</v>
      </c>
      <c r="N165" s="3">
        <f t="shared" si="5"/>
        <v>1.5882527899655427E-2</v>
      </c>
    </row>
    <row r="166" spans="1:14">
      <c r="B166" s="3">
        <v>1000</v>
      </c>
      <c r="C166" s="3">
        <v>4</v>
      </c>
      <c r="D166" s="3">
        <f>B166/(1+E162)^C166</f>
        <v>658.73097414500012</v>
      </c>
      <c r="K166" s="4">
        <v>42230</v>
      </c>
      <c r="L166" s="3">
        <v>1.6561639999999999E-2</v>
      </c>
      <c r="M166" s="3">
        <f t="shared" si="6"/>
        <v>4.7397260273972623</v>
      </c>
      <c r="N166" s="3">
        <f t="shared" si="5"/>
        <v>1.6409220046817712E-2</v>
      </c>
    </row>
    <row r="167" spans="1:14">
      <c r="A167" s="121" t="s">
        <v>215</v>
      </c>
      <c r="B167" s="3" t="s">
        <v>79</v>
      </c>
      <c r="K167" s="4">
        <v>42261</v>
      </c>
      <c r="L167" s="3">
        <v>1.6561639999999999E-2</v>
      </c>
      <c r="M167" s="3">
        <f t="shared" si="6"/>
        <v>4.8246575342465778</v>
      </c>
      <c r="N167" s="3">
        <f t="shared" si="5"/>
        <v>1.6406501654141696E-2</v>
      </c>
    </row>
    <row r="168" spans="1:14">
      <c r="K168" s="4">
        <v>42291</v>
      </c>
      <c r="L168" s="3">
        <v>1.6027400000000001E-2</v>
      </c>
      <c r="M168" s="3">
        <f t="shared" si="6"/>
        <v>4.906849315068496</v>
      </c>
      <c r="N168" s="3">
        <f t="shared" si="5"/>
        <v>1.5874720629185244E-2</v>
      </c>
    </row>
    <row r="169" spans="1:14">
      <c r="C169" s="3">
        <v>107.166030803113</v>
      </c>
      <c r="K169" s="4">
        <v>42322</v>
      </c>
      <c r="L169" s="3">
        <v>1.6561639999999999E-2</v>
      </c>
      <c r="M169" s="3">
        <f t="shared" si="6"/>
        <v>4.9917808219178115</v>
      </c>
      <c r="N169" s="3">
        <f t="shared" si="5"/>
        <v>1.6401153873729923E-2</v>
      </c>
    </row>
    <row r="170" spans="1:14">
      <c r="B170" s="3">
        <v>113.6</v>
      </c>
      <c r="C170" s="3">
        <v>62321.3</v>
      </c>
      <c r="K170" s="4">
        <v>42352</v>
      </c>
      <c r="L170" s="3">
        <v>1.6027400000000001E-2</v>
      </c>
      <c r="M170" s="3">
        <f t="shared" si="6"/>
        <v>5.0739726027397296</v>
      </c>
      <c r="N170" s="3">
        <f t="shared" si="5"/>
        <v>1.5869546185430405E-2</v>
      </c>
    </row>
    <row r="171" spans="1:14">
      <c r="B171" s="3">
        <v>100000</v>
      </c>
      <c r="C171" s="23">
        <f>(B170/C169)^C160-1</f>
        <v>5.0093988116322707E-2</v>
      </c>
      <c r="D171" s="21" t="s">
        <v>122</v>
      </c>
      <c r="K171" s="4">
        <v>42383</v>
      </c>
      <c r="L171" s="3">
        <v>1.6561639999999999E-2</v>
      </c>
      <c r="M171" s="3">
        <f t="shared" si="6"/>
        <v>5.1589041095890451</v>
      </c>
      <c r="N171" s="3">
        <f t="shared" si="5"/>
        <v>1.6395807836453648E-2</v>
      </c>
    </row>
    <row r="172" spans="1:14">
      <c r="C172" s="3">
        <f>(B171/C170)^C161-1</f>
        <v>8.199997151101357E-2</v>
      </c>
      <c r="E172" s="3">
        <f>C169-F155</f>
        <v>95.846359570236288</v>
      </c>
      <c r="K172" s="4">
        <v>42414</v>
      </c>
      <c r="L172" s="3">
        <v>1.6561639999999999E-2</v>
      </c>
      <c r="M172" s="3">
        <f t="shared" si="6"/>
        <v>5.2438356164383606</v>
      </c>
      <c r="N172" s="3">
        <f t="shared" si="5"/>
        <v>1.6393091665678143E-2</v>
      </c>
    </row>
    <row r="173" spans="1:14">
      <c r="K173" s="4">
        <v>42443</v>
      </c>
      <c r="L173" s="3">
        <v>1.5493150000000001E-2</v>
      </c>
      <c r="M173" s="3">
        <f t="shared" si="6"/>
        <v>5.3232876712328814</v>
      </c>
      <c r="N173" s="3">
        <f t="shared" si="5"/>
        <v>1.5333099100122257E-2</v>
      </c>
    </row>
    <row r="174" spans="1:14">
      <c r="B174" s="3">
        <v>8.3333333333333297E-3</v>
      </c>
      <c r="C174" s="3">
        <v>118.2405</v>
      </c>
      <c r="K174" s="4">
        <v>42474</v>
      </c>
      <c r="L174" s="3">
        <v>1.6561639999999999E-2</v>
      </c>
      <c r="M174" s="3">
        <f t="shared" si="6"/>
        <v>5.4082191780821969</v>
      </c>
      <c r="N174" s="3">
        <f t="shared" si="5"/>
        <v>1.6387835839149399E-2</v>
      </c>
    </row>
    <row r="175" spans="1:14">
      <c r="B175" s="3">
        <v>118.26</v>
      </c>
      <c r="C175" s="3">
        <f>(B175/C174)^B174-1</f>
        <v>1.3742052302756491E-6</v>
      </c>
      <c r="K175" s="4">
        <v>42504</v>
      </c>
      <c r="L175" s="3">
        <v>1.6027400000000001E-2</v>
      </c>
      <c r="M175" s="3">
        <f t="shared" si="6"/>
        <v>5.490410958904115</v>
      </c>
      <c r="N175" s="3">
        <f t="shared" si="5"/>
        <v>1.5856659825939968E-2</v>
      </c>
    </row>
    <row r="176" spans="1:14">
      <c r="K176" s="4">
        <v>42535</v>
      </c>
      <c r="L176" s="3">
        <v>1.6561639999999999E-2</v>
      </c>
      <c r="M176" s="3">
        <f t="shared" si="6"/>
        <v>5.5753424657534305</v>
      </c>
      <c r="N176" s="3">
        <f t="shared" ref="N176:N239" si="8">L176/(1+Q$109)^M176</f>
        <v>1.6382494142952408E-2</v>
      </c>
    </row>
    <row r="177" spans="1:14">
      <c r="C177" s="4">
        <v>40483</v>
      </c>
      <c r="D177" s="3">
        <f>A178-C177</f>
        <v>7</v>
      </c>
      <c r="E177" s="3">
        <f>D177/365</f>
        <v>1.9178082191780823E-2</v>
      </c>
      <c r="F177" s="3">
        <v>-1.5115015384902199E-2</v>
      </c>
      <c r="G177" s="3">
        <f>D178</f>
        <v>103.61025910986505</v>
      </c>
      <c r="K177" s="4">
        <v>42565</v>
      </c>
      <c r="L177" s="3">
        <v>1.6027400000000001E-2</v>
      </c>
      <c r="M177" s="3">
        <f t="shared" ref="M177:M240" si="9">(K177-K176)/365+M176</f>
        <v>5.6575342465753486</v>
      </c>
      <c r="N177" s="3">
        <f t="shared" si="8"/>
        <v>1.585149126919333E-2</v>
      </c>
    </row>
    <row r="178" spans="1:14">
      <c r="A178" s="4">
        <v>40490</v>
      </c>
      <c r="B178" s="3">
        <v>103.58</v>
      </c>
      <c r="C178" s="3">
        <f>E177</f>
        <v>1.9178082191780823E-2</v>
      </c>
      <c r="D178" s="3">
        <f>B178/(1+F177)^C178</f>
        <v>103.61025910986505</v>
      </c>
      <c r="K178" s="4">
        <v>42596</v>
      </c>
      <c r="L178" s="3">
        <v>1.6561639999999999E-2</v>
      </c>
      <c r="M178" s="3">
        <f t="shared" si="9"/>
        <v>5.7424657534246641</v>
      </c>
      <c r="N178" s="3">
        <f t="shared" si="8"/>
        <v>1.6377154187907726E-2</v>
      </c>
    </row>
    <row r="179" spans="1:14">
      <c r="K179" s="4">
        <v>42627</v>
      </c>
      <c r="L179" s="3">
        <v>1.6561639999999999E-2</v>
      </c>
      <c r="M179" s="3">
        <f t="shared" si="9"/>
        <v>5.8273972602739796</v>
      </c>
      <c r="N179" s="3">
        <f t="shared" si="8"/>
        <v>1.6374441107342565E-2</v>
      </c>
    </row>
    <row r="180" spans="1:14">
      <c r="K180" s="4">
        <v>42657</v>
      </c>
      <c r="L180" s="3">
        <v>1.6027400000000001E-2</v>
      </c>
      <c r="M180" s="3">
        <f t="shared" si="9"/>
        <v>5.9095890410958978</v>
      </c>
      <c r="N180" s="3">
        <f t="shared" si="8"/>
        <v>1.5843699255196807E-2</v>
      </c>
    </row>
    <row r="181" spans="1:14">
      <c r="K181" s="4">
        <v>42688</v>
      </c>
      <c r="L181" s="3">
        <v>1.6561639999999999E-2</v>
      </c>
      <c r="M181" s="3">
        <f t="shared" si="9"/>
        <v>5.9945205479452133</v>
      </c>
      <c r="N181" s="3">
        <f t="shared" si="8"/>
        <v>1.6369103777224697E-2</v>
      </c>
    </row>
    <row r="182" spans="1:14">
      <c r="K182" s="4">
        <v>42718</v>
      </c>
      <c r="L182" s="3">
        <v>1.6027400000000001E-2</v>
      </c>
      <c r="M182" s="3">
        <f t="shared" si="9"/>
        <v>6.0767123287671314</v>
      </c>
      <c r="N182" s="3">
        <f t="shared" si="8"/>
        <v>1.5838534923012345E-2</v>
      </c>
    </row>
    <row r="183" spans="1:14">
      <c r="K183" s="4">
        <v>42749</v>
      </c>
      <c r="L183" s="3">
        <v>1.6561639999999999E-2</v>
      </c>
      <c r="M183" s="3">
        <f t="shared" si="9"/>
        <v>6.1616438356164469</v>
      </c>
      <c r="N183" s="3">
        <f t="shared" si="8"/>
        <v>1.6363768186835995E-2</v>
      </c>
    </row>
    <row r="184" spans="1:14">
      <c r="K184" s="4">
        <v>42780</v>
      </c>
      <c r="L184" s="3">
        <v>1.6561639999999999E-2</v>
      </c>
      <c r="M184" s="3">
        <f t="shared" si="9"/>
        <v>6.2465753424657624</v>
      </c>
      <c r="N184" s="3">
        <f t="shared" si="8"/>
        <v>1.6361057323829451E-2</v>
      </c>
    </row>
    <row r="185" spans="1:14">
      <c r="K185" s="4">
        <v>42808</v>
      </c>
      <c r="L185" s="3">
        <v>1.4958900000000001E-2</v>
      </c>
      <c r="M185" s="3">
        <f t="shared" si="9"/>
        <v>6.3232876712328858</v>
      </c>
      <c r="N185" s="3">
        <f t="shared" si="8"/>
        <v>1.4775517339373753E-2</v>
      </c>
    </row>
    <row r="186" spans="1:14">
      <c r="K186" s="4">
        <v>42839</v>
      </c>
      <c r="L186" s="3">
        <v>1.6561639999999999E-2</v>
      </c>
      <c r="M186" s="3">
        <f t="shared" si="9"/>
        <v>6.4082191780822013</v>
      </c>
      <c r="N186" s="3">
        <f t="shared" si="8"/>
        <v>1.635589918005341E-2</v>
      </c>
    </row>
    <row r="187" spans="1:14">
      <c r="K187" s="4">
        <v>42869</v>
      </c>
      <c r="L187" s="3">
        <v>1.6027400000000001E-2</v>
      </c>
      <c r="M187" s="3">
        <f t="shared" si="9"/>
        <v>6.4904109589041195</v>
      </c>
      <c r="N187" s="3">
        <f t="shared" si="8"/>
        <v>1.5825758324104548E-2</v>
      </c>
    </row>
    <row r="188" spans="1:14">
      <c r="K188" s="4">
        <v>42900</v>
      </c>
      <c r="L188" s="3">
        <v>1.6561639999999999E-2</v>
      </c>
      <c r="M188" s="3">
        <f t="shared" si="9"/>
        <v>6.575342465753435</v>
      </c>
      <c r="N188" s="3">
        <f t="shared" si="8"/>
        <v>1.635056789376851E-2</v>
      </c>
    </row>
    <row r="189" spans="1:14">
      <c r="A189" s="21" t="s">
        <v>127</v>
      </c>
      <c r="K189" s="4">
        <v>42930</v>
      </c>
      <c r="L189" s="3">
        <v>1.6027400000000001E-2</v>
      </c>
      <c r="M189" s="3">
        <f t="shared" si="9"/>
        <v>6.6575342465753531</v>
      </c>
      <c r="N189" s="3">
        <f t="shared" si="8"/>
        <v>1.5820599839855363E-2</v>
      </c>
    </row>
    <row r="190" spans="1:14">
      <c r="A190" s="75"/>
      <c r="B190" s="63" t="s">
        <v>233</v>
      </c>
      <c r="C190" s="76">
        <v>40368</v>
      </c>
      <c r="D190" s="63"/>
      <c r="E190" s="64"/>
      <c r="K190" s="4">
        <v>42961</v>
      </c>
      <c r="L190" s="3">
        <v>1.6561639999999999E-2</v>
      </c>
      <c r="M190" s="3">
        <f t="shared" si="9"/>
        <v>6.7424657534246686</v>
      </c>
      <c r="N190" s="3">
        <f t="shared" si="8"/>
        <v>1.6345238345242756E-2</v>
      </c>
    </row>
    <row r="191" spans="1:14">
      <c r="A191" s="68"/>
      <c r="B191" s="9" t="s">
        <v>234</v>
      </c>
      <c r="C191" s="77">
        <v>40859</v>
      </c>
      <c r="D191" s="9"/>
      <c r="E191" s="67"/>
      <c r="K191" s="4">
        <v>42992</v>
      </c>
      <c r="L191" s="3">
        <v>1.6561639999999999E-2</v>
      </c>
      <c r="M191" s="3">
        <f t="shared" si="9"/>
        <v>6.8273972602739841</v>
      </c>
      <c r="N191" s="3">
        <f t="shared" si="8"/>
        <v>1.634253055193639E-2</v>
      </c>
    </row>
    <row r="192" spans="1:14">
      <c r="A192" s="68"/>
      <c r="B192" s="9" t="s">
        <v>235</v>
      </c>
      <c r="C192" s="78">
        <v>3.9E-2</v>
      </c>
      <c r="D192" s="9" t="s">
        <v>126</v>
      </c>
      <c r="E192" s="67"/>
      <c r="K192" s="4">
        <v>43022</v>
      </c>
      <c r="L192" s="3">
        <v>1.6027400000000001E-2</v>
      </c>
      <c r="M192" s="3">
        <f t="shared" si="9"/>
        <v>6.9095890410959022</v>
      </c>
      <c r="N192" s="3">
        <f t="shared" si="8"/>
        <v>1.5812823010956926E-2</v>
      </c>
    </row>
    <row r="193" spans="1:14">
      <c r="A193" s="68"/>
      <c r="B193" s="9" t="s">
        <v>236</v>
      </c>
      <c r="C193" s="9">
        <v>1.6919050000000001E-2</v>
      </c>
      <c r="D193" s="9">
        <v>1.6919050000000001E-2</v>
      </c>
      <c r="E193" s="67"/>
      <c r="K193" s="4">
        <v>43053</v>
      </c>
      <c r="L193" s="3">
        <v>1.6561639999999999E-2</v>
      </c>
      <c r="M193" s="3">
        <f t="shared" si="9"/>
        <v>6.9945205479452177</v>
      </c>
      <c r="N193" s="3">
        <f t="shared" si="8"/>
        <v>1.6337203623221982E-2</v>
      </c>
    </row>
    <row r="194" spans="1:14">
      <c r="A194" s="68"/>
      <c r="B194" s="9" t="s">
        <v>237</v>
      </c>
      <c r="C194" s="79">
        <v>1</v>
      </c>
      <c r="D194" s="9"/>
      <c r="E194" s="67"/>
      <c r="K194" s="4">
        <v>43083</v>
      </c>
      <c r="L194" s="3">
        <v>1.6027400000000001E-2</v>
      </c>
      <c r="M194" s="3">
        <f t="shared" si="9"/>
        <v>7.0767123287671359</v>
      </c>
      <c r="N194" s="3">
        <f t="shared" si="8"/>
        <v>1.5807668743037087E-2</v>
      </c>
    </row>
    <row r="195" spans="1:14">
      <c r="A195" s="68"/>
      <c r="B195" s="9" t="s">
        <v>238</v>
      </c>
      <c r="C195" s="79"/>
      <c r="D195" s="9"/>
      <c r="E195" s="67"/>
      <c r="K195" s="4">
        <v>43114</v>
      </c>
      <c r="L195" s="3">
        <v>1.6561639999999999E-2</v>
      </c>
      <c r="M195" s="3">
        <f t="shared" si="9"/>
        <v>7.1616438356164513</v>
      </c>
      <c r="N195" s="3">
        <f t="shared" si="8"/>
        <v>1.6331878430846356E-2</v>
      </c>
    </row>
    <row r="196" spans="1:14">
      <c r="A196" s="68"/>
      <c r="B196" s="81" t="s">
        <v>128</v>
      </c>
      <c r="C196" s="79">
        <f>DURATION(C190,C191,C192,C193,C194)</f>
        <v>1.3048989653294822</v>
      </c>
      <c r="D196" s="9"/>
      <c r="E196" s="67"/>
      <c r="K196" s="4">
        <v>43145</v>
      </c>
      <c r="L196" s="3">
        <v>1.6561639999999999E-2</v>
      </c>
      <c r="M196" s="3">
        <f t="shared" si="9"/>
        <v>7.2465753424657668</v>
      </c>
      <c r="N196" s="3">
        <f t="shared" si="8"/>
        <v>1.6329172850777018E-2</v>
      </c>
    </row>
    <row r="197" spans="1:14">
      <c r="A197" s="68"/>
      <c r="B197" s="81" t="s">
        <v>127</v>
      </c>
      <c r="C197" s="79">
        <f>MDURATION(C190,C191,C192,C193,C194)</f>
        <v>1.2831886326935091</v>
      </c>
      <c r="D197" s="9"/>
      <c r="E197" s="67"/>
      <c r="K197" s="4">
        <v>43173</v>
      </c>
      <c r="L197" s="3">
        <v>1.4958900000000001E-2</v>
      </c>
      <c r="M197" s="3">
        <f t="shared" si="9"/>
        <v>7.3232876712328903</v>
      </c>
      <c r="N197" s="3">
        <f t="shared" si="8"/>
        <v>1.4746722770959347E-2</v>
      </c>
    </row>
    <row r="198" spans="1:14">
      <c r="A198" s="80"/>
      <c r="B198" s="71"/>
      <c r="C198" s="71">
        <v>2.6638000000000002</v>
      </c>
      <c r="D198" s="71">
        <v>1.80525387</v>
      </c>
      <c r="E198" s="72"/>
      <c r="K198" s="4">
        <v>43204</v>
      </c>
      <c r="L198" s="3">
        <v>1.6561639999999999E-2</v>
      </c>
      <c r="M198" s="3">
        <f t="shared" si="9"/>
        <v>7.4082191780822058</v>
      </c>
      <c r="N198" s="3">
        <f t="shared" si="8"/>
        <v>1.6324024759205611E-2</v>
      </c>
    </row>
    <row r="199" spans="1:14">
      <c r="C199" s="3">
        <v>2.7047865999999998</v>
      </c>
      <c r="K199" s="4">
        <v>43234</v>
      </c>
      <c r="L199" s="3">
        <v>1.6027400000000001E-2</v>
      </c>
      <c r="M199" s="3">
        <f t="shared" si="9"/>
        <v>7.4904109589041239</v>
      </c>
      <c r="N199" s="3">
        <f t="shared" si="8"/>
        <v>1.5794917043200022E-2</v>
      </c>
    </row>
    <row r="200" spans="1:14">
      <c r="C200" s="3">
        <v>1.3069709300000001</v>
      </c>
      <c r="K200" s="4">
        <v>43265</v>
      </c>
      <c r="L200" s="3">
        <v>1.6561639999999999E-2</v>
      </c>
      <c r="M200" s="3">
        <f t="shared" si="9"/>
        <v>7.5753424657534394</v>
      </c>
      <c r="N200" s="3">
        <f t="shared" si="8"/>
        <v>1.6318703862545934E-2</v>
      </c>
    </row>
    <row r="201" spans="1:14">
      <c r="K201" s="4">
        <v>43295</v>
      </c>
      <c r="L201" s="3">
        <v>1.6027400000000001E-2</v>
      </c>
      <c r="M201" s="3">
        <f t="shared" si="9"/>
        <v>7.6575342465753575</v>
      </c>
      <c r="N201" s="3">
        <f t="shared" si="8"/>
        <v>1.578976861181899E-2</v>
      </c>
    </row>
    <row r="202" spans="1:14">
      <c r="K202" s="4">
        <v>43326</v>
      </c>
      <c r="L202" s="3">
        <v>1.6561639999999999E-2</v>
      </c>
      <c r="M202" s="3">
        <f t="shared" si="9"/>
        <v>7.742465753424673</v>
      </c>
      <c r="N202" s="3">
        <f t="shared" si="8"/>
        <v>1.6313384700258858E-2</v>
      </c>
    </row>
    <row r="203" spans="1:14">
      <c r="D203" s="3">
        <v>9.3953546200000009</v>
      </c>
      <c r="K203" s="4">
        <v>43357</v>
      </c>
      <c r="L203" s="3">
        <v>1.6561639999999999E-2</v>
      </c>
      <c r="M203" s="3">
        <f t="shared" si="9"/>
        <v>7.8273972602739885</v>
      </c>
      <c r="N203" s="3">
        <f t="shared" si="8"/>
        <v>1.6310682183907459E-2</v>
      </c>
    </row>
    <row r="204" spans="1:14">
      <c r="D204" s="3">
        <v>9.8779000000000003</v>
      </c>
      <c r="E204" s="3">
        <v>2.8513000000000002</v>
      </c>
      <c r="K204" s="4">
        <v>43387</v>
      </c>
      <c r="L204" s="3">
        <v>1.6027400000000001E-2</v>
      </c>
      <c r="M204" s="3">
        <f t="shared" si="9"/>
        <v>7.9095890410959067</v>
      </c>
      <c r="N204" s="3">
        <f t="shared" si="8"/>
        <v>1.578200693842588E-2</v>
      </c>
    </row>
    <row r="205" spans="1:14">
      <c r="E205" s="3">
        <v>2.6079756299999999</v>
      </c>
      <c r="K205" s="4">
        <v>43418</v>
      </c>
      <c r="L205" s="3">
        <v>1.6561639999999999E-2</v>
      </c>
      <c r="M205" s="3">
        <f t="shared" si="9"/>
        <v>7.9945205479452222</v>
      </c>
      <c r="N205" s="3">
        <f t="shared" si="8"/>
        <v>1.6305365636326234E-2</v>
      </c>
    </row>
    <row r="206" spans="1:14">
      <c r="D206" s="3">
        <f>D207-0.01</f>
        <v>5.0672329999999995E-2</v>
      </c>
      <c r="K206" s="4">
        <v>43448</v>
      </c>
      <c r="L206" s="3">
        <v>1.6027400000000001E-2</v>
      </c>
      <c r="M206" s="3">
        <f t="shared" si="9"/>
        <v>8.0767123287671403</v>
      </c>
      <c r="N206" s="3">
        <f t="shared" si="8"/>
        <v>1.5776862715157394E-2</v>
      </c>
    </row>
    <row r="207" spans="1:14">
      <c r="D207" s="3">
        <v>6.0672329999999997E-2</v>
      </c>
      <c r="K207" s="4">
        <v>43479</v>
      </c>
      <c r="L207" s="3">
        <v>1.6561639999999999E-2</v>
      </c>
      <c r="M207" s="3">
        <f t="shared" si="9"/>
        <v>8.1616438356164558</v>
      </c>
      <c r="N207" s="3">
        <f t="shared" si="8"/>
        <v>1.6300050821700003E-2</v>
      </c>
    </row>
    <row r="208" spans="1:14">
      <c r="K208" s="4">
        <v>43510</v>
      </c>
      <c r="L208" s="3">
        <v>1.6561639999999999E-2</v>
      </c>
      <c r="M208" s="3">
        <f t="shared" si="9"/>
        <v>8.2465753424657713</v>
      </c>
      <c r="N208" s="3">
        <f t="shared" si="8"/>
        <v>1.629735051427247E-2</v>
      </c>
    </row>
    <row r="209" spans="1:14">
      <c r="A209" s="25"/>
      <c r="K209" s="4">
        <v>43538</v>
      </c>
      <c r="L209" s="3">
        <v>1.4958900000000001E-2</v>
      </c>
      <c r="M209" s="3">
        <f t="shared" si="9"/>
        <v>8.3232876712328938</v>
      </c>
      <c r="N209" s="3">
        <f t="shared" si="8"/>
        <v>1.4717984317478257E-2</v>
      </c>
    </row>
    <row r="210" spans="1:14">
      <c r="A210" s="25">
        <v>10217</v>
      </c>
      <c r="B210" s="4">
        <v>40463</v>
      </c>
      <c r="C210" s="3" t="s">
        <v>73</v>
      </c>
      <c r="K210" s="4">
        <v>43569</v>
      </c>
      <c r="L210" s="3">
        <v>1.6561639999999999E-2</v>
      </c>
      <c r="M210" s="3">
        <f t="shared" si="9"/>
        <v>8.4082191780822093</v>
      </c>
      <c r="N210" s="3">
        <f t="shared" si="8"/>
        <v>1.6292212455315931E-2</v>
      </c>
    </row>
    <row r="211" spans="1:14">
      <c r="A211" s="17" t="s">
        <v>2</v>
      </c>
      <c r="B211" s="5" t="s">
        <v>3</v>
      </c>
      <c r="C211" s="5" t="s">
        <v>4</v>
      </c>
      <c r="D211" s="5" t="s">
        <v>5</v>
      </c>
      <c r="E211" s="5" t="s">
        <v>6</v>
      </c>
      <c r="F211" s="2" t="s">
        <v>7</v>
      </c>
      <c r="G211" s="2" t="s">
        <v>1</v>
      </c>
      <c r="H211" s="3" t="s">
        <v>29</v>
      </c>
      <c r="I211" s="3" t="s">
        <v>30</v>
      </c>
      <c r="K211" s="4">
        <v>43599</v>
      </c>
      <c r="L211" s="3">
        <v>1.6027400000000001E-2</v>
      </c>
      <c r="M211" s="3">
        <f t="shared" si="9"/>
        <v>8.4904109589041266</v>
      </c>
      <c r="N211" s="3">
        <f t="shared" si="8"/>
        <v>1.5764135865867685E-2</v>
      </c>
    </row>
    <row r="212" spans="1:14">
      <c r="A212" s="6">
        <v>39831</v>
      </c>
      <c r="B212" s="6">
        <v>39764</v>
      </c>
      <c r="C212" s="5">
        <f>A212-B212</f>
        <v>67</v>
      </c>
      <c r="D212" s="5">
        <v>3.9</v>
      </c>
      <c r="E212" s="5">
        <v>365</v>
      </c>
      <c r="F212" s="2">
        <f>C212*D212/E212</f>
        <v>0.71589041095890416</v>
      </c>
      <c r="G212" s="2">
        <f>1-C212/E212</f>
        <v>0.81643835616438354</v>
      </c>
      <c r="H212" s="3">
        <v>98.1233</v>
      </c>
      <c r="I212" s="26">
        <f>H212+F212</f>
        <v>98.839190410958906</v>
      </c>
      <c r="K212" s="4">
        <v>43630</v>
      </c>
      <c r="L212" s="3">
        <v>1.6561639999999999E-2</v>
      </c>
      <c r="M212" s="3">
        <f t="shared" si="9"/>
        <v>8.5753424657534421</v>
      </c>
      <c r="N212" s="3">
        <f t="shared" si="8"/>
        <v>1.6286901928034149E-2</v>
      </c>
    </row>
    <row r="213" spans="1:14">
      <c r="A213" s="3" t="s">
        <v>18</v>
      </c>
      <c r="B213" s="3" t="s">
        <v>19</v>
      </c>
      <c r="C213" s="16" t="s">
        <v>14</v>
      </c>
      <c r="D213" s="16" t="s">
        <v>15</v>
      </c>
      <c r="E213" s="16" t="s">
        <v>16</v>
      </c>
      <c r="F213" s="1" t="s">
        <v>11</v>
      </c>
      <c r="K213" s="4">
        <v>43660</v>
      </c>
      <c r="L213" s="3">
        <v>1.6027400000000001E-2</v>
      </c>
      <c r="M213" s="3">
        <f t="shared" si="9"/>
        <v>8.6575342465753593</v>
      </c>
      <c r="N213" s="3">
        <f t="shared" si="8"/>
        <v>1.5758997467763745E-2</v>
      </c>
    </row>
    <row r="214" spans="1:14">
      <c r="A214" s="4">
        <v>37572</v>
      </c>
      <c r="B214" s="3">
        <v>3.9</v>
      </c>
      <c r="E214" s="3">
        <f>SUM(D221:D223)</f>
        <v>106.73450136586605</v>
      </c>
      <c r="F214" s="82">
        <v>1.6919050000000001E-2</v>
      </c>
      <c r="H214" s="3">
        <f>E214-F212</f>
        <v>106.01861095490715</v>
      </c>
      <c r="K214" s="4">
        <v>43691</v>
      </c>
      <c r="L214" s="3">
        <v>1.6561639999999999E-2</v>
      </c>
      <c r="M214" s="3">
        <f t="shared" si="9"/>
        <v>8.7424657534246748</v>
      </c>
      <c r="N214" s="3">
        <f t="shared" si="8"/>
        <v>1.6281593131745018E-2</v>
      </c>
    </row>
    <row r="215" spans="1:14">
      <c r="A215" s="4">
        <v>37937</v>
      </c>
      <c r="B215" s="3">
        <v>3.9</v>
      </c>
      <c r="E215" s="3">
        <v>100</v>
      </c>
      <c r="K215" s="4">
        <v>43722</v>
      </c>
      <c r="L215" s="3">
        <v>1.6561639999999999E-2</v>
      </c>
      <c r="M215" s="3">
        <f t="shared" si="9"/>
        <v>8.8273972602739903</v>
      </c>
      <c r="N215" s="3">
        <f t="shared" si="8"/>
        <v>1.6278895882064843E-2</v>
      </c>
    </row>
    <row r="216" spans="1:14">
      <c r="A216" s="4">
        <v>38303</v>
      </c>
      <c r="B216" s="3">
        <v>3.9</v>
      </c>
      <c r="E216" s="3">
        <f>E215+F212</f>
        <v>100.71589041095891</v>
      </c>
      <c r="K216" s="4">
        <v>43752</v>
      </c>
      <c r="L216" s="3">
        <v>1.6027400000000001E-2</v>
      </c>
      <c r="M216" s="3">
        <f t="shared" si="9"/>
        <v>8.9095890410959075</v>
      </c>
      <c r="N216" s="3">
        <f t="shared" si="8"/>
        <v>1.5751250920340874E-2</v>
      </c>
    </row>
    <row r="217" spans="1:14">
      <c r="A217" s="4">
        <v>38668</v>
      </c>
      <c r="B217" s="3">
        <v>3.9</v>
      </c>
      <c r="K217" s="4">
        <v>43783</v>
      </c>
      <c r="L217" s="3">
        <v>1.6561639999999999E-2</v>
      </c>
      <c r="M217" s="3">
        <f t="shared" si="9"/>
        <v>8.994520547945223</v>
      </c>
      <c r="N217" s="3">
        <f t="shared" si="8"/>
        <v>1.6273589695386014E-2</v>
      </c>
    </row>
    <row r="218" spans="1:14">
      <c r="A218" s="4">
        <v>39033</v>
      </c>
      <c r="B218" s="3">
        <v>3.9</v>
      </c>
      <c r="E218" s="3">
        <f>E214-F212</f>
        <v>106.01861095490715</v>
      </c>
      <c r="K218" s="4">
        <v>43813</v>
      </c>
      <c r="L218" s="3">
        <v>1.6027400000000001E-2</v>
      </c>
      <c r="M218" s="3">
        <f t="shared" si="9"/>
        <v>9.0767123287671403</v>
      </c>
      <c r="N218" s="3">
        <f t="shared" si="8"/>
        <v>1.5746116722148696E-2</v>
      </c>
    </row>
    <row r="219" spans="1:14">
      <c r="A219" s="4">
        <v>39398</v>
      </c>
      <c r="B219" s="3">
        <v>3.9</v>
      </c>
      <c r="K219" s="4">
        <v>43844</v>
      </c>
      <c r="L219" s="3">
        <v>1.6561639999999999E-2</v>
      </c>
      <c r="M219" s="3">
        <f t="shared" si="9"/>
        <v>9.1616438356164558</v>
      </c>
      <c r="N219" s="3">
        <f t="shared" si="8"/>
        <v>1.6268285238285E-2</v>
      </c>
    </row>
    <row r="220" spans="1:14">
      <c r="A220" s="4">
        <v>39764</v>
      </c>
      <c r="B220" s="3">
        <v>3.9</v>
      </c>
      <c r="K220" s="4">
        <v>43875</v>
      </c>
      <c r="L220" s="3">
        <v>1.6561639999999999E-2</v>
      </c>
      <c r="M220" s="3">
        <f t="shared" si="9"/>
        <v>9.2465753424657713</v>
      </c>
      <c r="N220" s="3">
        <f t="shared" si="8"/>
        <v>1.6265590193223933E-2</v>
      </c>
    </row>
    <row r="221" spans="1:14">
      <c r="A221" s="4">
        <v>40129</v>
      </c>
      <c r="B221" s="3">
        <v>3.9</v>
      </c>
      <c r="C221" s="3">
        <f>G212</f>
        <v>0.81643835616438354</v>
      </c>
      <c r="D221" s="3">
        <f>B221/(1+F214)^C221</f>
        <v>3.8469427606387603</v>
      </c>
      <c r="K221" s="4">
        <v>43904</v>
      </c>
      <c r="L221" s="3">
        <v>1.5493150000000001E-2</v>
      </c>
      <c r="M221" s="3">
        <f t="shared" si="9"/>
        <v>9.3260273972602921</v>
      </c>
      <c r="N221" s="3">
        <f t="shared" si="8"/>
        <v>1.5213841991553468E-2</v>
      </c>
    </row>
    <row r="222" spans="1:14">
      <c r="A222" s="4">
        <v>40494</v>
      </c>
      <c r="B222" s="3">
        <v>3.9</v>
      </c>
      <c r="C222" s="3">
        <f>G212+1</f>
        <v>1.8164383561643835</v>
      </c>
      <c r="D222" s="3">
        <f>B222/(1+F214)^C222</f>
        <v>3.7829390261090698</v>
      </c>
      <c r="E222" s="3" t="s">
        <v>129</v>
      </c>
      <c r="F222" s="3">
        <v>1.691905</v>
      </c>
      <c r="K222" s="4">
        <v>43935</v>
      </c>
      <c r="L222" s="3">
        <v>1.6561639999999999E-2</v>
      </c>
      <c r="M222" s="3">
        <f t="shared" si="9"/>
        <v>9.4109589041096076</v>
      </c>
      <c r="N222" s="3">
        <f t="shared" si="8"/>
        <v>1.6260375245233237E-2</v>
      </c>
    </row>
    <row r="223" spans="1:14">
      <c r="A223" s="4">
        <v>40859</v>
      </c>
      <c r="B223" s="3">
        <v>103.9</v>
      </c>
      <c r="C223" s="3">
        <f>1+C222</f>
        <v>2.8164383561643835</v>
      </c>
      <c r="D223" s="3">
        <f>B223/(1+F214)^C223</f>
        <v>99.104619579118221</v>
      </c>
      <c r="K223" s="4">
        <v>43965</v>
      </c>
      <c r="L223" s="3">
        <v>1.6027400000000001E-2</v>
      </c>
      <c r="M223" s="3">
        <f t="shared" si="9"/>
        <v>9.4931506849315248</v>
      </c>
      <c r="N223" s="3">
        <f t="shared" si="8"/>
        <v>1.5733330589622344E-2</v>
      </c>
    </row>
    <row r="224" spans="1:14">
      <c r="K224" s="4">
        <v>43996</v>
      </c>
      <c r="L224" s="3">
        <v>1.6561639999999999E-2</v>
      </c>
      <c r="M224" s="3">
        <f t="shared" si="9"/>
        <v>9.5780821917808403</v>
      </c>
      <c r="N224" s="3">
        <f t="shared" si="8"/>
        <v>1.6255075095447647E-2</v>
      </c>
    </row>
    <row r="225" spans="1:14">
      <c r="D225" s="3">
        <f>F222/100</f>
        <v>1.6919050000000001E-2</v>
      </c>
      <c r="K225" s="4">
        <v>44026</v>
      </c>
      <c r="L225" s="3">
        <v>1.6027400000000001E-2</v>
      </c>
      <c r="M225" s="3">
        <f t="shared" si="9"/>
        <v>9.6602739726027576</v>
      </c>
      <c r="N225" s="3">
        <f t="shared" si="8"/>
        <v>1.5728202232650652E-2</v>
      </c>
    </row>
    <row r="226" spans="1:14">
      <c r="A226" s="3">
        <v>1</v>
      </c>
      <c r="B226" s="3">
        <f>D221</f>
        <v>3.8469427606387603</v>
      </c>
      <c r="C226" s="3">
        <f>1/(1+D225)^(A226+2)</f>
        <v>0.95091314466866084</v>
      </c>
      <c r="D226" s="3">
        <f>A226*(A226+1)*D212</f>
        <v>7.8</v>
      </c>
      <c r="E226" s="3">
        <f>C226*D226</f>
        <v>7.417122528415554</v>
      </c>
      <c r="K226" s="4">
        <v>44057</v>
      </c>
      <c r="L226" s="3">
        <v>1.6561639999999999E-2</v>
      </c>
      <c r="M226" s="3">
        <f t="shared" si="9"/>
        <v>9.745205479452073</v>
      </c>
      <c r="N226" s="3">
        <f t="shared" si="8"/>
        <v>1.6249776673272109E-2</v>
      </c>
    </row>
    <row r="227" spans="1:14">
      <c r="A227" s="3">
        <v>2</v>
      </c>
      <c r="B227" s="3">
        <f>D222</f>
        <v>3.7829390261090698</v>
      </c>
      <c r="C227" s="3">
        <f>1/(1+D225)^(A227+2)</f>
        <v>0.93509227176800425</v>
      </c>
      <c r="D227" s="3">
        <f>A227*(A227+1)*D212</f>
        <v>23.4</v>
      </c>
      <c r="E227" s="3">
        <f t="shared" ref="E227:E228" si="10">C227*D227</f>
        <v>21.881159159371297</v>
      </c>
      <c r="K227" s="4">
        <v>44088</v>
      </c>
      <c r="L227" s="3">
        <v>1.6561639999999999E-2</v>
      </c>
      <c r="M227" s="3">
        <f t="shared" si="9"/>
        <v>9.8301369863013885</v>
      </c>
      <c r="N227" s="3">
        <f t="shared" si="8"/>
        <v>1.6247084694386491E-2</v>
      </c>
    </row>
    <row r="228" spans="1:14">
      <c r="A228" s="3">
        <v>3</v>
      </c>
      <c r="B228" s="3">
        <f>D223</f>
        <v>99.104619579118221</v>
      </c>
      <c r="C228" s="3">
        <f>1/(1+D225)^(A228+2)</f>
        <v>0.91953461956288873</v>
      </c>
      <c r="D228" s="3">
        <f>A228*(A228+1)*D212</f>
        <v>46.8</v>
      </c>
      <c r="E228" s="3">
        <f t="shared" si="10"/>
        <v>43.034220195543192</v>
      </c>
      <c r="K228" s="4">
        <v>44118</v>
      </c>
      <c r="L228" s="3">
        <v>1.6027400000000001E-2</v>
      </c>
      <c r="M228" s="3">
        <f t="shared" si="9"/>
        <v>9.9123287671233058</v>
      </c>
      <c r="N228" s="3">
        <f t="shared" si="8"/>
        <v>1.5720470823040306E-2</v>
      </c>
    </row>
    <row r="229" spans="1:14">
      <c r="D229" s="3">
        <f>D226+D227+D228</f>
        <v>78</v>
      </c>
      <c r="E229" s="3">
        <f>E226+E227+E228</f>
        <v>72.332501883330039</v>
      </c>
      <c r="K229" s="4">
        <v>44149</v>
      </c>
      <c r="L229" s="3">
        <v>1.6561639999999999E-2</v>
      </c>
      <c r="M229" s="3">
        <f t="shared" si="9"/>
        <v>9.9972602739726213</v>
      </c>
      <c r="N229" s="3">
        <f t="shared" si="8"/>
        <v>1.6241788876721723E-2</v>
      </c>
    </row>
    <row r="230" spans="1:14">
      <c r="K230" s="4">
        <v>44179</v>
      </c>
      <c r="L230" s="3">
        <v>1.6027400000000001E-2</v>
      </c>
      <c r="M230" s="3">
        <f t="shared" si="9"/>
        <v>10.079452054794539</v>
      </c>
      <c r="N230" s="3">
        <f t="shared" si="8"/>
        <v>1.5715346657773178E-2</v>
      </c>
    </row>
    <row r="231" spans="1:14">
      <c r="D231" s="3">
        <f>E229/E214</f>
        <v>0.67768623039131137</v>
      </c>
      <c r="K231" s="4">
        <v>44210</v>
      </c>
      <c r="L231" s="3">
        <v>1.6561639999999999E-2</v>
      </c>
      <c r="M231" s="3">
        <f t="shared" si="9"/>
        <v>10.164383561643854</v>
      </c>
      <c r="N231" s="3">
        <f t="shared" si="8"/>
        <v>1.6236494785254938E-2</v>
      </c>
    </row>
    <row r="232" spans="1:14">
      <c r="K232" s="4">
        <v>44241</v>
      </c>
      <c r="L232" s="3">
        <v>1.6561639999999999E-2</v>
      </c>
      <c r="M232" s="3">
        <f t="shared" si="9"/>
        <v>10.24931506849317</v>
      </c>
      <c r="N232" s="3">
        <f t="shared" si="8"/>
        <v>1.6233805006680299E-2</v>
      </c>
    </row>
    <row r="233" spans="1:14">
      <c r="K233" s="4">
        <v>44269</v>
      </c>
      <c r="L233" s="3">
        <v>1.4958900000000001E-2</v>
      </c>
      <c r="M233" s="3">
        <f t="shared" si="9"/>
        <v>10.326027397260292</v>
      </c>
      <c r="N233" s="3">
        <f t="shared" si="8"/>
        <v>1.4660596965873546E-2</v>
      </c>
    </row>
    <row r="234" spans="1:14">
      <c r="K234" s="4">
        <v>44300</v>
      </c>
      <c r="L234" s="3">
        <v>1.6561639999999999E-2</v>
      </c>
      <c r="M234" s="3">
        <f t="shared" si="9"/>
        <v>10.410958904109608</v>
      </c>
      <c r="N234" s="3">
        <f t="shared" si="8"/>
        <v>1.6228686981689656E-2</v>
      </c>
    </row>
    <row r="235" spans="1:14">
      <c r="K235" s="4">
        <v>44330</v>
      </c>
      <c r="L235" s="3">
        <v>1.6027400000000001E-2</v>
      </c>
      <c r="M235" s="3">
        <f t="shared" si="9"/>
        <v>10.493150684931525</v>
      </c>
      <c r="N235" s="3">
        <f t="shared" si="8"/>
        <v>1.5702669432138397E-2</v>
      </c>
    </row>
    <row r="236" spans="1:14">
      <c r="K236" s="4">
        <v>44361</v>
      </c>
      <c r="L236" s="3">
        <v>1.6561639999999999E-2</v>
      </c>
      <c r="M236" s="3">
        <f t="shared" si="9"/>
        <v>10.57808219178084</v>
      </c>
      <c r="N236" s="3">
        <f t="shared" si="8"/>
        <v>1.6223397160850399E-2</v>
      </c>
    </row>
    <row r="237" spans="1:14">
      <c r="K237" s="4">
        <v>44391</v>
      </c>
      <c r="L237" s="3">
        <v>1.6027400000000001E-2</v>
      </c>
      <c r="M237" s="3">
        <f t="shared" si="9"/>
        <v>10.660273972602758</v>
      </c>
      <c r="N237" s="3">
        <f t="shared" si="8"/>
        <v>1.5697551069322736E-2</v>
      </c>
    </row>
    <row r="238" spans="1:14">
      <c r="K238" s="4">
        <v>44422</v>
      </c>
      <c r="L238" s="3">
        <v>1.6561639999999999E-2</v>
      </c>
      <c r="M238" s="3">
        <f t="shared" si="9"/>
        <v>10.745205479452073</v>
      </c>
      <c r="N238" s="3">
        <f t="shared" si="8"/>
        <v>1.6218109064254426E-2</v>
      </c>
    </row>
    <row r="239" spans="1:14">
      <c r="K239" s="4">
        <v>44453</v>
      </c>
      <c r="L239" s="3">
        <v>1.6561639999999999E-2</v>
      </c>
      <c r="M239" s="3">
        <f t="shared" si="9"/>
        <v>10.830136986301389</v>
      </c>
      <c r="N239" s="3">
        <f t="shared" si="8"/>
        <v>1.6215422331504584E-2</v>
      </c>
    </row>
    <row r="240" spans="1:14">
      <c r="K240" s="4">
        <v>44483</v>
      </c>
      <c r="L240" s="3">
        <v>1.6027400000000001E-2</v>
      </c>
      <c r="M240" s="3">
        <f t="shared" si="9"/>
        <v>10.912328767123306</v>
      </c>
      <c r="N240" s="3">
        <f t="shared" ref="N240:N303" si="11">L240/(1+Q$109)^M240</f>
        <v>1.5689834726704481E-2</v>
      </c>
    </row>
    <row r="241" spans="11:14">
      <c r="K241" s="4">
        <v>44514</v>
      </c>
      <c r="L241" s="3">
        <v>1.6561639999999999E-2</v>
      </c>
      <c r="M241" s="3">
        <f t="shared" ref="M241:M304" si="12">(K241-K240)/365+M240</f>
        <v>10.997260273972621</v>
      </c>
      <c r="N241" s="3">
        <f t="shared" si="11"/>
        <v>1.6210136834343698E-2</v>
      </c>
    </row>
    <row r="242" spans="11:14">
      <c r="K242" s="4">
        <v>44544</v>
      </c>
      <c r="L242" s="3">
        <v>1.6027400000000001E-2</v>
      </c>
      <c r="M242" s="3">
        <f t="shared" si="12"/>
        <v>11.079452054794539</v>
      </c>
      <c r="N242" s="3">
        <f t="shared" si="11"/>
        <v>1.5684720547424574E-2</v>
      </c>
    </row>
    <row r="243" spans="11:14">
      <c r="K243" s="4">
        <v>44575</v>
      </c>
      <c r="L243" s="3">
        <v>1.6561639999999999E-2</v>
      </c>
      <c r="M243" s="3">
        <f t="shared" si="12"/>
        <v>11.164383561643854</v>
      </c>
      <c r="N243" s="3">
        <f t="shared" si="11"/>
        <v>1.6204853060016778E-2</v>
      </c>
    </row>
    <row r="244" spans="11:14">
      <c r="K244" s="4">
        <v>44606</v>
      </c>
      <c r="L244" s="3">
        <v>1.6561639999999999E-2</v>
      </c>
      <c r="M244" s="3">
        <f t="shared" si="12"/>
        <v>11.24931506849317</v>
      </c>
      <c r="N244" s="3">
        <f t="shared" si="11"/>
        <v>1.6202168523289946E-2</v>
      </c>
    </row>
    <row r="245" spans="11:14">
      <c r="K245" s="4">
        <v>44634</v>
      </c>
      <c r="L245" s="3">
        <v>1.4958900000000001E-2</v>
      </c>
      <c r="M245" s="3">
        <f t="shared" si="12"/>
        <v>11.326027397260292</v>
      </c>
      <c r="N245" s="3">
        <f t="shared" si="11"/>
        <v>1.4632026354595866E-2</v>
      </c>
    </row>
    <row r="246" spans="11:14">
      <c r="K246" s="4">
        <v>44665</v>
      </c>
      <c r="L246" s="3">
        <v>1.6561639999999999E-2</v>
      </c>
      <c r="M246" s="3">
        <f t="shared" si="12"/>
        <v>11.410958904109608</v>
      </c>
      <c r="N246" s="3">
        <f t="shared" si="11"/>
        <v>1.6197060472320338E-2</v>
      </c>
    </row>
    <row r="247" spans="11:14">
      <c r="K247" s="4">
        <v>44695</v>
      </c>
      <c r="L247" s="3">
        <v>1.6027400000000001E-2</v>
      </c>
      <c r="M247" s="3">
        <f t="shared" si="12"/>
        <v>11.493150684931525</v>
      </c>
      <c r="N247" s="3">
        <f t="shared" si="11"/>
        <v>1.5672068027201624E-2</v>
      </c>
    </row>
    <row r="248" spans="11:14">
      <c r="K248" s="4">
        <v>44726</v>
      </c>
      <c r="L248" s="3">
        <v>1.6561639999999999E-2</v>
      </c>
      <c r="M248" s="3">
        <f t="shared" si="12"/>
        <v>11.57808219178084</v>
      </c>
      <c r="N248" s="3">
        <f t="shared" si="11"/>
        <v>1.6191780960298333E-2</v>
      </c>
    </row>
    <row r="249" spans="11:14">
      <c r="K249" s="4">
        <v>44756</v>
      </c>
      <c r="L249" s="3">
        <v>1.6027400000000001E-2</v>
      </c>
      <c r="M249" s="3">
        <f t="shared" si="12"/>
        <v>11.660273972602758</v>
      </c>
      <c r="N249" s="3">
        <f t="shared" si="11"/>
        <v>1.566695963906535E-2</v>
      </c>
    </row>
    <row r="250" spans="11:14">
      <c r="K250" s="4">
        <v>44787</v>
      </c>
      <c r="L250" s="3">
        <v>1.6561639999999999E-2</v>
      </c>
      <c r="M250" s="3">
        <f t="shared" si="12"/>
        <v>11.745205479452073</v>
      </c>
      <c r="N250" s="3">
        <f t="shared" si="11"/>
        <v>1.61865031691594E-2</v>
      </c>
    </row>
    <row r="251" spans="11:14">
      <c r="K251" s="4">
        <v>44818</v>
      </c>
      <c r="L251" s="3">
        <v>1.6561639999999999E-2</v>
      </c>
      <c r="M251" s="3">
        <f t="shared" si="12"/>
        <v>11.830136986301389</v>
      </c>
      <c r="N251" s="3">
        <f t="shared" si="11"/>
        <v>1.6183821672321654E-2</v>
      </c>
    </row>
    <row r="252" spans="11:14">
      <c r="K252" s="4">
        <v>44848</v>
      </c>
      <c r="L252" s="3">
        <v>1.6027400000000001E-2</v>
      </c>
      <c r="M252" s="3">
        <f t="shared" si="12"/>
        <v>11.912328767123306</v>
      </c>
      <c r="N252" s="3">
        <f t="shared" si="11"/>
        <v>1.5659258334076599E-2</v>
      </c>
    </row>
    <row r="253" spans="11:14">
      <c r="K253" s="4">
        <v>44879</v>
      </c>
      <c r="L253" s="3">
        <v>1.6561639999999999E-2</v>
      </c>
      <c r="M253" s="3">
        <f t="shared" si="12"/>
        <v>11.997260273972621</v>
      </c>
      <c r="N253" s="3">
        <f t="shared" si="11"/>
        <v>1.6178546475552027E-2</v>
      </c>
    </row>
    <row r="254" spans="11:14">
      <c r="K254" s="4">
        <v>44909</v>
      </c>
      <c r="L254" s="3">
        <v>1.6027400000000001E-2</v>
      </c>
      <c r="M254" s="3">
        <f t="shared" si="12"/>
        <v>12.079452054794539</v>
      </c>
      <c r="N254" s="3">
        <f t="shared" si="11"/>
        <v>1.5654154121323195E-2</v>
      </c>
    </row>
    <row r="255" spans="11:14">
      <c r="K255" s="4">
        <v>44940</v>
      </c>
      <c r="L255" s="3">
        <v>1.6561639999999999E-2</v>
      </c>
      <c r="M255" s="3">
        <f t="shared" si="12"/>
        <v>12.164383561643854</v>
      </c>
      <c r="N255" s="3">
        <f t="shared" si="11"/>
        <v>1.6173272998258898E-2</v>
      </c>
    </row>
    <row r="256" spans="11:14">
      <c r="K256" s="4">
        <v>44971</v>
      </c>
      <c r="L256" s="3">
        <v>1.6561639999999999E-2</v>
      </c>
      <c r="M256" s="3">
        <f t="shared" si="12"/>
        <v>12.24931506849317</v>
      </c>
      <c r="N256" s="3">
        <f t="shared" si="11"/>
        <v>1.6170593693164551E-2</v>
      </c>
    </row>
    <row r="257" spans="11:14">
      <c r="K257" s="4">
        <v>44999</v>
      </c>
      <c r="L257" s="3">
        <v>1.4958900000000001E-2</v>
      </c>
      <c r="M257" s="3">
        <f t="shared" si="12"/>
        <v>12.326027397260292</v>
      </c>
      <c r="N257" s="3">
        <f t="shared" si="11"/>
        <v>1.4603511421803222E-2</v>
      </c>
    </row>
    <row r="258" spans="11:14">
      <c r="K258" s="4">
        <v>45030</v>
      </c>
      <c r="L258" s="3">
        <v>1.6561639999999999E-2</v>
      </c>
      <c r="M258" s="3">
        <f t="shared" si="12"/>
        <v>12.410958904109608</v>
      </c>
      <c r="N258" s="3">
        <f t="shared" si="11"/>
        <v>1.6165495596778576E-2</v>
      </c>
    </row>
    <row r="259" spans="11:14">
      <c r="K259" s="4">
        <v>45060</v>
      </c>
      <c r="L259" s="3">
        <v>1.6027400000000001E-2</v>
      </c>
      <c r="M259" s="3">
        <f t="shared" si="12"/>
        <v>12.493150684931525</v>
      </c>
      <c r="N259" s="3">
        <f t="shared" si="11"/>
        <v>1.5641526258366095E-2</v>
      </c>
    </row>
    <row r="260" spans="11:14">
      <c r="K260" s="4">
        <v>45091</v>
      </c>
      <c r="L260" s="3">
        <v>1.6561639999999999E-2</v>
      </c>
      <c r="M260" s="3">
        <f t="shared" si="12"/>
        <v>12.57808219178084</v>
      </c>
      <c r="N260" s="3">
        <f t="shared" si="11"/>
        <v>1.6160226373483973E-2</v>
      </c>
    </row>
    <row r="261" spans="11:14">
      <c r="K261" s="4">
        <v>45121</v>
      </c>
      <c r="L261" s="3">
        <v>1.6027400000000001E-2</v>
      </c>
      <c r="M261" s="3">
        <f t="shared" si="12"/>
        <v>12.660273972602758</v>
      </c>
      <c r="N261" s="3">
        <f t="shared" si="11"/>
        <v>1.563642782547053E-2</v>
      </c>
    </row>
    <row r="262" spans="11:14">
      <c r="K262" s="4">
        <v>45152</v>
      </c>
      <c r="L262" s="3">
        <v>1.6561639999999999E-2</v>
      </c>
      <c r="M262" s="3">
        <f t="shared" si="12"/>
        <v>12.745205479452073</v>
      </c>
      <c r="N262" s="3">
        <f t="shared" si="11"/>
        <v>1.6154958867718779E-2</v>
      </c>
    </row>
    <row r="263" spans="11:14">
      <c r="K263" s="4">
        <v>45183</v>
      </c>
      <c r="L263" s="3">
        <v>1.6561639999999999E-2</v>
      </c>
      <c r="M263" s="3">
        <f t="shared" si="12"/>
        <v>12.830136986301389</v>
      </c>
      <c r="N263" s="3">
        <f t="shared" si="11"/>
        <v>1.6152282596589369E-2</v>
      </c>
    </row>
    <row r="264" spans="11:14">
      <c r="K264" s="4">
        <v>45213</v>
      </c>
      <c r="L264" s="3">
        <v>1.6027400000000001E-2</v>
      </c>
      <c r="M264" s="3">
        <f t="shared" si="12"/>
        <v>12.912328767123306</v>
      </c>
      <c r="N264" s="3">
        <f t="shared" si="11"/>
        <v>1.5628741528805903E-2</v>
      </c>
    </row>
    <row r="265" spans="11:14">
      <c r="K265" s="4">
        <v>45244</v>
      </c>
      <c r="L265" s="3">
        <v>1.6561639999999999E-2</v>
      </c>
      <c r="M265" s="3">
        <f t="shared" si="12"/>
        <v>12.997260273972621</v>
      </c>
      <c r="N265" s="3">
        <f t="shared" si="11"/>
        <v>1.6147017680137567E-2</v>
      </c>
    </row>
    <row r="266" spans="11:14">
      <c r="K266" s="4">
        <v>45274</v>
      </c>
      <c r="L266" s="3">
        <v>1.6027400000000001E-2</v>
      </c>
      <c r="M266" s="3">
        <f t="shared" si="12"/>
        <v>13.079452054794539</v>
      </c>
      <c r="N266" s="3">
        <f t="shared" si="11"/>
        <v>1.5623647263156208E-2</v>
      </c>
    </row>
    <row r="267" spans="11:14">
      <c r="K267" s="4">
        <v>45305</v>
      </c>
      <c r="L267" s="3">
        <v>1.6561639999999999E-2</v>
      </c>
      <c r="M267" s="3">
        <f t="shared" si="12"/>
        <v>13.164383561643854</v>
      </c>
      <c r="N267" s="3">
        <f t="shared" si="11"/>
        <v>1.6141754479811341E-2</v>
      </c>
    </row>
    <row r="268" spans="11:14">
      <c r="K268" s="4">
        <v>45336</v>
      </c>
      <c r="L268" s="3">
        <v>1.6561639999999999E-2</v>
      </c>
      <c r="M268" s="3">
        <f t="shared" si="12"/>
        <v>13.24931506849317</v>
      </c>
      <c r="N268" s="3">
        <f t="shared" si="11"/>
        <v>1.6139080396154054E-2</v>
      </c>
    </row>
    <row r="269" spans="11:14">
      <c r="K269" s="4">
        <v>45365</v>
      </c>
      <c r="L269" s="3">
        <v>1.5493150000000001E-2</v>
      </c>
      <c r="M269" s="3">
        <f t="shared" si="12"/>
        <v>13.32876712328769</v>
      </c>
      <c r="N269" s="3">
        <f t="shared" si="11"/>
        <v>1.5095512435715623E-2</v>
      </c>
    </row>
    <row r="270" spans="11:14">
      <c r="K270" s="4">
        <v>45396</v>
      </c>
      <c r="L270" s="3">
        <v>1.6561639999999999E-2</v>
      </c>
      <c r="M270" s="3">
        <f t="shared" si="12"/>
        <v>13.413698630137006</v>
      </c>
      <c r="N270" s="3">
        <f t="shared" si="11"/>
        <v>1.6133906008758102E-2</v>
      </c>
    </row>
    <row r="271" spans="11:14">
      <c r="K271" s="4">
        <v>45426</v>
      </c>
      <c r="L271" s="3">
        <v>1.6027400000000001E-2</v>
      </c>
      <c r="M271" s="3">
        <f t="shared" si="12"/>
        <v>13.495890410958923</v>
      </c>
      <c r="N271" s="3">
        <f t="shared" si="11"/>
        <v>1.5610960578053038E-2</v>
      </c>
    </row>
    <row r="272" spans="11:14">
      <c r="K272" s="4">
        <v>45457</v>
      </c>
      <c r="L272" s="3">
        <v>1.6561639999999999E-2</v>
      </c>
      <c r="M272" s="3">
        <f t="shared" si="12"/>
        <v>13.580821917808239</v>
      </c>
      <c r="N272" s="3">
        <f t="shared" si="11"/>
        <v>1.612864708224605E-2</v>
      </c>
    </row>
    <row r="273" spans="11:14">
      <c r="K273" s="4">
        <v>45487</v>
      </c>
      <c r="L273" s="3">
        <v>1.6027400000000001E-2</v>
      </c>
      <c r="M273" s="3">
        <f t="shared" si="12"/>
        <v>13.663013698630156</v>
      </c>
      <c r="N273" s="3">
        <f t="shared" si="11"/>
        <v>1.5605872108192241E-2</v>
      </c>
    </row>
    <row r="274" spans="11:14">
      <c r="K274" s="4">
        <v>45518</v>
      </c>
      <c r="L274" s="3">
        <v>1.6561639999999999E-2</v>
      </c>
      <c r="M274" s="3">
        <f t="shared" si="12"/>
        <v>13.747945205479471</v>
      </c>
      <c r="N274" s="3">
        <f t="shared" si="11"/>
        <v>1.6123389869907124E-2</v>
      </c>
    </row>
    <row r="275" spans="11:14">
      <c r="K275" s="4">
        <v>45549</v>
      </c>
      <c r="L275" s="3">
        <v>1.6561639999999999E-2</v>
      </c>
      <c r="M275" s="3">
        <f t="shared" si="12"/>
        <v>13.832876712328787</v>
      </c>
      <c r="N275" s="3">
        <f t="shared" si="11"/>
        <v>1.6120718828577317E-2</v>
      </c>
    </row>
    <row r="276" spans="11:14">
      <c r="K276" s="4">
        <v>45579</v>
      </c>
      <c r="L276" s="3">
        <v>1.6027400000000001E-2</v>
      </c>
      <c r="M276" s="3">
        <f t="shared" si="12"/>
        <v>13.915068493150704</v>
      </c>
      <c r="N276" s="3">
        <f t="shared" si="11"/>
        <v>1.5598200831601922E-2</v>
      </c>
    </row>
    <row r="277" spans="11:14">
      <c r="K277" s="4">
        <v>45610</v>
      </c>
      <c r="L277" s="3">
        <v>1.6561639999999999E-2</v>
      </c>
      <c r="M277" s="3">
        <f t="shared" si="12"/>
        <v>14.00000000000002</v>
      </c>
      <c r="N277" s="3">
        <f t="shared" si="11"/>
        <v>1.6115464200491911E-2</v>
      </c>
    </row>
    <row r="278" spans="11:14">
      <c r="K278" s="4">
        <v>45640</v>
      </c>
      <c r="L278" s="3">
        <v>1.6027400000000001E-2</v>
      </c>
      <c r="M278" s="3">
        <f t="shared" si="12"/>
        <v>14.082191780821937</v>
      </c>
      <c r="N278" s="3">
        <f t="shared" si="11"/>
        <v>1.5593116520843631E-2</v>
      </c>
    </row>
    <row r="279" spans="11:14">
      <c r="K279" s="4">
        <v>45671</v>
      </c>
      <c r="L279" s="3">
        <v>1.6561639999999999E-2</v>
      </c>
      <c r="M279" s="3">
        <f t="shared" si="12"/>
        <v>14.167123287671252</v>
      </c>
      <c r="N279" s="3">
        <f t="shared" si="11"/>
        <v>1.6110211285178536E-2</v>
      </c>
    </row>
    <row r="280" spans="11:14">
      <c r="K280" s="4">
        <v>45702</v>
      </c>
      <c r="L280" s="3">
        <v>1.6561639999999999E-2</v>
      </c>
      <c r="M280" s="3">
        <f t="shared" si="12"/>
        <v>14.252054794520568</v>
      </c>
      <c r="N280" s="3">
        <f t="shared" si="11"/>
        <v>1.6107542427046227E-2</v>
      </c>
    </row>
    <row r="281" spans="11:14">
      <c r="K281" s="4">
        <v>45730</v>
      </c>
      <c r="L281" s="3">
        <v>1.4958900000000001E-2</v>
      </c>
      <c r="M281" s="3">
        <f t="shared" si="12"/>
        <v>14.32876712328769</v>
      </c>
      <c r="N281" s="3">
        <f t="shared" si="11"/>
        <v>1.4546570415035655E-2</v>
      </c>
    </row>
    <row r="282" spans="11:14">
      <c r="K282" s="4">
        <v>45761</v>
      </c>
      <c r="L282" s="3">
        <v>1.6561639999999999E-2</v>
      </c>
      <c r="M282" s="3">
        <f t="shared" si="12"/>
        <v>14.413698630137006</v>
      </c>
      <c r="N282" s="3">
        <f t="shared" si="11"/>
        <v>1.6102464208806854E-2</v>
      </c>
    </row>
    <row r="283" spans="11:14">
      <c r="K283" s="4">
        <v>45791</v>
      </c>
      <c r="L283" s="3">
        <v>1.6027400000000001E-2</v>
      </c>
      <c r="M283" s="3">
        <f t="shared" si="12"/>
        <v>14.495890410958923</v>
      </c>
      <c r="N283" s="3">
        <f t="shared" si="11"/>
        <v>1.5580537895580764E-2</v>
      </c>
    </row>
    <row r="284" spans="11:14">
      <c r="K284" s="4">
        <v>45822</v>
      </c>
      <c r="L284" s="3">
        <v>1.6561639999999999E-2</v>
      </c>
      <c r="M284" s="3">
        <f t="shared" si="12"/>
        <v>14.580821917808239</v>
      </c>
      <c r="N284" s="3">
        <f t="shared" si="11"/>
        <v>1.6097215530905103E-2</v>
      </c>
    </row>
    <row r="285" spans="11:14">
      <c r="K285" s="4">
        <v>45852</v>
      </c>
      <c r="L285" s="3">
        <v>1.6027400000000001E-2</v>
      </c>
      <c r="M285" s="3">
        <f t="shared" si="12"/>
        <v>14.663013698630156</v>
      </c>
      <c r="N285" s="3">
        <f t="shared" si="11"/>
        <v>1.5575459342143884E-2</v>
      </c>
    </row>
    <row r="286" spans="11:14">
      <c r="K286" s="4">
        <v>45883</v>
      </c>
      <c r="L286" s="3">
        <v>1.6561639999999999E-2</v>
      </c>
      <c r="M286" s="3">
        <f t="shared" si="12"/>
        <v>14.747945205479471</v>
      </c>
      <c r="N286" s="3">
        <f t="shared" si="11"/>
        <v>1.6091968563835896E-2</v>
      </c>
    </row>
    <row r="287" spans="11:14">
      <c r="K287" s="4">
        <v>45914</v>
      </c>
      <c r="L287" s="3">
        <v>1.6561639999999999E-2</v>
      </c>
      <c r="M287" s="3">
        <f t="shared" si="12"/>
        <v>14.832876712328787</v>
      </c>
      <c r="N287" s="3">
        <f t="shared" si="11"/>
        <v>1.6089302727838706E-2</v>
      </c>
    </row>
    <row r="288" spans="11:14">
      <c r="K288" s="4">
        <v>45944</v>
      </c>
      <c r="L288" s="3">
        <v>1.6027400000000001E-2</v>
      </c>
      <c r="M288" s="3">
        <f t="shared" si="12"/>
        <v>14.915068493150704</v>
      </c>
      <c r="N288" s="3">
        <f t="shared" si="11"/>
        <v>1.5567803015358268E-2</v>
      </c>
    </row>
    <row r="289" spans="11:14">
      <c r="K289" s="4">
        <v>45975</v>
      </c>
      <c r="L289" s="3">
        <v>1.6561639999999999E-2</v>
      </c>
      <c r="M289" s="3">
        <f t="shared" si="12"/>
        <v>15.00000000000002</v>
      </c>
      <c r="N289" s="3">
        <f t="shared" si="11"/>
        <v>1.6084058339986818E-2</v>
      </c>
    </row>
    <row r="290" spans="11:14">
      <c r="K290" s="4">
        <v>46005</v>
      </c>
      <c r="L290" s="3">
        <v>1.6027400000000001E-2</v>
      </c>
      <c r="M290" s="3">
        <f t="shared" si="12"/>
        <v>15.082191780821937</v>
      </c>
      <c r="N290" s="3">
        <f t="shared" si="11"/>
        <v>1.5562728612918623E-2</v>
      </c>
    </row>
    <row r="291" spans="11:14">
      <c r="K291" s="4">
        <v>46036</v>
      </c>
      <c r="L291" s="3">
        <v>1.6561639999999999E-2</v>
      </c>
      <c r="M291" s="3">
        <f t="shared" si="12"/>
        <v>15.167123287671252</v>
      </c>
      <c r="N291" s="3">
        <f t="shared" si="11"/>
        <v>1.6078815661569105E-2</v>
      </c>
    </row>
    <row r="292" spans="11:14">
      <c r="K292" s="4">
        <v>46067</v>
      </c>
      <c r="L292" s="3">
        <v>1.6561639999999999E-2</v>
      </c>
      <c r="M292" s="3">
        <f t="shared" si="12"/>
        <v>15.252054794520568</v>
      </c>
      <c r="N292" s="3">
        <f t="shared" si="11"/>
        <v>1.6076152004514795E-2</v>
      </c>
    </row>
    <row r="293" spans="11:14">
      <c r="K293" s="4">
        <v>46095</v>
      </c>
      <c r="L293" s="3">
        <v>1.4958900000000001E-2</v>
      </c>
      <c r="M293" s="3">
        <f t="shared" si="12"/>
        <v>15.32876712328769</v>
      </c>
      <c r="N293" s="3">
        <f t="shared" si="11"/>
        <v>1.4518222019010664E-2</v>
      </c>
    </row>
    <row r="294" spans="11:14">
      <c r="K294" s="4">
        <v>46126</v>
      </c>
      <c r="L294" s="3">
        <v>1.6561639999999999E-2</v>
      </c>
      <c r="M294" s="3">
        <f t="shared" si="12"/>
        <v>15.413698630137006</v>
      </c>
      <c r="N294" s="3">
        <f t="shared" si="11"/>
        <v>1.6071083682720946E-2</v>
      </c>
    </row>
    <row r="295" spans="11:14">
      <c r="K295" s="4">
        <v>46156</v>
      </c>
      <c r="L295" s="3">
        <v>1.6027400000000001E-2</v>
      </c>
      <c r="M295" s="3">
        <f t="shared" si="12"/>
        <v>15.495890410958923</v>
      </c>
      <c r="N295" s="3">
        <f t="shared" si="11"/>
        <v>1.5550174500914914E-2</v>
      </c>
    </row>
    <row r="296" spans="11:14">
      <c r="K296" s="4">
        <v>46187</v>
      </c>
      <c r="L296" s="3">
        <v>1.6561639999999999E-2</v>
      </c>
      <c r="M296" s="3">
        <f t="shared" si="12"/>
        <v>15.580821917808239</v>
      </c>
      <c r="N296" s="3">
        <f t="shared" si="11"/>
        <v>1.6065845233456978E-2</v>
      </c>
    </row>
    <row r="297" spans="11:14">
      <c r="K297" s="4">
        <v>46217</v>
      </c>
      <c r="L297" s="3">
        <v>1.6027400000000001E-2</v>
      </c>
      <c r="M297" s="3">
        <f t="shared" si="12"/>
        <v>15.663013698630156</v>
      </c>
      <c r="N297" s="3">
        <f t="shared" si="11"/>
        <v>1.5545105844576797E-2</v>
      </c>
    </row>
    <row r="298" spans="11:14">
      <c r="K298" s="4">
        <v>46248</v>
      </c>
      <c r="L298" s="3">
        <v>1.6561639999999999E-2</v>
      </c>
      <c r="M298" s="3">
        <f t="shared" si="12"/>
        <v>15.747945205479471</v>
      </c>
      <c r="N298" s="3">
        <f t="shared" si="11"/>
        <v>1.606060849169148E-2</v>
      </c>
    </row>
    <row r="299" spans="11:14">
      <c r="K299" s="4">
        <v>46279</v>
      </c>
      <c r="L299" s="3">
        <v>1.6561639999999999E-2</v>
      </c>
      <c r="M299" s="3">
        <f t="shared" si="12"/>
        <v>15.832876712328787</v>
      </c>
      <c r="N299" s="3">
        <f t="shared" si="11"/>
        <v>1.6057947850882739E-2</v>
      </c>
    </row>
    <row r="300" spans="11:14">
      <c r="K300" s="4">
        <v>46309</v>
      </c>
      <c r="L300" s="3">
        <v>1.6027400000000001E-2</v>
      </c>
      <c r="M300" s="3">
        <f t="shared" si="12"/>
        <v>15.915068493150704</v>
      </c>
      <c r="N300" s="3">
        <f t="shared" si="11"/>
        <v>1.5537464438461662E-2</v>
      </c>
    </row>
    <row r="301" spans="11:14">
      <c r="K301" s="4">
        <v>46340</v>
      </c>
      <c r="L301" s="3">
        <v>1.6561639999999999E-2</v>
      </c>
      <c r="M301" s="3">
        <f t="shared" si="12"/>
        <v>16.000000000000018</v>
      </c>
      <c r="N301" s="3">
        <f t="shared" si="11"/>
        <v>1.6052713683308174E-2</v>
      </c>
    </row>
    <row r="302" spans="11:14">
      <c r="K302" s="4">
        <v>46370</v>
      </c>
      <c r="L302" s="3">
        <v>1.6027400000000001E-2</v>
      </c>
      <c r="M302" s="3">
        <f t="shared" si="12"/>
        <v>16.082191780821937</v>
      </c>
      <c r="N302" s="3">
        <f t="shared" si="11"/>
        <v>1.5532399925031307E-2</v>
      </c>
    </row>
    <row r="303" spans="11:14">
      <c r="K303" s="4">
        <v>46401</v>
      </c>
      <c r="L303" s="3">
        <v>1.6561639999999999E-2</v>
      </c>
      <c r="M303" s="3">
        <f t="shared" si="12"/>
        <v>16.167123287671252</v>
      </c>
      <c r="N303" s="3">
        <f t="shared" si="11"/>
        <v>1.6047481221836433E-2</v>
      </c>
    </row>
    <row r="304" spans="11:14">
      <c r="K304" s="4">
        <v>46432</v>
      </c>
      <c r="L304" s="3">
        <v>1.6561639999999999E-2</v>
      </c>
      <c r="M304" s="3">
        <f t="shared" si="12"/>
        <v>16.252054794520568</v>
      </c>
      <c r="N304" s="3">
        <f t="shared" ref="N304:N367" si="13">L304/(1+Q$109)^M304</f>
        <v>1.604482275572424E-2</v>
      </c>
    </row>
    <row r="305" spans="11:14">
      <c r="K305" s="4">
        <v>46460</v>
      </c>
      <c r="L305" s="3">
        <v>1.4958900000000001E-2</v>
      </c>
      <c r="M305" s="3">
        <f t="shared" ref="M305:M368" si="14">(K305-K304)/365+M304</f>
        <v>16.32876712328769</v>
      </c>
      <c r="N305" s="3">
        <f t="shared" si="13"/>
        <v>1.448992886841702E-2</v>
      </c>
    </row>
    <row r="306" spans="11:14">
      <c r="K306" s="4">
        <v>46491</v>
      </c>
      <c r="L306" s="3">
        <v>1.6561639999999999E-2</v>
      </c>
      <c r="M306" s="3">
        <f t="shared" si="14"/>
        <v>16.413698630137006</v>
      </c>
      <c r="N306" s="3">
        <f t="shared" si="13"/>
        <v>1.6039764311089701E-2</v>
      </c>
    </row>
    <row r="307" spans="11:14">
      <c r="K307" s="4">
        <v>46521</v>
      </c>
      <c r="L307" s="3">
        <v>1.6027400000000001E-2</v>
      </c>
      <c r="M307" s="3">
        <f t="shared" si="14"/>
        <v>16.495890410958925</v>
      </c>
      <c r="N307" s="3">
        <f t="shared" si="13"/>
        <v>1.5519870278515247E-2</v>
      </c>
    </row>
    <row r="308" spans="11:14">
      <c r="K308" s="4">
        <v>46552</v>
      </c>
      <c r="L308" s="3">
        <v>1.6561639999999999E-2</v>
      </c>
      <c r="M308" s="3">
        <f t="shared" si="14"/>
        <v>16.58082191780824</v>
      </c>
      <c r="N308" s="3">
        <f t="shared" si="13"/>
        <v>1.6034536070529921E-2</v>
      </c>
    </row>
    <row r="309" spans="11:14">
      <c r="K309" s="4">
        <v>46582</v>
      </c>
      <c r="L309" s="3">
        <v>1.6027400000000001E-2</v>
      </c>
      <c r="M309" s="3">
        <f t="shared" si="14"/>
        <v>16.663013698630159</v>
      </c>
      <c r="N309" s="3">
        <f t="shared" si="13"/>
        <v>1.5514811499988398E-2</v>
      </c>
    </row>
    <row r="310" spans="11:14">
      <c r="K310" s="4">
        <v>46613</v>
      </c>
      <c r="L310" s="3">
        <v>1.6561639999999999E-2</v>
      </c>
      <c r="M310" s="3">
        <f t="shared" si="14"/>
        <v>16.747945205479475</v>
      </c>
      <c r="N310" s="3">
        <f t="shared" si="13"/>
        <v>1.6029309534141032E-2</v>
      </c>
    </row>
    <row r="311" spans="11:14">
      <c r="K311" s="4">
        <v>46644</v>
      </c>
      <c r="L311" s="3">
        <v>1.6561639999999999E-2</v>
      </c>
      <c r="M311" s="3">
        <f t="shared" si="14"/>
        <v>16.83287671232879</v>
      </c>
      <c r="N311" s="3">
        <f t="shared" si="13"/>
        <v>1.6026654078396336E-2</v>
      </c>
    </row>
    <row r="312" spans="11:14">
      <c r="K312" s="4">
        <v>46674</v>
      </c>
      <c r="L312" s="3">
        <v>1.6027400000000001E-2</v>
      </c>
      <c r="M312" s="3">
        <f t="shared" si="14"/>
        <v>16.915068493150709</v>
      </c>
      <c r="N312" s="3">
        <f t="shared" si="13"/>
        <v>1.5507184985466304E-2</v>
      </c>
    </row>
    <row r="313" spans="11:14">
      <c r="K313" s="4">
        <v>46705</v>
      </c>
      <c r="L313" s="3">
        <v>1.6561639999999999E-2</v>
      </c>
      <c r="M313" s="3">
        <f t="shared" si="14"/>
        <v>17.000000000000025</v>
      </c>
      <c r="N313" s="3">
        <f t="shared" si="13"/>
        <v>1.6021430111181793E-2</v>
      </c>
    </row>
    <row r="314" spans="11:14">
      <c r="K314" s="4">
        <v>46735</v>
      </c>
      <c r="L314" s="3">
        <v>1.6027400000000001E-2</v>
      </c>
      <c r="M314" s="3">
        <f t="shared" si="14"/>
        <v>17.082191780821944</v>
      </c>
      <c r="N314" s="3">
        <f t="shared" si="13"/>
        <v>1.550213034177351E-2</v>
      </c>
    </row>
    <row r="315" spans="11:14">
      <c r="K315" s="4">
        <v>46766</v>
      </c>
      <c r="L315" s="3">
        <v>1.6561639999999999E-2</v>
      </c>
      <c r="M315" s="3">
        <f t="shared" si="14"/>
        <v>17.167123287671259</v>
      </c>
      <c r="N315" s="3">
        <f t="shared" si="13"/>
        <v>1.601620784674521E-2</v>
      </c>
    </row>
    <row r="316" spans="11:14">
      <c r="K316" s="4">
        <v>46797</v>
      </c>
      <c r="L316" s="3">
        <v>1.6561639999999999E-2</v>
      </c>
      <c r="M316" s="3">
        <f t="shared" si="14"/>
        <v>17.252054794520575</v>
      </c>
      <c r="N316" s="3">
        <f t="shared" si="13"/>
        <v>1.6013554561459017E-2</v>
      </c>
    </row>
    <row r="317" spans="11:14">
      <c r="K317" s="4">
        <v>46826</v>
      </c>
      <c r="L317" s="3">
        <v>1.5493150000000001E-2</v>
      </c>
      <c r="M317" s="3">
        <f t="shared" si="14"/>
        <v>17.331506849315094</v>
      </c>
      <c r="N317" s="3">
        <f t="shared" si="13"/>
        <v>1.49781032183296E-2</v>
      </c>
    </row>
    <row r="318" spans="11:14">
      <c r="K318" s="4">
        <v>46857</v>
      </c>
      <c r="L318" s="3">
        <v>1.6561639999999999E-2</v>
      </c>
      <c r="M318" s="3">
        <f t="shared" si="14"/>
        <v>17.416438356164409</v>
      </c>
      <c r="N318" s="3">
        <f t="shared" si="13"/>
        <v>1.6008420419187378E-2</v>
      </c>
    </row>
    <row r="319" spans="11:14">
      <c r="K319" s="4">
        <v>46887</v>
      </c>
      <c r="L319" s="3">
        <v>1.6027400000000001E-2</v>
      </c>
      <c r="M319" s="3">
        <f t="shared" si="14"/>
        <v>17.498630136986328</v>
      </c>
      <c r="N319" s="3">
        <f t="shared" si="13"/>
        <v>1.5489542330615693E-2</v>
      </c>
    </row>
    <row r="320" spans="11:14">
      <c r="K320" s="4">
        <v>46918</v>
      </c>
      <c r="L320" s="3">
        <v>1.6561639999999999E-2</v>
      </c>
      <c r="M320" s="3">
        <f t="shared" si="14"/>
        <v>17.583561643835644</v>
      </c>
      <c r="N320" s="3">
        <f t="shared" si="13"/>
        <v>1.6003202395324292E-2</v>
      </c>
    </row>
    <row r="321" spans="11:14">
      <c r="K321" s="4">
        <v>46948</v>
      </c>
      <c r="L321" s="3">
        <v>1.6027400000000001E-2</v>
      </c>
      <c r="M321" s="3">
        <f t="shared" si="14"/>
        <v>17.665753424657563</v>
      </c>
      <c r="N321" s="3">
        <f t="shared" si="13"/>
        <v>1.5484493437633562E-2</v>
      </c>
    </row>
    <row r="322" spans="11:14">
      <c r="K322" s="4">
        <v>46979</v>
      </c>
      <c r="L322" s="3">
        <v>1.6561639999999999E-2</v>
      </c>
      <c r="M322" s="3">
        <f t="shared" si="14"/>
        <v>17.750684931506878</v>
      </c>
      <c r="N322" s="3">
        <f t="shared" si="13"/>
        <v>1.5997986072301906E-2</v>
      </c>
    </row>
    <row r="323" spans="11:14">
      <c r="K323" s="4">
        <v>47010</v>
      </c>
      <c r="L323" s="3">
        <v>1.6561639999999999E-2</v>
      </c>
      <c r="M323" s="3">
        <f t="shared" si="14"/>
        <v>17.835616438356194</v>
      </c>
      <c r="N323" s="3">
        <f t="shared" si="13"/>
        <v>1.5995335805680709E-2</v>
      </c>
    </row>
    <row r="324" spans="11:14">
      <c r="K324" s="4">
        <v>47040</v>
      </c>
      <c r="L324" s="3">
        <v>1.6027400000000001E-2</v>
      </c>
      <c r="M324" s="3">
        <f t="shared" si="14"/>
        <v>17.917808219178113</v>
      </c>
      <c r="N324" s="3">
        <f t="shared" si="13"/>
        <v>1.5476881826363292E-2</v>
      </c>
    </row>
    <row r="325" spans="11:14">
      <c r="K325" s="4">
        <v>47071</v>
      </c>
      <c r="L325" s="3">
        <v>1.6561639999999999E-2</v>
      </c>
      <c r="M325" s="3">
        <f t="shared" si="14"/>
        <v>18.002739726027428</v>
      </c>
      <c r="N325" s="3">
        <f t="shared" si="13"/>
        <v>1.5990122046812147E-2</v>
      </c>
    </row>
    <row r="326" spans="11:14">
      <c r="K326" s="4">
        <v>47101</v>
      </c>
      <c r="L326" s="3">
        <v>1.6027400000000001E-2</v>
      </c>
      <c r="M326" s="3">
        <f t="shared" si="14"/>
        <v>18.084931506849347</v>
      </c>
      <c r="N326" s="3">
        <f t="shared" si="13"/>
        <v>1.547183706013518E-2</v>
      </c>
    </row>
    <row r="327" spans="11:14">
      <c r="K327" s="4">
        <v>47132</v>
      </c>
      <c r="L327" s="3">
        <v>1.6561639999999999E-2</v>
      </c>
      <c r="M327" s="3">
        <f t="shared" si="14"/>
        <v>18.169863013698663</v>
      </c>
      <c r="N327" s="3">
        <f t="shared" si="13"/>
        <v>1.5984909987394096E-2</v>
      </c>
    </row>
    <row r="328" spans="11:14">
      <c r="K328" s="4">
        <v>47163</v>
      </c>
      <c r="L328" s="3">
        <v>1.6561639999999999E-2</v>
      </c>
      <c r="M328" s="3">
        <f t="shared" si="14"/>
        <v>18.254794520547978</v>
      </c>
      <c r="N328" s="3">
        <f t="shared" si="13"/>
        <v>1.5982261886990021E-2</v>
      </c>
    </row>
    <row r="329" spans="11:14">
      <c r="K329" s="4">
        <v>47191</v>
      </c>
      <c r="L329" s="3">
        <v>1.4958900000000001E-2</v>
      </c>
      <c r="M329" s="3">
        <f t="shared" si="14"/>
        <v>18.331506849315101</v>
      </c>
      <c r="N329" s="3">
        <f t="shared" si="13"/>
        <v>1.443343073492522E-2</v>
      </c>
    </row>
    <row r="330" spans="11:14">
      <c r="K330" s="4">
        <v>47222</v>
      </c>
      <c r="L330" s="3">
        <v>1.6561639999999999E-2</v>
      </c>
      <c r="M330" s="3">
        <f t="shared" si="14"/>
        <v>18.416438356164416</v>
      </c>
      <c r="N330" s="3">
        <f t="shared" si="13"/>
        <v>1.5977223165894696E-2</v>
      </c>
    </row>
    <row r="331" spans="11:14">
      <c r="K331" s="4">
        <v>47252</v>
      </c>
      <c r="L331" s="3">
        <v>1.6027400000000001E-2</v>
      </c>
      <c r="M331" s="3">
        <f t="shared" si="14"/>
        <v>18.498630136986336</v>
      </c>
      <c r="N331" s="3">
        <f t="shared" si="13"/>
        <v>1.5459356268354561E-2</v>
      </c>
    </row>
    <row r="332" spans="11:14">
      <c r="K332" s="4">
        <v>47283</v>
      </c>
      <c r="L332" s="3">
        <v>1.6561639999999999E-2</v>
      </c>
      <c r="M332" s="3">
        <f t="shared" si="14"/>
        <v>18.583561643835651</v>
      </c>
      <c r="N332" s="3">
        <f t="shared" si="13"/>
        <v>1.5972015310930718E-2</v>
      </c>
    </row>
    <row r="333" spans="11:14">
      <c r="K333" s="4">
        <v>47313</v>
      </c>
      <c r="L333" s="3">
        <v>1.6027400000000001E-2</v>
      </c>
      <c r="M333" s="3">
        <f t="shared" si="14"/>
        <v>18.66575342465757</v>
      </c>
      <c r="N333" s="3">
        <f t="shared" si="13"/>
        <v>1.5454317214668818E-2</v>
      </c>
    </row>
    <row r="334" spans="11:14">
      <c r="K334" s="4">
        <v>47344</v>
      </c>
      <c r="L334" s="3">
        <v>1.6561639999999999E-2</v>
      </c>
      <c r="M334" s="3">
        <f t="shared" si="14"/>
        <v>18.750684931506886</v>
      </c>
      <c r="N334" s="3">
        <f t="shared" si="13"/>
        <v>1.5966809153492842E-2</v>
      </c>
    </row>
    <row r="335" spans="11:14">
      <c r="K335" s="4">
        <v>47375</v>
      </c>
      <c r="L335" s="3">
        <v>1.6561639999999999E-2</v>
      </c>
      <c r="M335" s="3">
        <f t="shared" si="14"/>
        <v>18.835616438356201</v>
      </c>
      <c r="N335" s="3">
        <f t="shared" si="13"/>
        <v>1.5964164051718448E-2</v>
      </c>
    </row>
    <row r="336" spans="11:14">
      <c r="K336" s="4">
        <v>47405</v>
      </c>
      <c r="L336" s="3">
        <v>1.6027400000000001E-2</v>
      </c>
      <c r="M336" s="3">
        <f t="shared" si="14"/>
        <v>18.91780821917812</v>
      </c>
      <c r="N336" s="3">
        <f t="shared" si="13"/>
        <v>1.5446720436927316E-2</v>
      </c>
    </row>
    <row r="337" spans="11:14">
      <c r="K337" s="4">
        <v>47436</v>
      </c>
      <c r="L337" s="3">
        <v>1.6561639999999999E-2</v>
      </c>
      <c r="M337" s="3">
        <f t="shared" si="14"/>
        <v>19.002739726027436</v>
      </c>
      <c r="N337" s="3">
        <f t="shared" si="13"/>
        <v>1.5958960453437365E-2</v>
      </c>
    </row>
    <row r="338" spans="11:14">
      <c r="K338" s="4">
        <v>47466</v>
      </c>
      <c r="L338" s="3">
        <v>1.6027400000000001E-2</v>
      </c>
      <c r="M338" s="3">
        <f t="shared" si="14"/>
        <v>19.084931506849355</v>
      </c>
      <c r="N338" s="3">
        <f t="shared" si="13"/>
        <v>1.5441685501953361E-2</v>
      </c>
    </row>
    <row r="339" spans="11:14">
      <c r="K339" s="4">
        <v>47497</v>
      </c>
      <c r="L339" s="3">
        <v>1.6561639999999999E-2</v>
      </c>
      <c r="M339" s="3">
        <f t="shared" si="14"/>
        <v>19.16986301369867</v>
      </c>
      <c r="N339" s="3">
        <f t="shared" si="13"/>
        <v>1.5953758551294897E-2</v>
      </c>
    </row>
    <row r="340" spans="11:14">
      <c r="K340" s="4">
        <v>47528</v>
      </c>
      <c r="L340" s="3">
        <v>1.6561639999999999E-2</v>
      </c>
      <c r="M340" s="3">
        <f t="shared" si="14"/>
        <v>19.254794520547986</v>
      </c>
      <c r="N340" s="3">
        <f t="shared" si="13"/>
        <v>1.5951115611516097E-2</v>
      </c>
    </row>
    <row r="341" spans="11:14">
      <c r="K341" s="4">
        <v>47556</v>
      </c>
      <c r="L341" s="3">
        <v>1.4958900000000001E-2</v>
      </c>
      <c r="M341" s="3">
        <f t="shared" si="14"/>
        <v>19.331506849315108</v>
      </c>
      <c r="N341" s="3">
        <f t="shared" si="13"/>
        <v>1.4405302825816825E-2</v>
      </c>
    </row>
    <row r="342" spans="11:14">
      <c r="K342" s="4">
        <v>47587</v>
      </c>
      <c r="L342" s="3">
        <v>1.6561639999999999E-2</v>
      </c>
      <c r="M342" s="3">
        <f t="shared" si="14"/>
        <v>19.416438356164424</v>
      </c>
      <c r="N342" s="3">
        <f t="shared" si="13"/>
        <v>1.5946086709894159E-2</v>
      </c>
    </row>
    <row r="343" spans="11:14">
      <c r="K343" s="4">
        <v>47617</v>
      </c>
      <c r="L343" s="3">
        <v>1.6027400000000001E-2</v>
      </c>
      <c r="M343" s="3">
        <f t="shared" si="14"/>
        <v>19.498630136986343</v>
      </c>
      <c r="N343" s="3">
        <f t="shared" si="13"/>
        <v>1.5429229032773741E-2</v>
      </c>
    </row>
    <row r="344" spans="11:14">
      <c r="K344" s="4">
        <v>47648</v>
      </c>
      <c r="L344" s="3">
        <v>1.6561639999999999E-2</v>
      </c>
      <c r="M344" s="3">
        <f t="shared" si="14"/>
        <v>19.583561643835658</v>
      </c>
      <c r="N344" s="3">
        <f t="shared" si="13"/>
        <v>1.594088900401211E-2</v>
      </c>
    </row>
    <row r="345" spans="11:14">
      <c r="K345" s="4">
        <v>47678</v>
      </c>
      <c r="L345" s="3">
        <v>1.6027400000000001E-2</v>
      </c>
      <c r="M345" s="3">
        <f t="shared" si="14"/>
        <v>19.665753424657577</v>
      </c>
      <c r="N345" s="3">
        <f t="shared" si="13"/>
        <v>1.5424199799209538E-2</v>
      </c>
    </row>
    <row r="346" spans="11:14">
      <c r="K346" s="4">
        <v>47709</v>
      </c>
      <c r="L346" s="3">
        <v>1.6561639999999999E-2</v>
      </c>
      <c r="M346" s="3">
        <f t="shared" si="14"/>
        <v>19.750684931506893</v>
      </c>
      <c r="N346" s="3">
        <f t="shared" si="13"/>
        <v>1.5935692992348021E-2</v>
      </c>
    </row>
    <row r="347" spans="11:14">
      <c r="K347" s="4">
        <v>47740</v>
      </c>
      <c r="L347" s="3">
        <v>1.6561639999999999E-2</v>
      </c>
      <c r="M347" s="3">
        <f t="shared" si="14"/>
        <v>19.835616438356208</v>
      </c>
      <c r="N347" s="3">
        <f t="shared" si="13"/>
        <v>1.5933053045355167E-2</v>
      </c>
    </row>
    <row r="348" spans="11:14">
      <c r="K348" s="4">
        <v>47770</v>
      </c>
      <c r="L348" s="3">
        <v>1.6027400000000001E-2</v>
      </c>
      <c r="M348" s="3">
        <f t="shared" si="14"/>
        <v>19.917808219178127</v>
      </c>
      <c r="N348" s="3">
        <f t="shared" si="13"/>
        <v>1.541661782608918E-2</v>
      </c>
    </row>
    <row r="349" spans="11:14">
      <c r="K349" s="4">
        <v>47801</v>
      </c>
      <c r="L349" s="3">
        <v>1.6561639999999999E-2</v>
      </c>
      <c r="M349" s="3">
        <f t="shared" si="14"/>
        <v>20.002739726027443</v>
      </c>
      <c r="N349" s="3">
        <f t="shared" si="13"/>
        <v>1.5927859587860582E-2</v>
      </c>
    </row>
    <row r="350" spans="11:14">
      <c r="K350" s="4">
        <v>47831</v>
      </c>
      <c r="L350" s="3">
        <v>1.6027400000000001E-2</v>
      </c>
      <c r="M350" s="3">
        <f t="shared" si="14"/>
        <v>20.084931506849362</v>
      </c>
      <c r="N350" s="3">
        <f t="shared" si="13"/>
        <v>1.5411592703210209E-2</v>
      </c>
    </row>
    <row r="351" spans="11:14">
      <c r="K351" s="4">
        <v>47862</v>
      </c>
      <c r="L351" s="3">
        <v>1.6561639999999999E-2</v>
      </c>
      <c r="M351" s="3">
        <f t="shared" si="14"/>
        <v>20.169863013698677</v>
      </c>
      <c r="N351" s="3">
        <f t="shared" si="13"/>
        <v>1.592266782319917E-2</v>
      </c>
    </row>
    <row r="352" spans="11:14">
      <c r="K352" s="4">
        <v>47893</v>
      </c>
      <c r="L352" s="3">
        <v>1.6561639999999999E-2</v>
      </c>
      <c r="M352" s="3">
        <f t="shared" si="14"/>
        <v>20.254794520547993</v>
      </c>
      <c r="N352" s="3">
        <f t="shared" si="13"/>
        <v>1.5920030033988605E-2</v>
      </c>
    </row>
    <row r="353" spans="11:14">
      <c r="K353" s="4">
        <v>47921</v>
      </c>
      <c r="L353" s="3">
        <v>1.4958900000000001E-2</v>
      </c>
      <c r="M353" s="3">
        <f t="shared" si="14"/>
        <v>20.331506849315115</v>
      </c>
      <c r="N353" s="3">
        <f t="shared" si="13"/>
        <v>1.4377229732454278E-2</v>
      </c>
    </row>
    <row r="354" spans="11:14">
      <c r="K354" s="4">
        <v>47952</v>
      </c>
      <c r="L354" s="3">
        <v>1.6561639999999999E-2</v>
      </c>
      <c r="M354" s="3">
        <f t="shared" si="14"/>
        <v>20.416438356164431</v>
      </c>
      <c r="N354" s="3">
        <f t="shared" si="13"/>
        <v>1.5915010932703842E-2</v>
      </c>
    </row>
    <row r="355" spans="11:14">
      <c r="K355" s="4">
        <v>47982</v>
      </c>
      <c r="L355" s="3">
        <v>1.6027400000000001E-2</v>
      </c>
      <c r="M355" s="3">
        <f t="shared" si="14"/>
        <v>20.49863013698635</v>
      </c>
      <c r="N355" s="3">
        <f t="shared" si="13"/>
        <v>1.5399160509231636E-2</v>
      </c>
    </row>
    <row r="356" spans="11:14">
      <c r="K356" s="4">
        <v>48013</v>
      </c>
      <c r="L356" s="3">
        <v>1.6561639999999999E-2</v>
      </c>
      <c r="M356" s="3">
        <f t="shared" si="14"/>
        <v>20.583561643835665</v>
      </c>
      <c r="N356" s="3">
        <f t="shared" si="13"/>
        <v>1.5909823356125164E-2</v>
      </c>
    </row>
    <row r="357" spans="11:14">
      <c r="K357" s="4">
        <v>48043</v>
      </c>
      <c r="L357" s="3">
        <v>1.6027400000000001E-2</v>
      </c>
      <c r="M357" s="3">
        <f t="shared" si="14"/>
        <v>20.665753424657584</v>
      </c>
      <c r="N357" s="3">
        <f t="shared" si="13"/>
        <v>1.5394141076651494E-2</v>
      </c>
    </row>
    <row r="358" spans="11:14">
      <c r="K358" s="4">
        <v>48074</v>
      </c>
      <c r="L358" s="3">
        <v>1.6561639999999999E-2</v>
      </c>
      <c r="M358" s="3">
        <f t="shared" si="14"/>
        <v>20.7506849315069</v>
      </c>
      <c r="N358" s="3">
        <f t="shared" si="13"/>
        <v>1.5904637470462751E-2</v>
      </c>
    </row>
    <row r="359" spans="11:14">
      <c r="K359" s="4">
        <v>48105</v>
      </c>
      <c r="L359" s="3">
        <v>1.6561639999999999E-2</v>
      </c>
      <c r="M359" s="3">
        <f t="shared" si="14"/>
        <v>20.835616438356215</v>
      </c>
      <c r="N359" s="3">
        <f t="shared" si="13"/>
        <v>1.5902002668205784E-2</v>
      </c>
    </row>
    <row r="360" spans="11:14">
      <c r="K360" s="4">
        <v>48135</v>
      </c>
      <c r="L360" s="3">
        <v>1.6027400000000001E-2</v>
      </c>
      <c r="M360" s="3">
        <f t="shared" si="14"/>
        <v>20.917808219178134</v>
      </c>
      <c r="N360" s="3">
        <f t="shared" si="13"/>
        <v>1.5386573879300992E-2</v>
      </c>
    </row>
    <row r="361" spans="11:14">
      <c r="K361" s="4">
        <v>48166</v>
      </c>
      <c r="L361" s="3">
        <v>1.6561639999999999E-2</v>
      </c>
      <c r="M361" s="3">
        <f t="shared" si="14"/>
        <v>21.00273972602745</v>
      </c>
      <c r="N361" s="3">
        <f t="shared" si="13"/>
        <v>1.5896819331735302E-2</v>
      </c>
    </row>
    <row r="362" spans="11:14">
      <c r="K362" s="4">
        <v>48196</v>
      </c>
      <c r="L362" s="3">
        <v>1.6027400000000001E-2</v>
      </c>
      <c r="M362" s="3">
        <f t="shared" si="14"/>
        <v>21.084931506849369</v>
      </c>
      <c r="N362" s="3">
        <f t="shared" si="13"/>
        <v>1.5381558549395168E-2</v>
      </c>
    </row>
    <row r="363" spans="11:14">
      <c r="K363" s="4">
        <v>48227</v>
      </c>
      <c r="L363" s="3">
        <v>1.6561639999999999E-2</v>
      </c>
      <c r="M363" s="3">
        <f t="shared" si="14"/>
        <v>21.169863013698684</v>
      </c>
      <c r="N363" s="3">
        <f t="shared" si="13"/>
        <v>1.5891637684798995E-2</v>
      </c>
    </row>
    <row r="364" spans="11:14">
      <c r="K364" s="4">
        <v>48258</v>
      </c>
      <c r="L364" s="3">
        <v>1.6561639999999999E-2</v>
      </c>
      <c r="M364" s="3">
        <f t="shared" si="14"/>
        <v>21.254794520548</v>
      </c>
      <c r="N364" s="3">
        <f t="shared" si="13"/>
        <v>1.5889005036119223E-2</v>
      </c>
    </row>
    <row r="365" spans="11:14">
      <c r="K365" s="4">
        <v>48287</v>
      </c>
      <c r="L365" s="3">
        <v>1.5493150000000001E-2</v>
      </c>
      <c r="M365" s="3">
        <f t="shared" si="14"/>
        <v>21.334246575342519</v>
      </c>
      <c r="N365" s="3">
        <f t="shared" si="13"/>
        <v>1.486160718122718E-2</v>
      </c>
    </row>
    <row r="366" spans="11:14">
      <c r="K366" s="4">
        <v>48318</v>
      </c>
      <c r="L366" s="3">
        <v>1.6561639999999999E-2</v>
      </c>
      <c r="M366" s="3">
        <f t="shared" si="14"/>
        <v>21.419178082191834</v>
      </c>
      <c r="N366" s="3">
        <f t="shared" si="13"/>
        <v>1.5883910825955132E-2</v>
      </c>
    </row>
    <row r="367" spans="11:14">
      <c r="K367" s="4">
        <v>48348</v>
      </c>
      <c r="L367" s="3">
        <v>1.6027400000000001E-2</v>
      </c>
      <c r="M367" s="3">
        <f t="shared" si="14"/>
        <v>21.501369863013753</v>
      </c>
      <c r="N367" s="3">
        <f t="shared" si="13"/>
        <v>1.5369068444720803E-2</v>
      </c>
    </row>
    <row r="368" spans="11:14">
      <c r="K368" s="4">
        <v>48379</v>
      </c>
      <c r="L368" s="3">
        <v>1.6561639999999999E-2</v>
      </c>
      <c r="M368" s="3">
        <f t="shared" si="14"/>
        <v>21.586301369863069</v>
      </c>
      <c r="N368" s="3">
        <f t="shared" ref="N368:N431" si="15">L368/(1+Q$109)^M368</f>
        <v>1.5878733386610173E-2</v>
      </c>
    </row>
    <row r="369" spans="11:14">
      <c r="K369" s="4">
        <v>48409</v>
      </c>
      <c r="L369" s="3">
        <v>1.6027400000000001E-2</v>
      </c>
      <c r="M369" s="3">
        <f t="shared" ref="M369:M432" si="16">(K369-K368)/365+M368</f>
        <v>21.668493150684988</v>
      </c>
      <c r="N369" s="3">
        <f t="shared" si="15"/>
        <v>1.536405882079802E-2</v>
      </c>
    </row>
    <row r="370" spans="11:14">
      <c r="K370" s="4">
        <v>48440</v>
      </c>
      <c r="L370" s="3">
        <v>1.6561639999999999E-2</v>
      </c>
      <c r="M370" s="3">
        <f t="shared" si="16"/>
        <v>21.753424657534303</v>
      </c>
      <c r="N370" s="3">
        <f t="shared" si="15"/>
        <v>1.5873557634877189E-2</v>
      </c>
    </row>
    <row r="371" spans="11:14">
      <c r="K371" s="4">
        <v>48471</v>
      </c>
      <c r="L371" s="3">
        <v>1.6561639999999999E-2</v>
      </c>
      <c r="M371" s="3">
        <f t="shared" si="16"/>
        <v>21.838356164383619</v>
      </c>
      <c r="N371" s="3">
        <f t="shared" si="15"/>
        <v>1.5870927981383978E-2</v>
      </c>
    </row>
    <row r="372" spans="11:14">
      <c r="K372" s="4">
        <v>48501</v>
      </c>
      <c r="L372" s="3">
        <v>1.6027400000000001E-2</v>
      </c>
      <c r="M372" s="3">
        <f t="shared" si="16"/>
        <v>21.920547945205538</v>
      </c>
      <c r="N372" s="3">
        <f t="shared" si="15"/>
        <v>1.5356506410785481E-2</v>
      </c>
    </row>
    <row r="373" spans="11:14">
      <c r="K373" s="4">
        <v>48532</v>
      </c>
      <c r="L373" s="3">
        <v>1.6561639999999999E-2</v>
      </c>
      <c r="M373" s="3">
        <f t="shared" si="16"/>
        <v>22.005479452054853</v>
      </c>
      <c r="N373" s="3">
        <f t="shared" si="15"/>
        <v>1.5865754773861457E-2</v>
      </c>
    </row>
    <row r="374" spans="11:14">
      <c r="K374" s="4">
        <v>48562</v>
      </c>
      <c r="L374" s="3">
        <v>1.6027400000000001E-2</v>
      </c>
      <c r="M374" s="3">
        <f t="shared" si="16"/>
        <v>22.087671232876772</v>
      </c>
      <c r="N374" s="3">
        <f t="shared" si="15"/>
        <v>1.5351500881519828E-2</v>
      </c>
    </row>
    <row r="375" spans="11:14">
      <c r="K375" s="4">
        <v>48593</v>
      </c>
      <c r="L375" s="3">
        <v>1.6561639999999999E-2</v>
      </c>
      <c r="M375" s="3">
        <f t="shared" si="16"/>
        <v>22.172602739726088</v>
      </c>
      <c r="N375" s="3">
        <f t="shared" si="15"/>
        <v>1.5860583252571531E-2</v>
      </c>
    </row>
    <row r="376" spans="11:14">
      <c r="K376" s="4">
        <v>48624</v>
      </c>
      <c r="L376" s="3">
        <v>1.6561639999999999E-2</v>
      </c>
      <c r="M376" s="3">
        <f t="shared" si="16"/>
        <v>22.257534246575403</v>
      </c>
      <c r="N376" s="3">
        <f t="shared" si="15"/>
        <v>1.5857955748447134E-2</v>
      </c>
    </row>
    <row r="377" spans="11:14">
      <c r="K377" s="4">
        <v>48652</v>
      </c>
      <c r="L377" s="3">
        <v>1.4958900000000001E-2</v>
      </c>
      <c r="M377" s="3">
        <f t="shared" si="16"/>
        <v>22.334246575342526</v>
      </c>
      <c r="N377" s="3">
        <f t="shared" si="15"/>
        <v>1.4321171027677815E-2</v>
      </c>
    </row>
    <row r="378" spans="11:14">
      <c r="K378" s="4">
        <v>48683</v>
      </c>
      <c r="L378" s="3">
        <v>1.6561639999999999E-2</v>
      </c>
      <c r="M378" s="3">
        <f t="shared" si="16"/>
        <v>22.419178082191841</v>
      </c>
      <c r="N378" s="3">
        <f t="shared" si="15"/>
        <v>1.5852956217296696E-2</v>
      </c>
    </row>
    <row r="379" spans="11:14">
      <c r="K379" s="4">
        <v>48713</v>
      </c>
      <c r="L379" s="3">
        <v>1.6027400000000001E-2</v>
      </c>
      <c r="M379" s="3">
        <f t="shared" si="16"/>
        <v>22.50136986301376</v>
      </c>
      <c r="N379" s="3">
        <f t="shared" si="15"/>
        <v>1.5339117162296472E-2</v>
      </c>
    </row>
    <row r="380" spans="11:14">
      <c r="K380" s="4">
        <v>48744</v>
      </c>
      <c r="L380" s="3">
        <v>1.6561639999999999E-2</v>
      </c>
      <c r="M380" s="3">
        <f t="shared" si="16"/>
        <v>22.586301369863076</v>
      </c>
      <c r="N380" s="3">
        <f t="shared" si="15"/>
        <v>1.5847788867759626E-2</v>
      </c>
    </row>
    <row r="381" spans="11:14">
      <c r="K381" s="4">
        <v>48774</v>
      </c>
      <c r="L381" s="3">
        <v>1.6027400000000001E-2</v>
      </c>
      <c r="M381" s="3">
        <f t="shared" si="16"/>
        <v>22.668493150684995</v>
      </c>
      <c r="N381" s="3">
        <f t="shared" si="15"/>
        <v>1.5334117301142425E-2</v>
      </c>
    </row>
    <row r="382" spans="11:14">
      <c r="K382" s="4">
        <v>48805</v>
      </c>
      <c r="L382" s="3">
        <v>1.6561639999999999E-2</v>
      </c>
      <c r="M382" s="3">
        <f t="shared" si="16"/>
        <v>22.75342465753431</v>
      </c>
      <c r="N382" s="3">
        <f t="shared" si="15"/>
        <v>1.5842623202545709E-2</v>
      </c>
    </row>
    <row r="383" spans="11:14">
      <c r="K383" s="4">
        <v>48836</v>
      </c>
      <c r="L383" s="3">
        <v>1.6561639999999999E-2</v>
      </c>
      <c r="M383" s="3">
        <f t="shared" si="16"/>
        <v>22.838356164383626</v>
      </c>
      <c r="N383" s="3">
        <f t="shared" si="15"/>
        <v>1.583999867372838E-2</v>
      </c>
    </row>
    <row r="384" spans="11:14">
      <c r="K384" s="4">
        <v>48866</v>
      </c>
      <c r="L384" s="3">
        <v>1.6027400000000001E-2</v>
      </c>
      <c r="M384" s="3">
        <f t="shared" si="16"/>
        <v>22.920547945205545</v>
      </c>
      <c r="N384" s="3">
        <f t="shared" si="15"/>
        <v>1.5326579609287081E-2</v>
      </c>
    </row>
    <row r="385" spans="11:14">
      <c r="K385" s="4">
        <v>48897</v>
      </c>
      <c r="L385" s="3">
        <v>1.6561639999999999E-2</v>
      </c>
      <c r="M385" s="3">
        <f t="shared" si="16"/>
        <v>23.00547945205486</v>
      </c>
      <c r="N385" s="3">
        <f t="shared" si="15"/>
        <v>1.5834835547766764E-2</v>
      </c>
    </row>
    <row r="386" spans="11:14">
      <c r="K386" s="4">
        <v>48927</v>
      </c>
      <c r="L386" s="3">
        <v>1.6027400000000001E-2</v>
      </c>
      <c r="M386" s="3">
        <f t="shared" si="16"/>
        <v>23.087671232876779</v>
      </c>
      <c r="N386" s="3">
        <f t="shared" si="15"/>
        <v>1.5321583834810488E-2</v>
      </c>
    </row>
    <row r="387" spans="11:14">
      <c r="K387" s="4">
        <v>48958</v>
      </c>
      <c r="L387" s="3">
        <v>1.6561639999999999E-2</v>
      </c>
      <c r="M387" s="3">
        <f t="shared" si="16"/>
        <v>23.172602739726095</v>
      </c>
      <c r="N387" s="3">
        <f t="shared" si="15"/>
        <v>1.5829674104751609E-2</v>
      </c>
    </row>
    <row r="388" spans="11:14">
      <c r="K388" s="4">
        <v>48989</v>
      </c>
      <c r="L388" s="3">
        <v>1.6561639999999999E-2</v>
      </c>
      <c r="M388" s="3">
        <f t="shared" si="16"/>
        <v>23.25753424657541</v>
      </c>
      <c r="N388" s="3">
        <f t="shared" si="15"/>
        <v>1.5827051721114403E-2</v>
      </c>
    </row>
    <row r="389" spans="11:14">
      <c r="K389" s="4">
        <v>49017</v>
      </c>
      <c r="L389" s="3">
        <v>1.4958900000000001E-2</v>
      </c>
      <c r="M389" s="3">
        <f t="shared" si="16"/>
        <v>23.334246575342533</v>
      </c>
      <c r="N389" s="3">
        <f t="shared" si="15"/>
        <v>1.4293261890592514E-2</v>
      </c>
    </row>
    <row r="390" spans="11:14">
      <c r="K390" s="4">
        <v>49048</v>
      </c>
      <c r="L390" s="3">
        <v>1.6561639999999999E-2</v>
      </c>
      <c r="M390" s="3">
        <f t="shared" si="16"/>
        <v>23.419178082191848</v>
      </c>
      <c r="N390" s="3">
        <f t="shared" si="15"/>
        <v>1.5822061933063878E-2</v>
      </c>
    </row>
    <row r="391" spans="11:14">
      <c r="K391" s="4">
        <v>49078</v>
      </c>
      <c r="L391" s="3">
        <v>1.6027400000000001E-2</v>
      </c>
      <c r="M391" s="3">
        <f t="shared" si="16"/>
        <v>23.501369863013768</v>
      </c>
      <c r="N391" s="3">
        <f t="shared" si="15"/>
        <v>1.5309224249012864E-2</v>
      </c>
    </row>
    <row r="392" spans="11:14">
      <c r="K392" s="4">
        <v>49109</v>
      </c>
      <c r="L392" s="3">
        <v>1.6561639999999999E-2</v>
      </c>
      <c r="M392" s="3">
        <f t="shared" si="16"/>
        <v>23.586301369863083</v>
      </c>
      <c r="N392" s="3">
        <f t="shared" si="15"/>
        <v>1.5816904653671655E-2</v>
      </c>
    </row>
    <row r="393" spans="11:14">
      <c r="K393" s="4">
        <v>49139</v>
      </c>
      <c r="L393" s="3">
        <v>1.6027400000000001E-2</v>
      </c>
      <c r="M393" s="3">
        <f t="shared" si="16"/>
        <v>23.668493150685002</v>
      </c>
      <c r="N393" s="3">
        <f t="shared" si="15"/>
        <v>1.5304234131601847E-2</v>
      </c>
    </row>
    <row r="394" spans="11:14">
      <c r="K394" s="4">
        <v>49170</v>
      </c>
      <c r="L394" s="3">
        <v>1.6561639999999999E-2</v>
      </c>
      <c r="M394" s="3">
        <f t="shared" si="16"/>
        <v>23.753424657534318</v>
      </c>
      <c r="N394" s="3">
        <f t="shared" si="15"/>
        <v>1.5811749055320169E-2</v>
      </c>
    </row>
    <row r="395" spans="11:14">
      <c r="K395" s="4">
        <v>49201</v>
      </c>
      <c r="L395" s="3">
        <v>1.6561639999999999E-2</v>
      </c>
      <c r="M395" s="3">
        <f t="shared" si="16"/>
        <v>23.838356164383633</v>
      </c>
      <c r="N395" s="3">
        <f t="shared" si="15"/>
        <v>1.5809129641191744E-2</v>
      </c>
    </row>
    <row r="396" spans="11:14">
      <c r="K396" s="4">
        <v>49231</v>
      </c>
      <c r="L396" s="3">
        <v>1.6027400000000001E-2</v>
      </c>
      <c r="M396" s="3">
        <f t="shared" si="16"/>
        <v>23.920547945205552</v>
      </c>
      <c r="N396" s="3">
        <f t="shared" si="15"/>
        <v>1.5296711129220908E-2</v>
      </c>
    </row>
    <row r="397" spans="11:14">
      <c r="K397" s="4">
        <v>49262</v>
      </c>
      <c r="L397" s="3">
        <v>1.6561639999999999E-2</v>
      </c>
      <c r="M397" s="3">
        <f t="shared" si="16"/>
        <v>24.005479452054868</v>
      </c>
      <c r="N397" s="3">
        <f t="shared" si="15"/>
        <v>1.5803976577144056E-2</v>
      </c>
    </row>
    <row r="398" spans="11:14">
      <c r="K398" s="4">
        <v>49292</v>
      </c>
      <c r="L398" s="3">
        <v>1.6027400000000001E-2</v>
      </c>
      <c r="M398" s="3">
        <f t="shared" si="16"/>
        <v>24.087671232876787</v>
      </c>
      <c r="N398" s="3">
        <f t="shared" si="15"/>
        <v>1.5291725090523215E-2</v>
      </c>
    </row>
    <row r="399" spans="11:14">
      <c r="K399" s="4">
        <v>49323</v>
      </c>
      <c r="L399" s="3">
        <v>1.6561639999999999E-2</v>
      </c>
      <c r="M399" s="3">
        <f t="shared" si="16"/>
        <v>24.172602739726102</v>
      </c>
      <c r="N399" s="3">
        <f t="shared" si="15"/>
        <v>1.57988251927631E-2</v>
      </c>
    </row>
    <row r="400" spans="11:14">
      <c r="K400" s="4">
        <v>49354</v>
      </c>
      <c r="L400" s="3">
        <v>1.6561639999999999E-2</v>
      </c>
      <c r="M400" s="3">
        <f t="shared" si="16"/>
        <v>24.257534246575418</v>
      </c>
      <c r="N400" s="3">
        <f t="shared" si="15"/>
        <v>1.5796207919634261E-2</v>
      </c>
    </row>
    <row r="401" spans="11:14">
      <c r="K401" s="4">
        <v>49382</v>
      </c>
      <c r="L401" s="3">
        <v>1.4958900000000001E-2</v>
      </c>
      <c r="M401" s="3">
        <f t="shared" si="16"/>
        <v>24.33424657534254</v>
      </c>
      <c r="N401" s="3">
        <f t="shared" si="15"/>
        <v>1.4265407142909539E-2</v>
      </c>
    </row>
    <row r="402" spans="11:14">
      <c r="K402" s="4">
        <v>49413</v>
      </c>
      <c r="L402" s="3">
        <v>1.6561639999999999E-2</v>
      </c>
      <c r="M402" s="3">
        <f t="shared" si="16"/>
        <v>24.419178082191856</v>
      </c>
      <c r="N402" s="3">
        <f t="shared" si="15"/>
        <v>1.5791227855696279E-2</v>
      </c>
    </row>
    <row r="403" spans="11:14">
      <c r="K403" s="4">
        <v>49443</v>
      </c>
      <c r="L403" s="3">
        <v>1.6027400000000001E-2</v>
      </c>
      <c r="M403" s="3">
        <f t="shared" si="16"/>
        <v>24.501369863013775</v>
      </c>
      <c r="N403" s="3">
        <f t="shared" si="15"/>
        <v>1.5279389591120041E-2</v>
      </c>
    </row>
    <row r="404" spans="11:14">
      <c r="K404" s="4">
        <v>49474</v>
      </c>
      <c r="L404" s="3">
        <v>1.6561639999999999E-2</v>
      </c>
      <c r="M404" s="3">
        <f t="shared" si="16"/>
        <v>24.58630136986309</v>
      </c>
      <c r="N404" s="3">
        <f t="shared" si="15"/>
        <v>1.5786080626824173E-2</v>
      </c>
    </row>
    <row r="405" spans="11:14">
      <c r="K405" s="4">
        <v>49504</v>
      </c>
      <c r="L405" s="3">
        <v>1.6027400000000001E-2</v>
      </c>
      <c r="M405" s="3">
        <f t="shared" si="16"/>
        <v>24.668493150685009</v>
      </c>
      <c r="N405" s="3">
        <f t="shared" si="15"/>
        <v>1.527440919846342E-2</v>
      </c>
    </row>
    <row r="406" spans="11:14">
      <c r="K406" s="4">
        <v>49535</v>
      </c>
      <c r="L406" s="3">
        <v>1.6561639999999999E-2</v>
      </c>
      <c r="M406" s="3">
        <f t="shared" si="16"/>
        <v>24.753424657534325</v>
      </c>
      <c r="N406" s="3">
        <f t="shared" si="15"/>
        <v>1.578093507571679E-2</v>
      </c>
    </row>
    <row r="407" spans="11:14">
      <c r="K407" s="4">
        <v>49566</v>
      </c>
      <c r="L407" s="3">
        <v>1.6561639999999999E-2</v>
      </c>
      <c r="M407" s="3">
        <f t="shared" si="16"/>
        <v>24.83835616438364</v>
      </c>
      <c r="N407" s="3">
        <f t="shared" si="15"/>
        <v>1.577832076630975E-2</v>
      </c>
    </row>
    <row r="408" spans="11:14">
      <c r="K408" s="4">
        <v>49596</v>
      </c>
      <c r="L408" s="3">
        <v>1.6027400000000001E-2</v>
      </c>
      <c r="M408" s="3">
        <f t="shared" si="16"/>
        <v>24.920547945205559</v>
      </c>
      <c r="N408" s="3">
        <f t="shared" si="15"/>
        <v>1.5266900856930004E-2</v>
      </c>
    </row>
    <row r="409" spans="11:14">
      <c r="K409" s="4">
        <v>49627</v>
      </c>
      <c r="L409" s="3">
        <v>1.6561639999999999E-2</v>
      </c>
      <c r="M409" s="3">
        <f t="shared" si="16"/>
        <v>25.005479452054875</v>
      </c>
      <c r="N409" s="3">
        <f t="shared" si="15"/>
        <v>1.577317774456731E-2</v>
      </c>
    </row>
    <row r="410" spans="11:14">
      <c r="K410" s="4">
        <v>49657</v>
      </c>
      <c r="L410" s="3">
        <v>1.6027400000000001E-2</v>
      </c>
      <c r="M410" s="3">
        <f t="shared" si="16"/>
        <v>25.087671232876794</v>
      </c>
      <c r="N410" s="3">
        <f t="shared" si="15"/>
        <v>1.5261924535038095E-2</v>
      </c>
    </row>
    <row r="411" spans="11:14">
      <c r="K411" s="4">
        <v>49688</v>
      </c>
      <c r="L411" s="3">
        <v>1.6561639999999999E-2</v>
      </c>
      <c r="M411" s="3">
        <f t="shared" si="16"/>
        <v>25.172602739726109</v>
      </c>
      <c r="N411" s="3">
        <f t="shared" si="15"/>
        <v>1.5768036399218258E-2</v>
      </c>
    </row>
    <row r="412" spans="11:14">
      <c r="K412" s="4">
        <v>49719</v>
      </c>
      <c r="L412" s="3">
        <v>1.6561639999999999E-2</v>
      </c>
      <c r="M412" s="3">
        <f t="shared" si="16"/>
        <v>25.257534246575425</v>
      </c>
      <c r="N412" s="3">
        <f t="shared" si="15"/>
        <v>1.5765424226638416E-2</v>
      </c>
    </row>
    <row r="413" spans="11:14">
      <c r="K413" s="4">
        <v>49748</v>
      </c>
      <c r="L413" s="3">
        <v>1.5493150000000001E-2</v>
      </c>
      <c r="M413" s="3">
        <f t="shared" si="16"/>
        <v>25.336986301369944</v>
      </c>
      <c r="N413" s="3">
        <f t="shared" si="15"/>
        <v>1.4746017221914634E-2</v>
      </c>
    </row>
    <row r="414" spans="11:14">
      <c r="K414" s="4">
        <v>49779</v>
      </c>
      <c r="L414" s="3">
        <v>1.6561639999999999E-2</v>
      </c>
      <c r="M414" s="3">
        <f t="shared" si="16"/>
        <v>25.421917808219259</v>
      </c>
      <c r="N414" s="3">
        <f t="shared" si="15"/>
        <v>1.576036963799967E-2</v>
      </c>
    </row>
    <row r="415" spans="11:14">
      <c r="K415" s="4">
        <v>49809</v>
      </c>
      <c r="L415" s="3">
        <v>1.6027400000000001E-2</v>
      </c>
      <c r="M415" s="3">
        <f t="shared" si="16"/>
        <v>25.504109589041178</v>
      </c>
      <c r="N415" s="3">
        <f t="shared" si="15"/>
        <v>1.5249531575354412E-2</v>
      </c>
    </row>
    <row r="416" spans="11:14">
      <c r="K416" s="4">
        <v>49840</v>
      </c>
      <c r="L416" s="3">
        <v>1.6561639999999999E-2</v>
      </c>
      <c r="M416" s="3">
        <f t="shared" si="16"/>
        <v>25.589041095890494</v>
      </c>
      <c r="N416" s="3">
        <f t="shared" si="15"/>
        <v>1.5755232467516346E-2</v>
      </c>
    </row>
    <row r="417" spans="11:14">
      <c r="K417" s="4">
        <v>49870</v>
      </c>
      <c r="L417" s="3">
        <v>1.6027400000000001E-2</v>
      </c>
      <c r="M417" s="3">
        <f t="shared" si="16"/>
        <v>25.671232876712413</v>
      </c>
      <c r="N417" s="3">
        <f t="shared" si="15"/>
        <v>1.5244560915065796E-2</v>
      </c>
    </row>
    <row r="418" spans="11:14">
      <c r="K418" s="4">
        <v>49901</v>
      </c>
      <c r="L418" s="3">
        <v>1.6561639999999999E-2</v>
      </c>
      <c r="M418" s="3">
        <f t="shared" si="16"/>
        <v>25.756164383561728</v>
      </c>
      <c r="N418" s="3">
        <f t="shared" si="15"/>
        <v>1.5750096971519158E-2</v>
      </c>
    </row>
    <row r="419" spans="11:14">
      <c r="K419" s="4">
        <v>49932</v>
      </c>
      <c r="L419" s="3">
        <v>1.6561639999999999E-2</v>
      </c>
      <c r="M419" s="3">
        <f t="shared" si="16"/>
        <v>25.841095890411044</v>
      </c>
      <c r="N419" s="3">
        <f t="shared" si="15"/>
        <v>1.5747487770830047E-2</v>
      </c>
    </row>
    <row r="420" spans="11:14">
      <c r="K420" s="4">
        <v>49962</v>
      </c>
      <c r="L420" s="3">
        <v>1.6027400000000001E-2</v>
      </c>
      <c r="M420" s="3">
        <f t="shared" si="16"/>
        <v>25.923287671232963</v>
      </c>
      <c r="N420" s="3">
        <f t="shared" si="15"/>
        <v>1.5237067245858035E-2</v>
      </c>
    </row>
    <row r="421" spans="11:14">
      <c r="K421" s="4">
        <v>49993</v>
      </c>
      <c r="L421" s="3">
        <v>1.6561639999999999E-2</v>
      </c>
      <c r="M421" s="3">
        <f t="shared" si="16"/>
        <v>26.008219178082278</v>
      </c>
      <c r="N421" s="3">
        <f t="shared" si="15"/>
        <v>1.5742354799255075E-2</v>
      </c>
    </row>
    <row r="422" spans="11:14">
      <c r="K422" s="4">
        <v>50023</v>
      </c>
      <c r="L422" s="3">
        <v>1.6027400000000001E-2</v>
      </c>
      <c r="M422" s="3">
        <f t="shared" si="16"/>
        <v>26.090410958904197</v>
      </c>
      <c r="N422" s="3">
        <f t="shared" si="15"/>
        <v>1.5232100648379305E-2</v>
      </c>
    </row>
    <row r="423" spans="11:14">
      <c r="K423" s="4">
        <v>50054</v>
      </c>
      <c r="L423" s="3">
        <v>1.6561639999999999E-2</v>
      </c>
      <c r="M423" s="3">
        <f t="shared" si="16"/>
        <v>26.175342465753513</v>
      </c>
      <c r="N423" s="3">
        <f t="shared" si="15"/>
        <v>1.5737223500797592E-2</v>
      </c>
    </row>
    <row r="424" spans="11:14">
      <c r="K424" s="4">
        <v>50085</v>
      </c>
      <c r="L424" s="3">
        <v>1.6561639999999999E-2</v>
      </c>
      <c r="M424" s="3">
        <f t="shared" si="16"/>
        <v>26.260273972602828</v>
      </c>
      <c r="N424" s="3">
        <f t="shared" si="15"/>
        <v>1.5734616432760029E-2</v>
      </c>
    </row>
    <row r="425" spans="11:14">
      <c r="K425" s="4">
        <v>50113</v>
      </c>
      <c r="L425" s="3">
        <v>1.4958900000000001E-2</v>
      </c>
      <c r="M425" s="3">
        <f t="shared" si="16"/>
        <v>26.336986301369951</v>
      </c>
      <c r="N425" s="3">
        <f t="shared" si="15"/>
        <v>1.4209784449078947E-2</v>
      </c>
    </row>
    <row r="426" spans="11:14">
      <c r="K426" s="4">
        <v>50144</v>
      </c>
      <c r="L426" s="3">
        <v>1.6561639999999999E-2</v>
      </c>
      <c r="M426" s="3">
        <f t="shared" si="16"/>
        <v>26.421917808219266</v>
      </c>
      <c r="N426" s="3">
        <f t="shared" si="15"/>
        <v>1.5729655786744637E-2</v>
      </c>
    </row>
    <row r="427" spans="11:14">
      <c r="K427" s="4">
        <v>50174</v>
      </c>
      <c r="L427" s="3">
        <v>1.6027400000000001E-2</v>
      </c>
      <c r="M427" s="3">
        <f t="shared" si="16"/>
        <v>26.504109589041185</v>
      </c>
      <c r="N427" s="3">
        <f t="shared" si="15"/>
        <v>1.5219813246706515E-2</v>
      </c>
    </row>
    <row r="428" spans="11:14">
      <c r="K428" s="4">
        <v>50205</v>
      </c>
      <c r="L428" s="3">
        <v>1.6561639999999999E-2</v>
      </c>
      <c r="M428" s="3">
        <f t="shared" si="16"/>
        <v>26.589041095890501</v>
      </c>
      <c r="N428" s="3">
        <f t="shared" si="15"/>
        <v>1.5724528627593132E-2</v>
      </c>
    </row>
    <row r="429" spans="11:14">
      <c r="K429" s="4">
        <v>50235</v>
      </c>
      <c r="L429" s="3">
        <v>1.6027400000000001E-2</v>
      </c>
      <c r="M429" s="3">
        <f t="shared" si="16"/>
        <v>26.67123287671242</v>
      </c>
      <c r="N429" s="3">
        <f t="shared" si="15"/>
        <v>1.5214852273254203E-2</v>
      </c>
    </row>
    <row r="430" spans="11:14">
      <c r="K430" s="4">
        <v>50266</v>
      </c>
      <c r="L430" s="3">
        <v>1.6561639999999999E-2</v>
      </c>
      <c r="M430" s="3">
        <f t="shared" si="16"/>
        <v>26.756164383561735</v>
      </c>
      <c r="N430" s="3">
        <f t="shared" si="15"/>
        <v>1.5719403139664526E-2</v>
      </c>
    </row>
    <row r="431" spans="11:14">
      <c r="K431" s="4">
        <v>50297</v>
      </c>
      <c r="L431" s="3">
        <v>1.6561639999999999E-2</v>
      </c>
      <c r="M431" s="3">
        <f t="shared" si="16"/>
        <v>26.841095890411051</v>
      </c>
      <c r="N431" s="3">
        <f t="shared" si="15"/>
        <v>1.5716799023792818E-2</v>
      </c>
    </row>
    <row r="432" spans="11:14">
      <c r="K432" s="4">
        <v>50327</v>
      </c>
      <c r="L432" s="3">
        <v>1.6027400000000001E-2</v>
      </c>
      <c r="M432" s="3">
        <f t="shared" si="16"/>
        <v>26.92328767123297</v>
      </c>
      <c r="N432" s="3">
        <f t="shared" ref="N432:N447" si="17">L432/(1+Q$109)^M432</f>
        <v>1.5207373207729392E-2</v>
      </c>
    </row>
    <row r="433" spans="11:14">
      <c r="K433" s="4">
        <v>50358</v>
      </c>
      <c r="L433" s="3">
        <v>1.6561639999999999E-2</v>
      </c>
      <c r="M433" s="3">
        <f t="shared" ref="M433:M447" si="18">(K433-K432)/365+M432</f>
        <v>27.008219178082285</v>
      </c>
      <c r="N433" s="3">
        <f t="shared" si="17"/>
        <v>1.5711676055366827E-2</v>
      </c>
    </row>
    <row r="434" spans="11:14">
      <c r="K434" s="4">
        <v>50388</v>
      </c>
      <c r="L434" s="3">
        <v>1.6027400000000001E-2</v>
      </c>
      <c r="M434" s="3">
        <f t="shared" si="18"/>
        <v>27.090410958904204</v>
      </c>
      <c r="N434" s="3">
        <f t="shared" si="17"/>
        <v>1.5202416289169352E-2</v>
      </c>
    </row>
    <row r="435" spans="11:14">
      <c r="K435" s="4">
        <v>50419</v>
      </c>
      <c r="L435" s="3">
        <v>1.6561639999999999E-2</v>
      </c>
      <c r="M435" s="3">
        <f t="shared" si="18"/>
        <v>27.17534246575352</v>
      </c>
      <c r="N435" s="3">
        <f t="shared" si="17"/>
        <v>1.5706554756797751E-2</v>
      </c>
    </row>
    <row r="436" spans="11:14">
      <c r="K436" s="4">
        <v>50450</v>
      </c>
      <c r="L436" s="3">
        <v>1.6561639999999999E-2</v>
      </c>
      <c r="M436" s="3">
        <f t="shared" si="18"/>
        <v>27.260273972602835</v>
      </c>
      <c r="N436" s="3">
        <f t="shared" si="17"/>
        <v>1.5703952769421471E-2</v>
      </c>
    </row>
    <row r="437" spans="11:14">
      <c r="K437" s="4">
        <v>50478</v>
      </c>
      <c r="L437" s="3">
        <v>1.4958900000000001E-2</v>
      </c>
      <c r="M437" s="3">
        <f t="shared" si="18"/>
        <v>27.336986301369958</v>
      </c>
      <c r="N437" s="3">
        <f t="shared" si="17"/>
        <v>1.4182092382461245E-2</v>
      </c>
    </row>
    <row r="438" spans="11:14">
      <c r="K438" s="4">
        <v>50509</v>
      </c>
      <c r="L438" s="3">
        <v>1.6561639999999999E-2</v>
      </c>
      <c r="M438" s="3">
        <f t="shared" si="18"/>
        <v>27.421917808219273</v>
      </c>
      <c r="N438" s="3">
        <f t="shared" si="17"/>
        <v>1.569900179072654E-2</v>
      </c>
    </row>
    <row r="439" spans="11:14">
      <c r="K439" s="4">
        <v>50539</v>
      </c>
      <c r="L439" s="3">
        <v>1.6027400000000001E-2</v>
      </c>
      <c r="M439" s="3">
        <f t="shared" si="18"/>
        <v>27.504109589041192</v>
      </c>
      <c r="N439" s="3">
        <f t="shared" si="17"/>
        <v>1.5190152833218394E-2</v>
      </c>
    </row>
    <row r="440" spans="11:14">
      <c r="K440" s="4">
        <v>50570</v>
      </c>
      <c r="L440" s="3">
        <v>1.6561639999999999E-2</v>
      </c>
      <c r="M440" s="3">
        <f t="shared" si="18"/>
        <v>27.589041095890508</v>
      </c>
      <c r="N440" s="3">
        <f t="shared" si="17"/>
        <v>1.5693884623396749E-2</v>
      </c>
    </row>
    <row r="441" spans="11:14">
      <c r="K441" s="4">
        <v>50600</v>
      </c>
      <c r="L441" s="3">
        <v>1.6027400000000001E-2</v>
      </c>
      <c r="M441" s="3">
        <f t="shared" si="18"/>
        <v>27.671232876712427</v>
      </c>
      <c r="N441" s="3">
        <f t="shared" si="17"/>
        <v>1.5185201527724649E-2</v>
      </c>
    </row>
    <row r="442" spans="11:14">
      <c r="K442" s="4">
        <v>50631</v>
      </c>
      <c r="L442" s="3">
        <v>1.6561639999999999E-2</v>
      </c>
      <c r="M442" s="3">
        <f t="shared" si="18"/>
        <v>27.756164383561742</v>
      </c>
      <c r="N442" s="3">
        <f t="shared" si="17"/>
        <v>1.568876912403297E-2</v>
      </c>
    </row>
    <row r="443" spans="11:14">
      <c r="K443" s="4">
        <v>50662</v>
      </c>
      <c r="L443" s="3">
        <v>1.6561639999999999E-2</v>
      </c>
      <c r="M443" s="3">
        <f t="shared" si="18"/>
        <v>27.841095890411058</v>
      </c>
      <c r="N443" s="3">
        <f t="shared" si="17"/>
        <v>1.5686170083069363E-2</v>
      </c>
    </row>
    <row r="444" spans="11:14">
      <c r="K444" s="4">
        <v>50692</v>
      </c>
      <c r="L444" s="3">
        <v>1.6027400000000001E-2</v>
      </c>
      <c r="M444" s="3">
        <f t="shared" si="18"/>
        <v>27.923287671232977</v>
      </c>
      <c r="N444" s="3">
        <f t="shared" si="17"/>
        <v>1.5177737037423093E-2</v>
      </c>
    </row>
    <row r="445" spans="11:14">
      <c r="K445" s="4">
        <v>50723</v>
      </c>
      <c r="L445" s="3">
        <v>1.6561639999999999E-2</v>
      </c>
      <c r="M445" s="3">
        <f t="shared" si="18"/>
        <v>28.008219178082292</v>
      </c>
      <c r="N445" s="3">
        <f t="shared" si="17"/>
        <v>1.5681057098298187E-2</v>
      </c>
    </row>
    <row r="446" spans="11:14">
      <c r="K446" s="4">
        <v>50753</v>
      </c>
      <c r="L446" s="3">
        <v>1.6027400000000001E-2</v>
      </c>
      <c r="M446" s="3">
        <f t="shared" si="18"/>
        <v>28.090410958904211</v>
      </c>
      <c r="N446" s="3">
        <f t="shared" si="17"/>
        <v>1.5172789778919437E-2</v>
      </c>
    </row>
    <row r="447" spans="11:14">
      <c r="K447" s="4">
        <v>50784</v>
      </c>
      <c r="L447" s="3">
        <v>1.6561639999999999E-2</v>
      </c>
      <c r="M447" s="3">
        <f t="shared" si="18"/>
        <v>28.175342465753527</v>
      </c>
      <c r="N447" s="3">
        <f t="shared" si="17"/>
        <v>1.5675945780129701E-2</v>
      </c>
    </row>
    <row r="448" spans="11:14">
      <c r="K448" s="4">
        <v>50796</v>
      </c>
      <c r="L448" s="3">
        <v>100.00641096</v>
      </c>
      <c r="M448" s="3">
        <f>(K448-K447)/365+M447</f>
        <v>28.208219178082295</v>
      </c>
      <c r="N448" s="3">
        <f>L448/(1+Q$109)^M448</f>
        <v>94.652132187448331</v>
      </c>
    </row>
  </sheetData>
  <phoneticPr fontId="1" type="noConversion"/>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dimension ref="A1:Q184"/>
  <sheetViews>
    <sheetView tabSelected="1" workbookViewId="0">
      <pane ySplit="8" topLeftCell="A165" activePane="bottomLeft" state="frozen"/>
      <selection pane="bottomLeft" activeCell="C148" sqref="C148"/>
    </sheetView>
  </sheetViews>
  <sheetFormatPr defaultRowHeight="13.5" outlineLevelRow="1"/>
  <cols>
    <col min="1" max="1" width="43.5" customWidth="1"/>
    <col min="2" max="2" width="38.125" bestFit="1" customWidth="1"/>
    <col min="3" max="3" width="15" customWidth="1"/>
    <col min="4" max="4" width="16" customWidth="1"/>
    <col min="5" max="5" width="12.75" bestFit="1" customWidth="1"/>
    <col min="6" max="6" width="14" customWidth="1"/>
    <col min="7" max="7" width="10.5" bestFit="1" customWidth="1"/>
    <col min="9" max="10" width="11.625" bestFit="1" customWidth="1"/>
    <col min="11" max="12" width="12.75" bestFit="1" customWidth="1"/>
    <col min="13" max="13" width="13" bestFit="1" customWidth="1"/>
    <col min="14" max="14" width="12.75" bestFit="1" customWidth="1"/>
    <col min="15" max="15" width="13" bestFit="1" customWidth="1"/>
    <col min="17" max="17" width="20.5" bestFit="1" customWidth="1"/>
  </cols>
  <sheetData>
    <row r="1" spans="1:5">
      <c r="A1" s="35" t="s">
        <v>212</v>
      </c>
    </row>
    <row r="2" spans="1:5">
      <c r="A2" t="s">
        <v>36</v>
      </c>
      <c r="D2" s="35" t="s">
        <v>95</v>
      </c>
      <c r="E2" s="35" t="s">
        <v>80</v>
      </c>
    </row>
    <row r="3" spans="1:5">
      <c r="A3" s="28" t="s">
        <v>34</v>
      </c>
      <c r="D3" s="35" t="s">
        <v>103</v>
      </c>
      <c r="E3" s="35" t="s">
        <v>81</v>
      </c>
    </row>
    <row r="4" spans="1:5">
      <c r="A4" s="28" t="s">
        <v>35</v>
      </c>
      <c r="D4" s="35" t="s">
        <v>105</v>
      </c>
      <c r="E4" s="35" t="s">
        <v>82</v>
      </c>
    </row>
    <row r="5" spans="1:5">
      <c r="A5" s="28" t="s">
        <v>38</v>
      </c>
      <c r="D5" s="35" t="s">
        <v>83</v>
      </c>
      <c r="E5" s="35" t="s">
        <v>84</v>
      </c>
    </row>
    <row r="6" spans="1:5">
      <c r="A6" s="28" t="s">
        <v>41</v>
      </c>
      <c r="D6" s="35" t="s">
        <v>115</v>
      </c>
      <c r="E6" s="35" t="s">
        <v>85</v>
      </c>
    </row>
    <row r="7" spans="1:5">
      <c r="A7" s="28" t="s">
        <v>33</v>
      </c>
      <c r="D7" s="35" t="s">
        <v>86</v>
      </c>
      <c r="E7" s="35" t="s">
        <v>87</v>
      </c>
    </row>
    <row r="8" spans="1:5" ht="26.25">
      <c r="A8" s="28" t="s">
        <v>44</v>
      </c>
      <c r="D8" s="35" t="s">
        <v>88</v>
      </c>
      <c r="E8" s="35" t="s">
        <v>89</v>
      </c>
    </row>
    <row r="9" spans="1:5">
      <c r="A9" s="29">
        <v>10217</v>
      </c>
      <c r="B9" t="s">
        <v>37</v>
      </c>
      <c r="C9">
        <v>3.9E-2</v>
      </c>
      <c r="D9" s="35" t="s">
        <v>112</v>
      </c>
      <c r="E9" s="35" t="s">
        <v>90</v>
      </c>
    </row>
    <row r="10" spans="1:5">
      <c r="A10" t="s">
        <v>39</v>
      </c>
      <c r="C10">
        <v>0</v>
      </c>
      <c r="D10" s="35" t="s">
        <v>91</v>
      </c>
      <c r="E10" s="35" t="s">
        <v>92</v>
      </c>
    </row>
    <row r="11" spans="1:5">
      <c r="A11" t="s">
        <v>40</v>
      </c>
      <c r="C11">
        <v>0</v>
      </c>
    </row>
    <row r="12" spans="1:5">
      <c r="A12" t="s">
        <v>42</v>
      </c>
      <c r="C12">
        <v>500000000</v>
      </c>
    </row>
    <row r="13" spans="1:5">
      <c r="A13" s="28" t="s">
        <v>43</v>
      </c>
      <c r="C13">
        <v>98.1233</v>
      </c>
    </row>
    <row r="14" spans="1:5">
      <c r="A14" t="s">
        <v>45</v>
      </c>
      <c r="C14">
        <v>96.431200000000004</v>
      </c>
    </row>
    <row r="15" spans="1:5">
      <c r="A15" s="40" t="s">
        <v>121</v>
      </c>
    </row>
    <row r="16" spans="1:5">
      <c r="A16" s="28" t="s">
        <v>46</v>
      </c>
    </row>
    <row r="17" spans="1:17" ht="27">
      <c r="A17" s="28" t="s">
        <v>47</v>
      </c>
      <c r="B17">
        <v>98.1233</v>
      </c>
      <c r="D17" s="28" t="s">
        <v>48</v>
      </c>
      <c r="E17">
        <v>3.5687671232876701</v>
      </c>
      <c r="G17" s="32">
        <f>E17+C14</f>
        <v>99.999967123287675</v>
      </c>
    </row>
    <row r="18" spans="1:17">
      <c r="A18" s="28" t="s">
        <v>49</v>
      </c>
      <c r="B18">
        <f>B17+E17</f>
        <v>101.69206712328767</v>
      </c>
      <c r="D18" s="28" t="s">
        <v>50</v>
      </c>
      <c r="E18">
        <v>500000000</v>
      </c>
    </row>
    <row r="19" spans="1:17" ht="26.25">
      <c r="A19" s="28" t="s">
        <v>51</v>
      </c>
      <c r="B19" s="36">
        <f>B17*E18/100</f>
        <v>490616500</v>
      </c>
      <c r="D19" s="28" t="s">
        <v>52</v>
      </c>
      <c r="E19">
        <f>E17*E18/100</f>
        <v>17843835.616438352</v>
      </c>
    </row>
    <row r="20" spans="1:17">
      <c r="A20" s="28" t="s">
        <v>53</v>
      </c>
      <c r="B20">
        <f>B19+E17*E18/100</f>
        <v>508460335.61643833</v>
      </c>
      <c r="D20" s="28" t="s">
        <v>54</v>
      </c>
    </row>
    <row r="21" spans="1:17">
      <c r="A21" s="31"/>
    </row>
    <row r="22" spans="1:17">
      <c r="A22" s="28" t="s">
        <v>55</v>
      </c>
      <c r="B22">
        <v>0</v>
      </c>
    </row>
    <row r="23" spans="1:17">
      <c r="A23" s="28" t="s">
        <v>56</v>
      </c>
      <c r="B23">
        <v>0</v>
      </c>
      <c r="D23" s="36"/>
      <c r="I23" s="25">
        <v>10217</v>
      </c>
      <c r="J23" s="4">
        <v>40463</v>
      </c>
      <c r="K23" s="3" t="s">
        <v>73</v>
      </c>
      <c r="L23" s="3"/>
      <c r="M23" s="3"/>
      <c r="N23" s="3"/>
      <c r="O23" s="3"/>
      <c r="P23" s="3"/>
      <c r="Q23" s="3"/>
    </row>
    <row r="24" spans="1:17">
      <c r="A24" s="28" t="s">
        <v>57</v>
      </c>
      <c r="B24">
        <v>0</v>
      </c>
      <c r="I24" s="17" t="s">
        <v>2</v>
      </c>
      <c r="J24" s="5" t="s">
        <v>3</v>
      </c>
      <c r="K24" s="5" t="s">
        <v>4</v>
      </c>
      <c r="L24" s="5" t="s">
        <v>5</v>
      </c>
      <c r="M24" s="5" t="s">
        <v>6</v>
      </c>
      <c r="N24" s="2" t="s">
        <v>7</v>
      </c>
      <c r="O24" s="2" t="s">
        <v>1</v>
      </c>
      <c r="P24" s="3" t="s">
        <v>29</v>
      </c>
      <c r="Q24" s="3" t="s">
        <v>30</v>
      </c>
    </row>
    <row r="25" spans="1:17">
      <c r="I25" s="6">
        <v>40463</v>
      </c>
      <c r="J25" s="6">
        <v>40129</v>
      </c>
      <c r="K25" s="5">
        <f>I25-J25</f>
        <v>334</v>
      </c>
      <c r="L25" s="5">
        <v>3.9</v>
      </c>
      <c r="M25" s="5">
        <v>365</v>
      </c>
      <c r="N25" s="2">
        <f>K25*L25/M25</f>
        <v>3.568767123287671</v>
      </c>
      <c r="O25" s="2">
        <f>1-K25/M25</f>
        <v>8.4931506849315053E-2</v>
      </c>
      <c r="P25" s="3">
        <v>98.1233</v>
      </c>
      <c r="Q25" s="26">
        <f>P25+N25</f>
        <v>101.69206712328767</v>
      </c>
    </row>
    <row r="26" spans="1:17">
      <c r="A26" s="28" t="s">
        <v>119</v>
      </c>
      <c r="B26">
        <f>A29*E18/100</f>
        <v>490616500</v>
      </c>
      <c r="I26" s="3" t="s">
        <v>9</v>
      </c>
      <c r="J26" s="3" t="s">
        <v>10</v>
      </c>
      <c r="K26" s="16" t="s">
        <v>14</v>
      </c>
      <c r="L26" s="16" t="s">
        <v>15</v>
      </c>
      <c r="M26" s="16" t="s">
        <v>16</v>
      </c>
      <c r="N26" s="1" t="s">
        <v>0</v>
      </c>
      <c r="O26" s="3"/>
      <c r="P26" s="3"/>
      <c r="Q26" s="3"/>
    </row>
    <row r="27" spans="1:17">
      <c r="I27" s="4">
        <v>37572</v>
      </c>
      <c r="J27" s="3">
        <v>3.9</v>
      </c>
      <c r="K27" s="3"/>
      <c r="L27" s="3"/>
      <c r="M27" s="3">
        <f>SUM(L35:L36)</f>
        <v>101.69254126585949</v>
      </c>
      <c r="N27" s="23">
        <v>5.7243250360940599E-2</v>
      </c>
      <c r="O27" s="3"/>
      <c r="P27" s="3">
        <f>M27-N25</f>
        <v>98.123774142571818</v>
      </c>
      <c r="Q27" s="3"/>
    </row>
    <row r="28" spans="1:17">
      <c r="A28" s="37" t="s">
        <v>93</v>
      </c>
      <c r="I28" s="4">
        <v>37937</v>
      </c>
      <c r="J28" s="3">
        <v>3.9</v>
      </c>
      <c r="K28" s="3"/>
      <c r="L28" s="3"/>
      <c r="M28" s="3">
        <v>100</v>
      </c>
      <c r="N28" s="3"/>
      <c r="O28" s="3"/>
      <c r="P28" s="3"/>
      <c r="Q28" s="3"/>
    </row>
    <row r="29" spans="1:17">
      <c r="A29">
        <f>B19/E18*100</f>
        <v>98.1233</v>
      </c>
      <c r="D29" s="33"/>
      <c r="E29">
        <v>98.123300000712305</v>
      </c>
      <c r="G29">
        <f>E29*E18/100</f>
        <v>490616500.00356156</v>
      </c>
      <c r="I29" s="4">
        <v>38303</v>
      </c>
      <c r="J29" s="3">
        <v>3.9</v>
      </c>
      <c r="K29" s="3"/>
      <c r="L29" s="3"/>
      <c r="M29" s="3">
        <f>M28+N25</f>
        <v>103.56876712328767</v>
      </c>
      <c r="N29" s="3"/>
      <c r="O29" s="3"/>
      <c r="P29" s="3"/>
      <c r="Q29" s="3"/>
    </row>
    <row r="30" spans="1:17">
      <c r="A30" s="38">
        <f>N27</f>
        <v>5.7243250360940599E-2</v>
      </c>
      <c r="B30" t="s">
        <v>125</v>
      </c>
      <c r="D30">
        <v>5.7247959571999996</v>
      </c>
      <c r="I30" s="4">
        <v>38668</v>
      </c>
      <c r="J30" s="3">
        <v>3.9</v>
      </c>
      <c r="K30" s="3"/>
      <c r="L30" s="3"/>
      <c r="M30" s="3"/>
      <c r="N30" s="3"/>
      <c r="O30" s="3"/>
      <c r="P30" s="3"/>
      <c r="Q30" s="3"/>
    </row>
    <row r="31" spans="1:17">
      <c r="A31">
        <f>A30*A29/365</f>
        <v>1.5388757885319678E-2</v>
      </c>
      <c r="D31" s="33"/>
      <c r="E31">
        <v>5.7247959571999997E-2</v>
      </c>
      <c r="I31" s="4">
        <v>39033</v>
      </c>
      <c r="J31" s="3">
        <v>3.9</v>
      </c>
      <c r="K31" s="3"/>
      <c r="L31" s="3"/>
      <c r="M31" s="3">
        <f>M27-N25</f>
        <v>98.123774142571818</v>
      </c>
      <c r="N31" s="3"/>
      <c r="O31" s="3"/>
      <c r="P31" s="3"/>
      <c r="Q31" s="3"/>
    </row>
    <row r="32" spans="1:17">
      <c r="A32" s="28" t="s">
        <v>59</v>
      </c>
      <c r="B32" t="s">
        <v>60</v>
      </c>
      <c r="I32" s="4">
        <v>39398</v>
      </c>
      <c r="J32" s="3">
        <v>3.9</v>
      </c>
      <c r="K32" s="3"/>
      <c r="L32" s="3"/>
      <c r="M32" s="3"/>
      <c r="N32" s="3"/>
      <c r="O32" s="3"/>
      <c r="P32" s="3"/>
      <c r="Q32" s="3"/>
    </row>
    <row r="33" spans="1:17">
      <c r="A33" t="s">
        <v>62</v>
      </c>
      <c r="B33">
        <v>3.9E-2</v>
      </c>
      <c r="I33" s="4">
        <v>39764</v>
      </c>
      <c r="J33" s="3">
        <v>3.9</v>
      </c>
      <c r="K33" s="3"/>
      <c r="L33" s="3"/>
      <c r="M33" s="3"/>
      <c r="N33" s="3"/>
      <c r="O33" s="3"/>
      <c r="P33" s="3"/>
      <c r="Q33" s="3"/>
    </row>
    <row r="34" spans="1:17">
      <c r="A34" s="30" t="s">
        <v>94</v>
      </c>
      <c r="E34">
        <f>G29*E31/365</f>
        <v>76950.119335780895</v>
      </c>
      <c r="I34" s="4">
        <v>40129</v>
      </c>
      <c r="J34" s="3">
        <v>3.9</v>
      </c>
      <c r="K34" s="3"/>
      <c r="L34" s="3"/>
      <c r="M34" s="3"/>
      <c r="N34" s="3"/>
      <c r="O34" s="3"/>
      <c r="P34" s="3"/>
      <c r="Q34" s="3"/>
    </row>
    <row r="35" spans="1:17">
      <c r="A35" s="30" t="s">
        <v>170</v>
      </c>
      <c r="B35">
        <f>B19*A30/365</f>
        <v>76943.789426598392</v>
      </c>
      <c r="I35" s="4">
        <v>40494</v>
      </c>
      <c r="J35" s="3">
        <v>3.9</v>
      </c>
      <c r="K35" s="3">
        <f>O25</f>
        <v>8.4931506849315053E-2</v>
      </c>
      <c r="L35" s="3">
        <f>J35/(1+N27)^K35</f>
        <v>3.881605499859063</v>
      </c>
      <c r="M35" s="3"/>
      <c r="N35" s="3"/>
      <c r="O35" s="3"/>
      <c r="P35" s="3"/>
      <c r="Q35" s="3"/>
    </row>
    <row r="36" spans="1:17">
      <c r="A36" s="30" t="s">
        <v>61</v>
      </c>
      <c r="B36">
        <f>E18*B33*1/365</f>
        <v>53424.657534246573</v>
      </c>
      <c r="E36">
        <f>E34-B36</f>
        <v>23525.461801534322</v>
      </c>
      <c r="I36" s="4">
        <v>40859</v>
      </c>
      <c r="J36" s="3">
        <v>103.9</v>
      </c>
      <c r="K36" s="3">
        <f>1+K35</f>
        <v>1.0849315068493151</v>
      </c>
      <c r="L36" s="3">
        <f>J36/(1+N27)^K36</f>
        <v>97.810935766000426</v>
      </c>
      <c r="M36" s="3"/>
      <c r="N36" s="3"/>
      <c r="O36" s="3"/>
      <c r="P36" s="3"/>
      <c r="Q36" s="3"/>
    </row>
    <row r="37" spans="1:17">
      <c r="A37">
        <v>24130.886399999999</v>
      </c>
      <c r="B37" s="40">
        <f>B35-B36</f>
        <v>23519.131892351819</v>
      </c>
      <c r="C37" s="35" t="s">
        <v>96</v>
      </c>
      <c r="E37">
        <f>A37-E36</f>
        <v>605.42459846567726</v>
      </c>
    </row>
    <row r="38" spans="1:17">
      <c r="A38">
        <f>A37-B37</f>
        <v>611.75450764818015</v>
      </c>
    </row>
    <row r="42" spans="1:17">
      <c r="A42" s="41" t="s">
        <v>64</v>
      </c>
      <c r="B42" s="42"/>
      <c r="C42" s="42"/>
      <c r="D42" s="42"/>
      <c r="E42" s="43"/>
    </row>
    <row r="43" spans="1:17" ht="54">
      <c r="A43" s="44" t="s">
        <v>65</v>
      </c>
      <c r="B43" s="45" t="s">
        <v>66</v>
      </c>
      <c r="C43" s="45" t="s">
        <v>67</v>
      </c>
      <c r="D43" s="45" t="s">
        <v>68</v>
      </c>
      <c r="E43" s="46" t="s">
        <v>69</v>
      </c>
    </row>
    <row r="44" spans="1:17">
      <c r="A44" s="90">
        <f>B19</f>
        <v>490616500</v>
      </c>
      <c r="B44" s="47">
        <f>A44*A30</f>
        <v>28084483.140708413</v>
      </c>
      <c r="C44" s="47">
        <f>E18*B33</f>
        <v>19500000</v>
      </c>
      <c r="D44" s="91">
        <f>A44+B44-C44</f>
        <v>499200983.14070839</v>
      </c>
      <c r="E44" s="48">
        <f>(B44-C44)/365</f>
        <v>23519.131892351816</v>
      </c>
    </row>
    <row r="45" spans="1:17">
      <c r="I45" s="17" t="s">
        <v>2</v>
      </c>
      <c r="J45" s="5" t="s">
        <v>3</v>
      </c>
      <c r="K45" s="5" t="s">
        <v>4</v>
      </c>
      <c r="L45" s="5" t="s">
        <v>5</v>
      </c>
      <c r="M45" s="5" t="s">
        <v>6</v>
      </c>
      <c r="N45" s="2" t="s">
        <v>7</v>
      </c>
      <c r="O45" s="2" t="s">
        <v>1</v>
      </c>
      <c r="P45" s="3" t="s">
        <v>29</v>
      </c>
      <c r="Q45" s="3" t="s">
        <v>30</v>
      </c>
    </row>
    <row r="46" spans="1:17">
      <c r="I46" s="6">
        <v>40464</v>
      </c>
      <c r="J46" s="6">
        <v>40129</v>
      </c>
      <c r="K46" s="5">
        <f>I46-J46</f>
        <v>335</v>
      </c>
      <c r="L46" s="5">
        <v>3.9</v>
      </c>
      <c r="M46" s="5">
        <v>365</v>
      </c>
      <c r="N46" s="2">
        <f>K46*L46/M46</f>
        <v>3.5794520547945203</v>
      </c>
      <c r="O46" s="2">
        <f>1-K46/M46</f>
        <v>8.2191780821917804E-2</v>
      </c>
      <c r="P46" s="3">
        <v>98.1233</v>
      </c>
      <c r="Q46" s="26">
        <f>P46+N46</f>
        <v>101.70275205479452</v>
      </c>
    </row>
    <row r="47" spans="1:17">
      <c r="A47" s="50" t="s">
        <v>97</v>
      </c>
      <c r="B47" s="49" t="s">
        <v>109</v>
      </c>
      <c r="I47" s="3" t="s">
        <v>9</v>
      </c>
      <c r="J47" s="3" t="s">
        <v>10</v>
      </c>
      <c r="K47" s="16" t="s">
        <v>14</v>
      </c>
      <c r="L47" s="16" t="s">
        <v>15</v>
      </c>
      <c r="M47" s="16" t="s">
        <v>16</v>
      </c>
      <c r="N47" s="1" t="s">
        <v>0</v>
      </c>
      <c r="O47" s="3"/>
      <c r="P47" s="3"/>
      <c r="Q47" s="3">
        <v>101.70757823207499</v>
      </c>
    </row>
    <row r="48" spans="1:17">
      <c r="A48" t="s">
        <v>98</v>
      </c>
      <c r="B48">
        <f>(B20+B37)/E18*100</f>
        <v>101.69677094966613</v>
      </c>
      <c r="I48" s="4">
        <v>37572</v>
      </c>
      <c r="J48" s="3">
        <v>3.9</v>
      </c>
      <c r="K48" s="3"/>
      <c r="L48" s="3"/>
      <c r="M48" s="3">
        <f>SUM(L56:L57)</f>
        <v>101.70805120553544</v>
      </c>
      <c r="N48" s="23">
        <v>5.7243250360940599E-2</v>
      </c>
      <c r="O48" s="3"/>
      <c r="P48" s="3">
        <f>M48-N46</f>
        <v>98.128599150740925</v>
      </c>
      <c r="Q48" s="3"/>
    </row>
    <row r="49" spans="1:17" ht="14.25" thickBot="1">
      <c r="A49" s="51" t="s">
        <v>106</v>
      </c>
      <c r="B49" s="53">
        <f>(B19+A37)/E18*100</f>
        <v>98.128126177279995</v>
      </c>
      <c r="C49" s="39" t="s">
        <v>107</v>
      </c>
      <c r="I49" s="4">
        <v>37937</v>
      </c>
      <c r="J49" s="3">
        <v>3.9</v>
      </c>
      <c r="K49" s="3"/>
      <c r="L49" s="3"/>
      <c r="M49" s="3">
        <v>100</v>
      </c>
      <c r="N49" s="3"/>
      <c r="O49" s="3"/>
      <c r="P49" s="3"/>
      <c r="Q49" s="3"/>
    </row>
    <row r="50" spans="1:17">
      <c r="A50" s="35" t="s">
        <v>99</v>
      </c>
      <c r="B50" s="54">
        <f>B48+N46</f>
        <v>105.27622300446065</v>
      </c>
      <c r="I50" s="4">
        <v>38303</v>
      </c>
      <c r="J50" s="3">
        <v>3.9</v>
      </c>
      <c r="K50" s="3"/>
      <c r="L50" s="3"/>
      <c r="M50" s="3">
        <f>M49+N46</f>
        <v>103.57945205479452</v>
      </c>
      <c r="N50" s="3"/>
      <c r="O50" s="3"/>
      <c r="P50" s="3"/>
      <c r="Q50" s="3"/>
    </row>
    <row r="51" spans="1:17" ht="14.25" thickBot="1">
      <c r="A51" s="55" t="s">
        <v>104</v>
      </c>
      <c r="B51" s="56">
        <f>B49+N46</f>
        <v>101.70757823207451</v>
      </c>
      <c r="C51" s="39" t="s">
        <v>108</v>
      </c>
      <c r="I51" s="4">
        <v>38668</v>
      </c>
      <c r="J51" s="3">
        <v>3.9</v>
      </c>
      <c r="K51" s="3"/>
      <c r="L51" s="3"/>
      <c r="M51" s="3"/>
      <c r="N51" s="3"/>
      <c r="O51" s="3"/>
      <c r="P51" s="3"/>
      <c r="Q51" s="3"/>
    </row>
    <row r="52" spans="1:17">
      <c r="A52" s="50"/>
      <c r="I52" s="4">
        <v>39033</v>
      </c>
      <c r="J52" s="3">
        <v>3.9</v>
      </c>
      <c r="K52" s="3"/>
      <c r="L52" s="3"/>
      <c r="M52" s="3">
        <f>M48-N46</f>
        <v>98.128599150740925</v>
      </c>
      <c r="N52" s="3"/>
      <c r="O52" s="3"/>
      <c r="P52" s="3"/>
      <c r="Q52" s="3"/>
    </row>
    <row r="53" spans="1:17" ht="27">
      <c r="A53" s="61" t="s">
        <v>116</v>
      </c>
      <c r="B53" s="36">
        <f>B19+B37</f>
        <v>490640019.13189232</v>
      </c>
      <c r="I53" s="4">
        <v>39398</v>
      </c>
      <c r="J53" s="3">
        <v>3.9</v>
      </c>
      <c r="K53" s="3"/>
      <c r="L53" s="3"/>
      <c r="M53" s="3"/>
      <c r="N53" s="3">
        <f>(N46-N25)*E18/100</f>
        <v>53424.65753424674</v>
      </c>
      <c r="O53" s="3"/>
      <c r="P53" s="3"/>
      <c r="Q53" s="3"/>
    </row>
    <row r="54" spans="1:17" ht="14.25" thickBot="1">
      <c r="A54" s="57" t="s">
        <v>102</v>
      </c>
      <c r="B54" s="52">
        <f>B19+A37</f>
        <v>490640630.88639998</v>
      </c>
      <c r="C54" s="39" t="s">
        <v>110</v>
      </c>
      <c r="I54" s="4">
        <v>39764</v>
      </c>
      <c r="J54" s="3">
        <v>3.9</v>
      </c>
      <c r="K54" s="3"/>
      <c r="L54" s="3"/>
      <c r="M54" s="3"/>
      <c r="N54" s="3"/>
      <c r="O54" s="3"/>
      <c r="P54" s="3"/>
      <c r="Q54" s="3"/>
    </row>
    <row r="55" spans="1:17">
      <c r="I55" s="4">
        <v>40129</v>
      </c>
      <c r="J55" s="3">
        <v>3.9</v>
      </c>
      <c r="K55" s="3"/>
      <c r="L55" s="3"/>
      <c r="M55" s="3"/>
      <c r="N55" s="3"/>
      <c r="O55" s="3"/>
      <c r="P55" s="3"/>
      <c r="Q55" s="3"/>
    </row>
    <row r="56" spans="1:17">
      <c r="A56" s="58" t="s">
        <v>100</v>
      </c>
      <c r="B56" s="38">
        <f>N48</f>
        <v>5.7243250360940599E-2</v>
      </c>
      <c r="I56" s="4">
        <v>40494</v>
      </c>
      <c r="J56" s="3">
        <v>3.9</v>
      </c>
      <c r="K56" s="3">
        <f>O46</f>
        <v>8.2191780821917804E-2</v>
      </c>
      <c r="L56" s="3">
        <f>J56/(1+N48)^K56</f>
        <v>3.882197514439476</v>
      </c>
      <c r="M56" s="3"/>
      <c r="N56" s="3"/>
      <c r="O56" s="3"/>
      <c r="P56" s="3"/>
      <c r="Q56" s="3"/>
    </row>
    <row r="57" spans="1:17" ht="14.25" thickBot="1">
      <c r="A57" s="59" t="s">
        <v>101</v>
      </c>
      <c r="B57" s="51">
        <f>0.057247959572*100</f>
        <v>5.7247959571999996</v>
      </c>
      <c r="C57" s="39" t="s">
        <v>124</v>
      </c>
      <c r="I57" s="4">
        <v>40859</v>
      </c>
      <c r="J57" s="3">
        <v>103.9</v>
      </c>
      <c r="K57" s="3">
        <f>1+K56</f>
        <v>1.0821917808219177</v>
      </c>
      <c r="L57" s="3">
        <f>J57/(1+N48)^K57</f>
        <v>97.825853691095958</v>
      </c>
      <c r="M57" s="3"/>
      <c r="N57" s="3"/>
      <c r="O57" s="3"/>
      <c r="P57" s="3"/>
      <c r="Q57" s="3"/>
    </row>
    <row r="59" spans="1:17">
      <c r="A59" s="58" t="s">
        <v>113</v>
      </c>
      <c r="B59">
        <f>A29</f>
        <v>98.1233</v>
      </c>
    </row>
    <row r="60" spans="1:17">
      <c r="A60" s="58" t="s">
        <v>114</v>
      </c>
      <c r="B60">
        <f>B59+N25</f>
        <v>101.69206712328767</v>
      </c>
      <c r="C60" s="39" t="s">
        <v>111</v>
      </c>
    </row>
    <row r="62" spans="1:17">
      <c r="A62" s="60" t="s">
        <v>118</v>
      </c>
      <c r="B62" s="36">
        <f>B60*E18/100</f>
        <v>508460335.61643839</v>
      </c>
    </row>
    <row r="64" spans="1:17">
      <c r="A64" s="60" t="s">
        <v>117</v>
      </c>
      <c r="B64" s="35">
        <v>20328664.379999999</v>
      </c>
      <c r="D64">
        <v>508460335.61643833</v>
      </c>
    </row>
    <row r="65" spans="1:2">
      <c r="A65" t="s">
        <v>120</v>
      </c>
    </row>
    <row r="66" spans="1:2">
      <c r="A66" s="35"/>
      <c r="B66">
        <f>B64/E18</f>
        <v>4.065732876E-2</v>
      </c>
    </row>
    <row r="67" spans="1:2">
      <c r="A67" s="35"/>
    </row>
    <row r="68" spans="1:2">
      <c r="A68">
        <f>102.189*E18/100-B19</f>
        <v>20328500</v>
      </c>
      <c r="B68" s="36">
        <v>9383500</v>
      </c>
    </row>
    <row r="69" spans="1:2">
      <c r="A69">
        <f>B64-A68</f>
        <v>164.37999999895692</v>
      </c>
      <c r="B69" s="36">
        <f>B64-B68</f>
        <v>10945164.379999999</v>
      </c>
    </row>
    <row r="70" spans="1:2">
      <c r="A70">
        <f>A69/A68*1000</f>
        <v>8.0861844208356213E-3</v>
      </c>
    </row>
    <row r="79" spans="1:2">
      <c r="A79" s="40" t="s">
        <v>123</v>
      </c>
    </row>
    <row r="80" spans="1:2" outlineLevel="1">
      <c r="A80" s="28" t="s">
        <v>46</v>
      </c>
    </row>
    <row r="81" spans="1:15" ht="27" outlineLevel="1">
      <c r="A81" s="28" t="s">
        <v>248</v>
      </c>
      <c r="B81">
        <v>100.01049999999999</v>
      </c>
      <c r="D81" s="28" t="s">
        <v>48</v>
      </c>
      <c r="E81">
        <v>18.23</v>
      </c>
      <c r="G81" s="32">
        <f>E81+C78</f>
        <v>18.23</v>
      </c>
    </row>
    <row r="82" spans="1:15" outlineLevel="1">
      <c r="A82" s="28" t="s">
        <v>49</v>
      </c>
      <c r="B82" s="32">
        <f>B81+E81</f>
        <v>118.2405</v>
      </c>
      <c r="D82" s="28" t="s">
        <v>50</v>
      </c>
      <c r="E82">
        <v>400000000</v>
      </c>
    </row>
    <row r="83" spans="1:15" ht="26.25" outlineLevel="1">
      <c r="A83" s="28" t="s">
        <v>51</v>
      </c>
      <c r="B83" s="36">
        <v>400041944.48000002</v>
      </c>
      <c r="D83" s="28" t="s">
        <v>52</v>
      </c>
      <c r="E83">
        <f>E81*E82/100</f>
        <v>72920000</v>
      </c>
    </row>
    <row r="84" spans="1:15" outlineLevel="1">
      <c r="A84" s="28" t="s">
        <v>53</v>
      </c>
      <c r="B84" s="36">
        <f>B83+E81*E82/100</f>
        <v>472961944.48000002</v>
      </c>
      <c r="D84" s="28" t="s">
        <v>54</v>
      </c>
    </row>
    <row r="85" spans="1:15" outlineLevel="1">
      <c r="A85" s="31"/>
    </row>
    <row r="86" spans="1:15" outlineLevel="1">
      <c r="A86" s="28" t="s">
        <v>55</v>
      </c>
      <c r="B86">
        <v>0</v>
      </c>
      <c r="I86" s="25">
        <v>2005050501</v>
      </c>
      <c r="J86" s="4">
        <v>40463</v>
      </c>
      <c r="K86" s="3" t="s">
        <v>71</v>
      </c>
      <c r="L86" s="3"/>
      <c r="M86" s="3"/>
      <c r="N86" s="3"/>
      <c r="O86" s="3"/>
    </row>
    <row r="87" spans="1:15" outlineLevel="1">
      <c r="A87" s="28" t="s">
        <v>56</v>
      </c>
      <c r="B87">
        <v>0</v>
      </c>
      <c r="D87" s="36"/>
      <c r="I87" s="17" t="s">
        <v>2</v>
      </c>
      <c r="J87" s="5" t="s">
        <v>3</v>
      </c>
      <c r="K87" s="5" t="s">
        <v>4</v>
      </c>
      <c r="L87" s="5" t="s">
        <v>5</v>
      </c>
      <c r="M87" s="5" t="s">
        <v>6</v>
      </c>
      <c r="N87" s="2" t="s">
        <v>7</v>
      </c>
      <c r="O87" s="2" t="s">
        <v>1</v>
      </c>
    </row>
    <row r="88" spans="1:15" outlineLevel="1">
      <c r="A88" s="28" t="s">
        <v>57</v>
      </c>
      <c r="B88">
        <v>0</v>
      </c>
      <c r="I88" s="6">
        <f>J86</f>
        <v>40463</v>
      </c>
      <c r="J88" s="6">
        <v>38640</v>
      </c>
      <c r="K88" s="5">
        <f>I88-J88</f>
        <v>1823</v>
      </c>
      <c r="L88" s="5">
        <v>3.6</v>
      </c>
      <c r="M88" s="5">
        <v>360</v>
      </c>
      <c r="N88" s="27">
        <f>K88*L88/M88</f>
        <v>18.23</v>
      </c>
      <c r="O88" s="2">
        <f>3/M88</f>
        <v>8.3333333333333332E-3</v>
      </c>
    </row>
    <row r="89" spans="1:15" outlineLevel="1">
      <c r="I89" s="3"/>
      <c r="J89" s="4">
        <v>40466</v>
      </c>
      <c r="K89" s="3">
        <f>J89-J88</f>
        <v>1826</v>
      </c>
      <c r="L89" s="3"/>
      <c r="M89" s="3"/>
      <c r="N89" s="3"/>
      <c r="O89" s="3"/>
    </row>
    <row r="90" spans="1:15" outlineLevel="1">
      <c r="A90" s="28" t="s">
        <v>119</v>
      </c>
      <c r="B90" s="73">
        <f>B83/E82*100</f>
        <v>100.01048612000001</v>
      </c>
      <c r="I90" s="3"/>
      <c r="J90" s="3"/>
      <c r="K90" s="3"/>
      <c r="L90" s="1" t="s">
        <v>0</v>
      </c>
      <c r="M90" s="3" t="s">
        <v>30</v>
      </c>
      <c r="N90" s="3"/>
      <c r="O90" s="3"/>
    </row>
    <row r="91" spans="1:15" outlineLevel="1">
      <c r="A91" t="s">
        <v>63</v>
      </c>
      <c r="B91" s="38">
        <f>L91</f>
        <v>2.0724659738538882E-2</v>
      </c>
      <c r="C91">
        <v>2.0000001416000002E-2</v>
      </c>
      <c r="I91" s="3"/>
      <c r="J91" s="3"/>
      <c r="K91" s="3"/>
      <c r="L91" s="23">
        <v>2.0724659738538882E-2</v>
      </c>
      <c r="M91" s="3">
        <f>L93</f>
        <v>118.23978633791715</v>
      </c>
      <c r="N91" s="3"/>
      <c r="O91" s="3"/>
    </row>
    <row r="92" spans="1:15" outlineLevel="1">
      <c r="A92" s="28" t="s">
        <v>59</v>
      </c>
      <c r="B92" t="s">
        <v>60</v>
      </c>
      <c r="I92" s="3" t="s">
        <v>9</v>
      </c>
      <c r="J92" s="3" t="s">
        <v>10</v>
      </c>
      <c r="K92" s="16" t="s">
        <v>14</v>
      </c>
      <c r="L92" s="16" t="s">
        <v>15</v>
      </c>
      <c r="M92" s="3"/>
      <c r="N92" s="3"/>
      <c r="O92" s="3"/>
    </row>
    <row r="93" spans="1:15" outlineLevel="1">
      <c r="A93" t="s">
        <v>62</v>
      </c>
      <c r="B93">
        <v>3.5999999999999997E-2</v>
      </c>
      <c r="I93" s="4">
        <v>40466</v>
      </c>
      <c r="J93" s="3">
        <v>118.26</v>
      </c>
      <c r="K93" s="3">
        <f>O88</f>
        <v>8.3333333333333332E-3</v>
      </c>
      <c r="L93" s="3">
        <f>J93/(1+L91)^K93</f>
        <v>118.23978633791715</v>
      </c>
      <c r="M93" s="3"/>
      <c r="N93" s="3"/>
      <c r="O93" s="3"/>
    </row>
    <row r="94" spans="1:15" outlineLevel="1">
      <c r="A94" s="30" t="s">
        <v>94</v>
      </c>
    </row>
    <row r="95" spans="1:15" outlineLevel="1">
      <c r="A95" s="30" t="s">
        <v>58</v>
      </c>
      <c r="B95" s="36">
        <f>B90*E82/100*B91/360</f>
        <v>23029.814390254069</v>
      </c>
    </row>
    <row r="96" spans="1:15" outlineLevel="1">
      <c r="A96" s="30" t="s">
        <v>61</v>
      </c>
      <c r="B96" s="36">
        <f>E82*B93/360</f>
        <v>39999.999999999993</v>
      </c>
    </row>
    <row r="97" spans="1:17" outlineLevel="1">
      <c r="A97">
        <v>-13982.9256</v>
      </c>
      <c r="B97" s="74">
        <f>B95-B96</f>
        <v>-16970.185609745924</v>
      </c>
    </row>
    <row r="98" spans="1:17" outlineLevel="1">
      <c r="A98" s="36">
        <f>A97-B97</f>
        <v>2987.2600097459235</v>
      </c>
    </row>
    <row r="101" spans="1:17">
      <c r="A101" s="40" t="s">
        <v>171</v>
      </c>
      <c r="B101" t="s">
        <v>172</v>
      </c>
      <c r="J101" s="86">
        <v>40494</v>
      </c>
      <c r="K101">
        <f>J101-J104</f>
        <v>365</v>
      </c>
    </row>
    <row r="103" spans="1:17" ht="27">
      <c r="A103" s="28" t="s">
        <v>47</v>
      </c>
      <c r="B103">
        <v>99.987499999999997</v>
      </c>
      <c r="D103" s="28" t="s">
        <v>48</v>
      </c>
      <c r="E103">
        <v>1.4084000000000001</v>
      </c>
      <c r="I103" s="17" t="s">
        <v>2</v>
      </c>
      <c r="J103" s="5" t="s">
        <v>3</v>
      </c>
      <c r="K103" s="5" t="s">
        <v>4</v>
      </c>
      <c r="L103" s="5" t="s">
        <v>5</v>
      </c>
      <c r="M103" s="5" t="s">
        <v>6</v>
      </c>
      <c r="N103" s="2" t="s">
        <v>7</v>
      </c>
      <c r="O103" s="2" t="s">
        <v>1</v>
      </c>
      <c r="P103" s="3" t="s">
        <v>29</v>
      </c>
      <c r="Q103" s="3" t="s">
        <v>30</v>
      </c>
    </row>
    <row r="104" spans="1:17">
      <c r="A104" s="28" t="s">
        <v>49</v>
      </c>
      <c r="B104" s="32">
        <f>B103+E103</f>
        <v>101.3959</v>
      </c>
      <c r="C104">
        <v>101.396</v>
      </c>
      <c r="D104" s="28" t="s">
        <v>50</v>
      </c>
      <c r="E104">
        <v>1000000000</v>
      </c>
      <c r="I104" s="6">
        <v>40486</v>
      </c>
      <c r="J104" s="6">
        <v>40129</v>
      </c>
      <c r="K104" s="5">
        <f>I104-J104</f>
        <v>357</v>
      </c>
      <c r="L104" s="5">
        <v>1.44</v>
      </c>
      <c r="M104" s="5">
        <v>365</v>
      </c>
      <c r="N104" s="2">
        <f>K104*L104/M104</f>
        <v>1.4084383561643834</v>
      </c>
      <c r="O104" s="2">
        <f>1-K104/M104</f>
        <v>2.1917808219178103E-2</v>
      </c>
      <c r="P104" s="3">
        <v>99.987499999999997</v>
      </c>
      <c r="Q104" s="26">
        <f>P104+N104</f>
        <v>101.39593835616438</v>
      </c>
    </row>
    <row r="105" spans="1:17" ht="26.25">
      <c r="A105" s="28" t="s">
        <v>51</v>
      </c>
      <c r="B105" s="36">
        <f>E104*B103/100</f>
        <v>999875000</v>
      </c>
      <c r="C105" s="36">
        <v>999875431.75</v>
      </c>
      <c r="D105" s="28" t="s">
        <v>52</v>
      </c>
      <c r="E105">
        <f>E103*E104/100</f>
        <v>14084000</v>
      </c>
      <c r="F105" s="36">
        <v>14084383.560000001</v>
      </c>
      <c r="I105" s="3" t="s">
        <v>9</v>
      </c>
      <c r="J105" s="3" t="s">
        <v>10</v>
      </c>
      <c r="K105" s="16" t="s">
        <v>14</v>
      </c>
      <c r="L105" s="16" t="s">
        <v>15</v>
      </c>
      <c r="M105" s="16" t="s">
        <v>16</v>
      </c>
      <c r="N105" s="1" t="s">
        <v>0</v>
      </c>
      <c r="O105" s="3"/>
      <c r="P105" s="3"/>
      <c r="Q105" s="3">
        <v>101.395938356164</v>
      </c>
    </row>
    <row r="106" spans="1:17">
      <c r="A106" s="28" t="s">
        <v>53</v>
      </c>
      <c r="B106" s="36">
        <f>B105+E103*E104/100</f>
        <v>1013959000</v>
      </c>
      <c r="C106" s="36">
        <f>C105+F105</f>
        <v>1013959815.3099999</v>
      </c>
      <c r="D106" s="28" t="s">
        <v>54</v>
      </c>
      <c r="E106">
        <v>0</v>
      </c>
      <c r="I106" s="4">
        <v>40494</v>
      </c>
      <c r="J106" s="3">
        <v>101.44</v>
      </c>
      <c r="K106" s="3">
        <f>O104</f>
        <v>2.1917808219178103E-2</v>
      </c>
      <c r="L106" s="3">
        <f>J106/(1+N106)^K106</f>
        <v>101.39580801254358</v>
      </c>
      <c r="M106" s="3">
        <f>L106</f>
        <v>101.39580801254358</v>
      </c>
      <c r="N106" s="23">
        <v>2.0079642652000001E-2</v>
      </c>
      <c r="O106" s="3"/>
      <c r="P106" s="3">
        <f>M106-N104</f>
        <v>99.987369656379201</v>
      </c>
      <c r="Q106" s="3"/>
    </row>
    <row r="107" spans="1:17">
      <c r="A107" s="31"/>
      <c r="I107" s="4"/>
      <c r="J107" s="3"/>
      <c r="K107" s="3"/>
      <c r="L107" s="3"/>
      <c r="M107" s="3">
        <v>100</v>
      </c>
      <c r="N107" s="3"/>
      <c r="O107" s="3"/>
      <c r="P107" s="3"/>
      <c r="Q107" s="3">
        <v>2.0079642652</v>
      </c>
    </row>
    <row r="108" spans="1:17">
      <c r="A108" s="28" t="s">
        <v>55</v>
      </c>
      <c r="B108">
        <v>0</v>
      </c>
      <c r="I108" s="4"/>
      <c r="J108" s="3"/>
      <c r="K108" s="3"/>
      <c r="L108" s="3"/>
      <c r="M108" s="3">
        <f>M107+N104</f>
        <v>101.40843835616438</v>
      </c>
      <c r="N108" s="3"/>
      <c r="O108" s="3"/>
      <c r="P108" s="3"/>
      <c r="Q108" s="3"/>
    </row>
    <row r="109" spans="1:17">
      <c r="A109" s="28" t="s">
        <v>56</v>
      </c>
      <c r="B109">
        <v>0</v>
      </c>
      <c r="D109" s="36"/>
      <c r="I109" s="4"/>
      <c r="J109" s="3"/>
      <c r="K109" s="3"/>
      <c r="L109" s="3"/>
      <c r="M109" s="3"/>
      <c r="N109" s="3"/>
      <c r="O109" s="3"/>
      <c r="P109" s="3"/>
      <c r="Q109" s="3"/>
    </row>
    <row r="110" spans="1:17">
      <c r="A110" s="28" t="s">
        <v>57</v>
      </c>
      <c r="B110">
        <v>0</v>
      </c>
      <c r="N110">
        <f>N106/100</f>
        <v>2.0079642652E-4</v>
      </c>
    </row>
    <row r="112" spans="1:17">
      <c r="A112" s="28" t="s">
        <v>119</v>
      </c>
      <c r="B112">
        <f>B105/E104*100</f>
        <v>99.987499999999997</v>
      </c>
      <c r="C112">
        <f>C105/E104*100</f>
        <v>99.987543174999999</v>
      </c>
      <c r="I112" s="86">
        <v>40485</v>
      </c>
      <c r="K112">
        <f>356*L104/365</f>
        <v>1.4044931506849314</v>
      </c>
    </row>
    <row r="113" spans="1:17">
      <c r="A113" t="s">
        <v>63</v>
      </c>
      <c r="B113" s="38">
        <f>N106</f>
        <v>2.0079642652000001E-2</v>
      </c>
      <c r="C113" s="33">
        <v>0.02</v>
      </c>
      <c r="D113" s="33"/>
      <c r="K113">
        <f>N104-K112</f>
        <v>3.9452054794519853E-3</v>
      </c>
    </row>
    <row r="114" spans="1:17">
      <c r="A114" s="30" t="s">
        <v>58</v>
      </c>
      <c r="B114">
        <f>C112*E104/100*C113/365</f>
        <v>54787.694890410967</v>
      </c>
      <c r="K114">
        <f>K113*E104/100</f>
        <v>39452.054794519849</v>
      </c>
    </row>
    <row r="115" spans="1:17">
      <c r="A115" s="30" t="s">
        <v>61</v>
      </c>
      <c r="B115">
        <f>E104*1.44/365/100</f>
        <v>39452.054794520547</v>
      </c>
    </row>
    <row r="116" spans="1:17">
      <c r="A116">
        <v>15560.6648</v>
      </c>
      <c r="B116">
        <f>B114-B115</f>
        <v>15335.64009589042</v>
      </c>
      <c r="I116" s="17" t="s">
        <v>2</v>
      </c>
      <c r="J116" s="5" t="s">
        <v>3</v>
      </c>
      <c r="K116" s="5" t="s">
        <v>4</v>
      </c>
      <c r="L116" s="5" t="s">
        <v>5</v>
      </c>
      <c r="M116" s="5" t="s">
        <v>6</v>
      </c>
      <c r="N116" s="2" t="s">
        <v>7</v>
      </c>
      <c r="O116" s="2" t="s">
        <v>1</v>
      </c>
      <c r="P116" s="3" t="s">
        <v>29</v>
      </c>
      <c r="Q116" s="3" t="s">
        <v>30</v>
      </c>
    </row>
    <row r="117" spans="1:17">
      <c r="A117" t="s">
        <v>173</v>
      </c>
      <c r="B117" s="35">
        <f>A116-B116</f>
        <v>225.02470410958085</v>
      </c>
      <c r="C117">
        <f>B114+B117</f>
        <v>55012.719594520546</v>
      </c>
      <c r="D117">
        <f>C117/E104*365*100</f>
        <v>2.0079642652</v>
      </c>
      <c r="I117" s="6">
        <v>40487</v>
      </c>
      <c r="J117" s="6">
        <v>40129</v>
      </c>
      <c r="K117" s="5">
        <f>I117-J117</f>
        <v>358</v>
      </c>
      <c r="L117" s="5">
        <v>1.44</v>
      </c>
      <c r="M117" s="5">
        <v>365</v>
      </c>
      <c r="N117" s="2">
        <f>K117*L117/M117</f>
        <v>1.4123835616438356</v>
      </c>
      <c r="O117" s="2">
        <f>1-K117/M117</f>
        <v>1.9178082191780854E-2</v>
      </c>
      <c r="P117" s="3">
        <v>99.987499999999997</v>
      </c>
      <c r="Q117" s="26">
        <f>P117+N117</f>
        <v>101.39988356164383</v>
      </c>
    </row>
    <row r="118" spans="1:17">
      <c r="I118" s="3" t="s">
        <v>9</v>
      </c>
      <c r="J118" s="3" t="s">
        <v>10</v>
      </c>
      <c r="K118" s="16" t="s">
        <v>14</v>
      </c>
      <c r="L118" s="16" t="s">
        <v>15</v>
      </c>
      <c r="M118" s="16" t="s">
        <v>16</v>
      </c>
      <c r="N118" s="1" t="s">
        <v>0</v>
      </c>
      <c r="O118" s="3"/>
      <c r="P118" s="3"/>
      <c r="Q118" s="3">
        <v>101.395938356164</v>
      </c>
    </row>
    <row r="119" spans="1:17">
      <c r="I119" s="4">
        <v>40494</v>
      </c>
      <c r="J119" s="3">
        <v>101.44</v>
      </c>
      <c r="K119" s="3">
        <f>O117</f>
        <v>1.9178082191780854E-2</v>
      </c>
      <c r="L119" s="3">
        <f>J119/(1+N119)^K119</f>
        <v>101.40178149512425</v>
      </c>
      <c r="M119" s="3">
        <f>L119</f>
        <v>101.40178149512425</v>
      </c>
      <c r="N119" s="23">
        <v>1.9843342171911294E-2</v>
      </c>
      <c r="O119" s="3"/>
      <c r="P119" s="3">
        <f>M119-N117</f>
        <v>99.989397933480419</v>
      </c>
      <c r="Q119" s="3"/>
    </row>
    <row r="120" spans="1:17">
      <c r="A120" s="41" t="s">
        <v>64</v>
      </c>
      <c r="B120" s="42"/>
      <c r="C120" s="42"/>
      <c r="D120" s="42"/>
      <c r="E120" s="43"/>
      <c r="I120" s="4"/>
      <c r="J120" s="3"/>
      <c r="K120" s="3"/>
      <c r="L120" s="3"/>
      <c r="M120" s="3"/>
      <c r="N120" s="3"/>
      <c r="O120" s="3"/>
      <c r="P120" s="3"/>
      <c r="Q120" s="3"/>
    </row>
    <row r="121" spans="1:17" ht="54">
      <c r="A121" s="44" t="s">
        <v>65</v>
      </c>
      <c r="B121" s="45" t="s">
        <v>66</v>
      </c>
      <c r="C121" s="45" t="s">
        <v>67</v>
      </c>
      <c r="D121" s="45" t="s">
        <v>68</v>
      </c>
      <c r="E121" s="46" t="s">
        <v>69</v>
      </c>
      <c r="I121" s="4">
        <v>39104</v>
      </c>
      <c r="J121" s="3"/>
      <c r="K121" s="3"/>
      <c r="L121" s="3"/>
      <c r="M121" s="3"/>
      <c r="N121" s="3"/>
      <c r="O121" s="3"/>
      <c r="P121" s="3"/>
      <c r="Q121" s="3"/>
    </row>
    <row r="122" spans="1:17">
      <c r="A122" s="90">
        <f>C112*E104/100</f>
        <v>999875431.75</v>
      </c>
      <c r="B122" s="47">
        <f>A122*C113</f>
        <v>19997508.635000002</v>
      </c>
      <c r="C122" s="47">
        <f>E104*0.0144</f>
        <v>14400000</v>
      </c>
      <c r="D122" s="91">
        <f>A122+B122-C122</f>
        <v>1005472940.385</v>
      </c>
      <c r="E122" s="48">
        <f>(B122-C122)/365</f>
        <v>15335.640095890416</v>
      </c>
      <c r="I122" s="17" t="s">
        <v>2</v>
      </c>
      <c r="J122" s="5" t="s">
        <v>3</v>
      </c>
      <c r="K122" s="5" t="s">
        <v>4</v>
      </c>
      <c r="L122" s="5" t="s">
        <v>5</v>
      </c>
      <c r="M122" s="5" t="s">
        <v>6</v>
      </c>
      <c r="N122" s="2" t="s">
        <v>7</v>
      </c>
      <c r="O122" s="2" t="s">
        <v>1</v>
      </c>
      <c r="P122" s="3" t="s">
        <v>29</v>
      </c>
      <c r="Q122" s="3" t="s">
        <v>30</v>
      </c>
    </row>
    <row r="123" spans="1:17">
      <c r="I123" s="6">
        <v>39104</v>
      </c>
      <c r="J123" s="6">
        <v>38831</v>
      </c>
      <c r="K123" s="5">
        <f>I123-J123</f>
        <v>273</v>
      </c>
      <c r="L123" s="5">
        <v>2.4500000000000002</v>
      </c>
      <c r="M123" s="5">
        <v>365</v>
      </c>
      <c r="N123" s="2">
        <f>K123*L123/M123</f>
        <v>1.8324657534246576</v>
      </c>
      <c r="O123" s="2">
        <f>1-K123/M123</f>
        <v>0.25205479452054791</v>
      </c>
      <c r="P123" s="3">
        <v>99.987499999999997</v>
      </c>
      <c r="Q123" s="26">
        <f>P123+N123</f>
        <v>101.81996575342465</v>
      </c>
    </row>
    <row r="124" spans="1:17">
      <c r="A124" t="s">
        <v>98</v>
      </c>
      <c r="B124">
        <f>(C105+B116)/E104*100</f>
        <v>99.98907673900959</v>
      </c>
      <c r="I124" s="3" t="s">
        <v>9</v>
      </c>
      <c r="J124" s="3" t="s">
        <v>10</v>
      </c>
      <c r="K124" s="16" t="s">
        <v>14</v>
      </c>
      <c r="L124" s="16" t="s">
        <v>15</v>
      </c>
      <c r="M124" s="16" t="s">
        <v>16</v>
      </c>
      <c r="N124" s="1" t="s">
        <v>0</v>
      </c>
      <c r="O124" s="3"/>
      <c r="P124" s="3"/>
      <c r="Q124" s="3">
        <v>101.395938356164</v>
      </c>
    </row>
    <row r="125" spans="1:17" ht="14.25" thickBot="1">
      <c r="A125" s="51" t="s">
        <v>106</v>
      </c>
      <c r="B125">
        <f>(C105+A116)/E104*100</f>
        <v>99.989099241480005</v>
      </c>
      <c r="C125" s="39" t="s">
        <v>107</v>
      </c>
      <c r="I125" s="4">
        <v>40494</v>
      </c>
      <c r="J125" s="3">
        <v>101.44</v>
      </c>
      <c r="K125" s="3">
        <f>O123</f>
        <v>0.25205479452054791</v>
      </c>
      <c r="L125" s="3">
        <f>J125/(1+N125)^K125</f>
        <v>100.80534975351298</v>
      </c>
      <c r="M125" s="3">
        <f>SUM(L130+L131)</f>
        <v>101.73999842337348</v>
      </c>
      <c r="N125" s="23">
        <v>2.5212183837460524E-2</v>
      </c>
      <c r="O125" s="3"/>
      <c r="P125" s="3">
        <f>M125-N123</f>
        <v>99.907532669948822</v>
      </c>
      <c r="Q125" s="3"/>
    </row>
    <row r="126" spans="1:17">
      <c r="A126" s="35" t="s">
        <v>99</v>
      </c>
      <c r="B126" s="54">
        <f>B124+N117</f>
        <v>101.40146030065343</v>
      </c>
      <c r="N126" s="92">
        <v>2.5274000000000001E-2</v>
      </c>
    </row>
    <row r="127" spans="1:17" ht="14.25" thickBot="1">
      <c r="A127" s="55" t="s">
        <v>104</v>
      </c>
      <c r="B127" s="56">
        <f>B125+N117</f>
        <v>101.40148280312384</v>
      </c>
      <c r="C127" s="39" t="s">
        <v>108</v>
      </c>
      <c r="I127" s="86">
        <v>38101</v>
      </c>
      <c r="J127">
        <v>2.4500000000000002</v>
      </c>
      <c r="N127" s="38">
        <f>N126-N125</f>
        <v>6.1816162539477665E-5</v>
      </c>
    </row>
    <row r="128" spans="1:17">
      <c r="A128" s="50"/>
      <c r="I128" s="86">
        <v>38466</v>
      </c>
      <c r="J128">
        <v>2.4500000000000002</v>
      </c>
    </row>
    <row r="129" spans="1:12" ht="27">
      <c r="A129" s="61" t="s">
        <v>116</v>
      </c>
      <c r="B129" s="36">
        <f>C105+B116</f>
        <v>999890767.39009595</v>
      </c>
      <c r="I129" s="86">
        <v>38831</v>
      </c>
      <c r="J129">
        <v>2.4500000000000002</v>
      </c>
    </row>
    <row r="130" spans="1:12" ht="14.25" thickBot="1">
      <c r="A130" s="57" t="s">
        <v>102</v>
      </c>
      <c r="B130" s="52">
        <f>C105+A116</f>
        <v>999890992.41480005</v>
      </c>
      <c r="C130" s="39" t="s">
        <v>110</v>
      </c>
      <c r="I130" s="86">
        <v>39196</v>
      </c>
      <c r="J130">
        <v>2.4500000000000002</v>
      </c>
      <c r="K130">
        <f>O123</f>
        <v>0.25205479452054791</v>
      </c>
      <c r="L130">
        <f>J130/(1+N125)^K130</f>
        <v>2.4346717951114631</v>
      </c>
    </row>
    <row r="131" spans="1:12">
      <c r="I131" s="86">
        <v>39562</v>
      </c>
      <c r="J131">
        <v>102.45</v>
      </c>
      <c r="K131">
        <f>1+K130</f>
        <v>1.2520547945205478</v>
      </c>
      <c r="L131">
        <f>J131/(1+N125)^K131</f>
        <v>99.305326628262009</v>
      </c>
    </row>
    <row r="132" spans="1:12">
      <c r="A132" s="58" t="s">
        <v>100</v>
      </c>
      <c r="B132" s="38" t="str">
        <f>N124</f>
        <v>收益率</v>
      </c>
    </row>
    <row r="133" spans="1:12" ht="14.25" thickBot="1">
      <c r="A133" s="59" t="s">
        <v>101</v>
      </c>
      <c r="B133" s="51">
        <f>0.057247959572*100</f>
        <v>5.7247959571999996</v>
      </c>
      <c r="C133" s="39" t="s">
        <v>124</v>
      </c>
    </row>
    <row r="135" spans="1:12">
      <c r="A135" s="58" t="s">
        <v>113</v>
      </c>
      <c r="B135" t="str">
        <f>A105</f>
        <v>净价金额：B_CAMT(i)</v>
      </c>
    </row>
    <row r="136" spans="1:12">
      <c r="A136" s="58" t="s">
        <v>114</v>
      </c>
      <c r="B136" t="e">
        <f>B135+N101</f>
        <v>#VALUE!</v>
      </c>
      <c r="C136" s="39" t="s">
        <v>111</v>
      </c>
    </row>
    <row r="138" spans="1:12">
      <c r="A138" s="60" t="s">
        <v>118</v>
      </c>
      <c r="B138" s="36" t="e">
        <f>B136*E94/100</f>
        <v>#VALUE!</v>
      </c>
    </row>
    <row r="140" spans="1:12">
      <c r="A140" s="60" t="s">
        <v>117</v>
      </c>
      <c r="B140" s="35">
        <v>20328664.379999999</v>
      </c>
      <c r="D140">
        <v>508460335.61643833</v>
      </c>
    </row>
    <row r="141" spans="1:12">
      <c r="A141" t="s">
        <v>120</v>
      </c>
    </row>
    <row r="144" spans="1:12">
      <c r="A144" s="40" t="s">
        <v>249</v>
      </c>
      <c r="B144" t="s">
        <v>172</v>
      </c>
      <c r="J144" s="86">
        <v>40494</v>
      </c>
      <c r="K144">
        <f>J144-J147</f>
        <v>365</v>
      </c>
    </row>
    <row r="146" spans="1:17" ht="27">
      <c r="A146" s="28" t="s">
        <v>47</v>
      </c>
      <c r="B146">
        <v>98.8</v>
      </c>
      <c r="D146" s="28" t="s">
        <v>48</v>
      </c>
      <c r="E146">
        <v>2.6335999999999999</v>
      </c>
      <c r="I146" s="17" t="s">
        <v>2</v>
      </c>
      <c r="J146" s="5" t="s">
        <v>3</v>
      </c>
      <c r="K146" s="5" t="s">
        <v>4</v>
      </c>
      <c r="L146" s="5" t="s">
        <v>5</v>
      </c>
      <c r="M146" s="5" t="s">
        <v>6</v>
      </c>
      <c r="N146" s="2" t="s">
        <v>7</v>
      </c>
      <c r="O146" s="2" t="s">
        <v>1</v>
      </c>
      <c r="P146" s="3" t="s">
        <v>29</v>
      </c>
      <c r="Q146" s="3" t="s">
        <v>30</v>
      </c>
    </row>
    <row r="147" spans="1:17">
      <c r="A147" s="28" t="s">
        <v>49</v>
      </c>
      <c r="B147" s="32">
        <f>B146+E146</f>
        <v>101.4336</v>
      </c>
      <c r="C147">
        <v>101.396</v>
      </c>
      <c r="D147" s="28" t="s">
        <v>50</v>
      </c>
      <c r="E147">
        <v>5840000</v>
      </c>
      <c r="I147" s="6">
        <v>40486</v>
      </c>
      <c r="J147" s="6">
        <v>40129</v>
      </c>
      <c r="K147" s="5">
        <f>I147-J147</f>
        <v>357</v>
      </c>
      <c r="L147" s="5">
        <v>1.44</v>
      </c>
      <c r="M147" s="5">
        <v>365</v>
      </c>
      <c r="N147" s="2">
        <f>K147*L147/M147</f>
        <v>1.4084383561643834</v>
      </c>
      <c r="O147" s="2">
        <f>1-K147/M147</f>
        <v>2.1917808219178103E-2</v>
      </c>
      <c r="P147" s="3">
        <v>99.987499999999997</v>
      </c>
      <c r="Q147" s="26">
        <f>P147+N147</f>
        <v>101.39593835616438</v>
      </c>
    </row>
    <row r="148" spans="1:17" ht="26.25">
      <c r="A148" s="28" t="s">
        <v>51</v>
      </c>
      <c r="B148" s="36">
        <f>E147*B146/100</f>
        <v>5769920</v>
      </c>
      <c r="C148" s="36">
        <v>5769920</v>
      </c>
      <c r="D148" s="28" t="s">
        <v>52</v>
      </c>
      <c r="E148">
        <f>E146*E147/100</f>
        <v>153802.23999999999</v>
      </c>
      <c r="F148" s="36">
        <v>14084383.560000001</v>
      </c>
      <c r="I148" s="3" t="s">
        <v>9</v>
      </c>
      <c r="J148" s="3" t="s">
        <v>10</v>
      </c>
      <c r="K148" s="16" t="s">
        <v>14</v>
      </c>
      <c r="L148" s="16" t="s">
        <v>15</v>
      </c>
      <c r="M148" s="16" t="s">
        <v>16</v>
      </c>
      <c r="N148" s="1" t="s">
        <v>0</v>
      </c>
      <c r="O148" s="3"/>
      <c r="P148" s="3"/>
      <c r="Q148" s="3">
        <v>101.395938356164</v>
      </c>
    </row>
    <row r="149" spans="1:17">
      <c r="A149" s="28" t="s">
        <v>53</v>
      </c>
      <c r="B149" s="36">
        <f>B148+E146*E147/100</f>
        <v>5923722.2400000002</v>
      </c>
      <c r="C149" s="36">
        <f>C148+F148</f>
        <v>19854303.560000002</v>
      </c>
      <c r="D149" s="28" t="s">
        <v>54</v>
      </c>
      <c r="E149">
        <v>0</v>
      </c>
      <c r="I149" s="4">
        <v>40494</v>
      </c>
      <c r="J149" s="3">
        <v>101.44</v>
      </c>
      <c r="K149" s="3">
        <f>O147</f>
        <v>2.1917808219178103E-2</v>
      </c>
      <c r="L149" s="3">
        <f>J149/(1+N149)^K149</f>
        <v>101.29964928490124</v>
      </c>
      <c r="M149" s="3">
        <f>L149</f>
        <v>101.29964928490124</v>
      </c>
      <c r="N149" s="23">
        <v>6.5207600000000004E-2</v>
      </c>
      <c r="O149" s="3"/>
      <c r="P149" s="3">
        <f>M149-N147</f>
        <v>99.891210928736854</v>
      </c>
      <c r="Q149" s="3"/>
    </row>
    <row r="150" spans="1:17">
      <c r="A150" s="31"/>
      <c r="I150" s="4"/>
      <c r="J150" s="3"/>
      <c r="K150" s="3"/>
      <c r="L150" s="3"/>
      <c r="M150" s="3">
        <v>100</v>
      </c>
      <c r="N150" s="3"/>
      <c r="O150" s="3"/>
      <c r="P150" s="3"/>
      <c r="Q150" s="3">
        <v>2.0079642652</v>
      </c>
    </row>
    <row r="151" spans="1:17">
      <c r="A151" s="28" t="s">
        <v>55</v>
      </c>
      <c r="B151">
        <v>0</v>
      </c>
      <c r="I151" s="4"/>
      <c r="J151" s="3"/>
      <c r="K151" s="3"/>
      <c r="L151" s="3"/>
      <c r="M151" s="3">
        <f>M150+N147</f>
        <v>101.40843835616438</v>
      </c>
      <c r="N151" s="3"/>
      <c r="O151" s="3"/>
      <c r="P151" s="3"/>
      <c r="Q151" s="3"/>
    </row>
    <row r="152" spans="1:17">
      <c r="A152" s="28" t="s">
        <v>56</v>
      </c>
      <c r="B152">
        <v>0</v>
      </c>
      <c r="D152" s="36"/>
      <c r="I152" s="4"/>
      <c r="J152" s="3"/>
      <c r="K152" s="3"/>
      <c r="L152" s="3"/>
      <c r="M152" s="3"/>
      <c r="N152" s="3"/>
      <c r="O152" s="3"/>
      <c r="P152" s="3"/>
      <c r="Q152" s="3"/>
    </row>
    <row r="153" spans="1:17">
      <c r="A153" s="28" t="s">
        <v>57</v>
      </c>
      <c r="B153">
        <v>0</v>
      </c>
      <c r="N153">
        <f>N149/100</f>
        <v>6.5207600000000002E-4</v>
      </c>
    </row>
    <row r="155" spans="1:17">
      <c r="A155" s="28" t="s">
        <v>119</v>
      </c>
      <c r="B155">
        <f>B148/E147*100</f>
        <v>98.8</v>
      </c>
      <c r="C155">
        <f>C148/E147*100</f>
        <v>98.8</v>
      </c>
      <c r="I155" s="86">
        <v>40485</v>
      </c>
      <c r="K155">
        <f>356*L147/365</f>
        <v>1.4044931506849314</v>
      </c>
    </row>
    <row r="156" spans="1:17">
      <c r="A156" t="s">
        <v>63</v>
      </c>
      <c r="B156" s="38">
        <f>N149</f>
        <v>6.5207600000000004E-2</v>
      </c>
      <c r="C156" s="33">
        <v>6.3E-2</v>
      </c>
      <c r="D156" s="33"/>
      <c r="K156">
        <f>N147-K155</f>
        <v>3.9452054794519853E-3</v>
      </c>
    </row>
    <row r="157" spans="1:17">
      <c r="A157" s="30" t="s">
        <v>58</v>
      </c>
      <c r="B157" s="125">
        <f>C155*E147/100*B156/366*153</f>
        <v>157281.75741796722</v>
      </c>
      <c r="K157">
        <f>K156*E147/100</f>
        <v>230.39999999999591</v>
      </c>
    </row>
    <row r="158" spans="1:17">
      <c r="A158" s="30" t="s">
        <v>61</v>
      </c>
      <c r="B158" s="125">
        <f>E147*C156/366*153</f>
        <v>153802.62295081967</v>
      </c>
    </row>
    <row r="159" spans="1:17">
      <c r="A159">
        <v>15560.6648</v>
      </c>
      <c r="B159" s="125">
        <f>B157-B158</f>
        <v>3479.1344671475526</v>
      </c>
      <c r="I159" s="17" t="s">
        <v>2</v>
      </c>
      <c r="J159" s="5" t="s">
        <v>3</v>
      </c>
      <c r="K159" s="5" t="s">
        <v>4</v>
      </c>
      <c r="L159" s="5" t="s">
        <v>5</v>
      </c>
      <c r="M159" s="5" t="s">
        <v>6</v>
      </c>
      <c r="N159" s="2" t="s">
        <v>7</v>
      </c>
      <c r="O159" s="2" t="s">
        <v>1</v>
      </c>
      <c r="P159" s="3" t="s">
        <v>29</v>
      </c>
      <c r="Q159" s="3" t="s">
        <v>30</v>
      </c>
    </row>
    <row r="160" spans="1:17">
      <c r="A160" t="s">
        <v>173</v>
      </c>
      <c r="B160" s="35">
        <f>A159-B159</f>
        <v>12081.530332852448</v>
      </c>
      <c r="C160">
        <f>B157+B160</f>
        <v>169363.28775081967</v>
      </c>
      <c r="D160">
        <f>C160/E147*365*100</f>
        <v>1058.5205484426228</v>
      </c>
      <c r="I160" s="6">
        <v>40487</v>
      </c>
      <c r="J160" s="6">
        <v>40129</v>
      </c>
      <c r="K160" s="5">
        <f>I160-J160</f>
        <v>358</v>
      </c>
      <c r="L160" s="5">
        <v>1.44</v>
      </c>
      <c r="M160" s="5">
        <v>365</v>
      </c>
      <c r="N160" s="2">
        <f>K160*L160/M160</f>
        <v>1.4123835616438356</v>
      </c>
      <c r="O160" s="2">
        <f>1-K160/M160</f>
        <v>1.9178082191780854E-2</v>
      </c>
      <c r="P160" s="3">
        <v>99.987499999999997</v>
      </c>
      <c r="Q160" s="26">
        <f>P160+N160</f>
        <v>101.39988356164383</v>
      </c>
    </row>
    <row r="161" spans="1:17">
      <c r="I161" s="3" t="s">
        <v>9</v>
      </c>
      <c r="J161" s="3" t="s">
        <v>10</v>
      </c>
      <c r="K161" s="16" t="s">
        <v>14</v>
      </c>
      <c r="L161" s="16" t="s">
        <v>15</v>
      </c>
      <c r="M161" s="16" t="s">
        <v>16</v>
      </c>
      <c r="N161" s="1" t="s">
        <v>0</v>
      </c>
      <c r="O161" s="3"/>
      <c r="P161" s="3"/>
      <c r="Q161" s="3">
        <v>101.395938356164</v>
      </c>
    </row>
    <row r="162" spans="1:17">
      <c r="I162" s="4">
        <v>40494</v>
      </c>
      <c r="J162" s="3">
        <v>101.44</v>
      </c>
      <c r="K162" s="3">
        <f>O160</f>
        <v>1.9178082191780854E-2</v>
      </c>
      <c r="L162" s="3">
        <f>J162/(1+N162)^K162</f>
        <v>101.40178149512425</v>
      </c>
      <c r="M162" s="3">
        <f>L162</f>
        <v>101.40178149512425</v>
      </c>
      <c r="N162" s="23">
        <v>1.9843342171911294E-2</v>
      </c>
      <c r="O162" s="3"/>
      <c r="P162" s="3">
        <f>M162-N160</f>
        <v>99.989397933480419</v>
      </c>
      <c r="Q162" s="3"/>
    </row>
    <row r="163" spans="1:17">
      <c r="A163" s="41" t="s">
        <v>64</v>
      </c>
      <c r="B163" s="42"/>
      <c r="C163" s="42"/>
      <c r="D163" s="42"/>
      <c r="E163" s="43"/>
      <c r="I163" s="4"/>
      <c r="J163" s="3"/>
      <c r="K163" s="3"/>
      <c r="L163" s="3"/>
      <c r="M163" s="3"/>
      <c r="N163" s="3"/>
      <c r="O163" s="3"/>
      <c r="P163" s="3"/>
      <c r="Q163" s="3"/>
    </row>
    <row r="164" spans="1:17" ht="54">
      <c r="A164" s="44" t="s">
        <v>65</v>
      </c>
      <c r="B164" s="45" t="s">
        <v>66</v>
      </c>
      <c r="C164" s="45" t="s">
        <v>67</v>
      </c>
      <c r="D164" s="45" t="s">
        <v>68</v>
      </c>
      <c r="E164" s="46" t="s">
        <v>69</v>
      </c>
      <c r="I164" s="4">
        <v>41118</v>
      </c>
      <c r="J164" s="3">
        <f>I164-J166</f>
        <v>366</v>
      </c>
      <c r="K164" s="3"/>
      <c r="L164" s="3"/>
      <c r="M164" s="3"/>
      <c r="N164" s="3"/>
      <c r="O164" s="3"/>
      <c r="P164" s="3"/>
      <c r="Q164" s="3"/>
    </row>
    <row r="165" spans="1:17">
      <c r="A165" s="90">
        <f>C155*E147/100</f>
        <v>5769920</v>
      </c>
      <c r="B165" s="47">
        <f>A165*C156</f>
        <v>363504.96</v>
      </c>
      <c r="C165" s="47">
        <f>E147*0.0144</f>
        <v>84096</v>
      </c>
      <c r="D165" s="91">
        <f>A165+B165-C165</f>
        <v>6049328.96</v>
      </c>
      <c r="E165" s="48">
        <f>(B165-C165)/365</f>
        <v>765.50400000000002</v>
      </c>
      <c r="I165" s="17" t="s">
        <v>2</v>
      </c>
      <c r="J165" s="5" t="s">
        <v>3</v>
      </c>
      <c r="K165" s="5" t="s">
        <v>4</v>
      </c>
      <c r="L165" s="5" t="s">
        <v>5</v>
      </c>
      <c r="M165" s="5" t="s">
        <v>6</v>
      </c>
      <c r="N165" s="2" t="s">
        <v>7</v>
      </c>
      <c r="O165" s="2" t="s">
        <v>1</v>
      </c>
      <c r="P165" s="3" t="s">
        <v>29</v>
      </c>
      <c r="Q165" s="3" t="s">
        <v>30</v>
      </c>
    </row>
    <row r="166" spans="1:17">
      <c r="I166" s="6">
        <v>40905</v>
      </c>
      <c r="J166" s="6">
        <v>40752</v>
      </c>
      <c r="K166" s="5">
        <f>I166-J166</f>
        <v>153</v>
      </c>
      <c r="L166" s="5">
        <v>6.3</v>
      </c>
      <c r="M166" s="5">
        <v>366</v>
      </c>
      <c r="N166" s="2">
        <f>K166*L166/M166</f>
        <v>2.6336065573770493</v>
      </c>
      <c r="O166" s="2">
        <f>1-K166/M166</f>
        <v>0.58196721311475408</v>
      </c>
      <c r="P166" s="3">
        <v>99.987499999999997</v>
      </c>
      <c r="Q166" s="26">
        <f>P166+N166</f>
        <v>102.62110655737705</v>
      </c>
    </row>
    <row r="167" spans="1:17">
      <c r="A167" t="s">
        <v>98</v>
      </c>
      <c r="B167">
        <f>(C148+B159)/E147*100</f>
        <v>98.859574220327858</v>
      </c>
      <c r="I167" s="3" t="s">
        <v>9</v>
      </c>
      <c r="J167" s="3" t="s">
        <v>10</v>
      </c>
      <c r="K167" s="16" t="s">
        <v>14</v>
      </c>
      <c r="L167" s="16" t="s">
        <v>15</v>
      </c>
      <c r="M167" s="16" t="s">
        <v>16</v>
      </c>
      <c r="N167" s="1" t="s">
        <v>0</v>
      </c>
      <c r="O167" s="3"/>
      <c r="P167" s="3"/>
      <c r="Q167" s="3">
        <v>101.395938356164</v>
      </c>
    </row>
    <row r="168" spans="1:17" ht="14.25" thickBot="1">
      <c r="A168" s="51" t="s">
        <v>106</v>
      </c>
      <c r="B168">
        <f>(C148+A159)/E147*100</f>
        <v>99.066449739726039</v>
      </c>
      <c r="C168" s="39" t="s">
        <v>107</v>
      </c>
      <c r="I168" s="4">
        <v>40494</v>
      </c>
      <c r="J168" s="3">
        <v>101.44</v>
      </c>
      <c r="K168" s="3">
        <f>O166</f>
        <v>0.58196721311475408</v>
      </c>
      <c r="L168" s="3">
        <f>J168/(1+N168)^K168</f>
        <v>97.778507263416017</v>
      </c>
      <c r="M168" s="3">
        <f>SUM(L170:L176)</f>
        <v>101.43362329756629</v>
      </c>
      <c r="N168" s="23">
        <v>6.5207600000000004E-2</v>
      </c>
      <c r="O168" s="3"/>
      <c r="P168" s="3">
        <f>M168-N166</f>
        <v>98.800016740189236</v>
      </c>
      <c r="Q168" s="3"/>
    </row>
    <row r="169" spans="1:17">
      <c r="A169" s="35" t="s">
        <v>99</v>
      </c>
      <c r="B169" s="54">
        <f>B167+N178</f>
        <v>101.51039389245901</v>
      </c>
      <c r="N169" s="92">
        <v>2.5274000000000001E-2</v>
      </c>
    </row>
    <row r="170" spans="1:17" ht="14.25" thickBot="1">
      <c r="A170" s="55" t="s">
        <v>104</v>
      </c>
      <c r="B170" s="56">
        <f>B168+N178</f>
        <v>101.71726941185719</v>
      </c>
      <c r="C170" s="39" t="s">
        <v>108</v>
      </c>
      <c r="I170" s="86">
        <v>41118</v>
      </c>
      <c r="J170">
        <v>6.3</v>
      </c>
      <c r="K170">
        <f>O$166</f>
        <v>0.58196721311475408</v>
      </c>
      <c r="L170">
        <f>J170/(1+N$168)^K170</f>
        <v>6.0726005102476428</v>
      </c>
      <c r="N170" s="38">
        <f>N169-N168</f>
        <v>-3.99336E-2</v>
      </c>
    </row>
    <row r="171" spans="1:17">
      <c r="A171" s="50"/>
      <c r="I171" s="86">
        <v>41483</v>
      </c>
      <c r="J171">
        <v>6.3</v>
      </c>
      <c r="K171">
        <f>1+O$166</f>
        <v>1.581967213114754</v>
      </c>
      <c r="L171">
        <f>J171/(1+N$168)^K171</f>
        <v>5.700861043657258</v>
      </c>
    </row>
    <row r="172" spans="1:17" ht="27">
      <c r="A172" s="61" t="s">
        <v>116</v>
      </c>
      <c r="B172" s="36">
        <f>C148+B159</f>
        <v>5773399.1344671473</v>
      </c>
      <c r="I172" s="86">
        <v>41848</v>
      </c>
      <c r="J172">
        <v>6.3</v>
      </c>
      <c r="K172">
        <f>2+O$166</f>
        <v>2.581967213114754</v>
      </c>
      <c r="L172">
        <f t="shared" ref="L171:L176" si="0">J172/(1+N$168)^K172</f>
        <v>5.3518779284500582</v>
      </c>
    </row>
    <row r="173" spans="1:17" ht="14.25" thickBot="1">
      <c r="A173" s="57" t="s">
        <v>102</v>
      </c>
      <c r="B173" s="52">
        <f>C148+A159</f>
        <v>5785480.6648000004</v>
      </c>
      <c r="C173" s="39" t="s">
        <v>110</v>
      </c>
      <c r="I173" s="86">
        <v>42213</v>
      </c>
      <c r="J173">
        <v>6.3</v>
      </c>
      <c r="K173">
        <f>3+O$166</f>
        <v>3.581967213114754</v>
      </c>
      <c r="L173">
        <f t="shared" si="0"/>
        <v>5.0242581149909729</v>
      </c>
    </row>
    <row r="174" spans="1:17">
      <c r="I174" s="86">
        <v>42579</v>
      </c>
      <c r="J174">
        <v>6.3</v>
      </c>
      <c r="K174">
        <f>4+O$166</f>
        <v>4.581967213114754</v>
      </c>
      <c r="L174">
        <f t="shared" si="0"/>
        <v>4.716693830377265</v>
      </c>
    </row>
    <row r="175" spans="1:17">
      <c r="A175" s="58" t="s">
        <v>100</v>
      </c>
      <c r="B175" s="38" t="str">
        <f>N167</f>
        <v>收益率</v>
      </c>
      <c r="I175" s="86">
        <v>42944</v>
      </c>
      <c r="J175">
        <v>6.3</v>
      </c>
      <c r="K175">
        <f>5+O$166</f>
        <v>5.581967213114754</v>
      </c>
      <c r="L175">
        <f t="shared" si="0"/>
        <v>4.4279573581499658</v>
      </c>
    </row>
    <row r="176" spans="1:17" ht="14.25" thickBot="1">
      <c r="A176" s="59" t="s">
        <v>101</v>
      </c>
      <c r="B176" s="51">
        <f>0.057247959572*100</f>
        <v>5.7247959571999996</v>
      </c>
      <c r="C176" s="39" t="s">
        <v>124</v>
      </c>
      <c r="I176" s="86">
        <v>43309</v>
      </c>
      <c r="J176">
        <v>106.3</v>
      </c>
      <c r="K176">
        <f>6+O$166</f>
        <v>6.581967213114754</v>
      </c>
      <c r="L176">
        <f t="shared" si="0"/>
        <v>70.13937451169312</v>
      </c>
    </row>
    <row r="177" spans="1:15">
      <c r="I177" s="17" t="s">
        <v>2</v>
      </c>
      <c r="J177" s="5" t="s">
        <v>3</v>
      </c>
      <c r="K177" s="5" t="s">
        <v>4</v>
      </c>
      <c r="L177" s="5" t="s">
        <v>5</v>
      </c>
      <c r="M177" s="5" t="s">
        <v>6</v>
      </c>
      <c r="N177" s="2" t="s">
        <v>7</v>
      </c>
      <c r="O177" s="2" t="s">
        <v>1</v>
      </c>
    </row>
    <row r="178" spans="1:15">
      <c r="A178" s="58" t="s">
        <v>113</v>
      </c>
      <c r="B178">
        <f>B146</f>
        <v>98.8</v>
      </c>
      <c r="I178" s="6">
        <v>40906</v>
      </c>
      <c r="J178" s="6">
        <v>40752</v>
      </c>
      <c r="K178" s="5">
        <f>I178-J178</f>
        <v>154</v>
      </c>
      <c r="L178" s="5">
        <v>6.3</v>
      </c>
      <c r="M178" s="5">
        <v>366</v>
      </c>
      <c r="N178" s="2">
        <f>K178*L178/M178</f>
        <v>2.6508196721311474</v>
      </c>
      <c r="O178" s="2">
        <f>1-K178/M178</f>
        <v>0.57923497267759561</v>
      </c>
    </row>
    <row r="179" spans="1:15">
      <c r="A179" s="58" t="s">
        <v>114</v>
      </c>
      <c r="B179">
        <f>B178+N166</f>
        <v>101.43360655737705</v>
      </c>
      <c r="C179" s="39" t="s">
        <v>111</v>
      </c>
    </row>
    <row r="181" spans="1:15">
      <c r="A181" s="60" t="s">
        <v>118</v>
      </c>
      <c r="B181" s="36">
        <f>B179*E147/100</f>
        <v>5923722.6229508193</v>
      </c>
    </row>
    <row r="183" spans="1:15">
      <c r="A183" s="60" t="s">
        <v>117</v>
      </c>
      <c r="B183" s="35">
        <v>20328664.379999999</v>
      </c>
    </row>
    <row r="184" spans="1:15">
      <c r="A184" t="s">
        <v>120</v>
      </c>
    </row>
  </sheetData>
  <dataConsolidate/>
  <phoneticPr fontId="1" type="noConversion"/>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dimension ref="A1:J119"/>
  <sheetViews>
    <sheetView workbookViewId="0">
      <pane ySplit="19" topLeftCell="A78" activePane="bottomLeft" state="frozen"/>
      <selection pane="bottomLeft" activeCell="D15" sqref="D15"/>
    </sheetView>
  </sheetViews>
  <sheetFormatPr defaultRowHeight="13.5" outlineLevelRow="1"/>
  <cols>
    <col min="1" max="1" width="12.375" customWidth="1"/>
    <col min="2" max="2" width="14.375" customWidth="1"/>
    <col min="3" max="3" width="18.25" customWidth="1"/>
    <col min="4" max="5" width="16.125" bestFit="1" customWidth="1"/>
    <col min="7" max="7" width="11.625" bestFit="1" customWidth="1"/>
    <col min="8" max="8" width="16.125" bestFit="1" customWidth="1"/>
    <col min="9" max="9" width="11.625" bestFit="1" customWidth="1"/>
  </cols>
  <sheetData>
    <row r="1" spans="1:3">
      <c r="A1" t="s">
        <v>141</v>
      </c>
    </row>
    <row r="6" spans="1:3">
      <c r="B6" t="s">
        <v>142</v>
      </c>
    </row>
    <row r="15" spans="1:3">
      <c r="C15" t="s">
        <v>143</v>
      </c>
    </row>
    <row r="16" spans="1:3">
      <c r="C16" t="s">
        <v>145</v>
      </c>
    </row>
    <row r="17" spans="2:4">
      <c r="C17" t="s">
        <v>146</v>
      </c>
    </row>
    <row r="18" spans="2:4">
      <c r="C18" t="s">
        <v>147</v>
      </c>
    </row>
    <row r="19" spans="2:4">
      <c r="C19" t="s">
        <v>144</v>
      </c>
    </row>
    <row r="21" spans="2:4" hidden="1" outlineLevel="1">
      <c r="C21" t="s">
        <v>148</v>
      </c>
      <c r="D21">
        <v>100074.79</v>
      </c>
    </row>
    <row r="22" spans="2:4" hidden="1" outlineLevel="1">
      <c r="C22" t="s">
        <v>149</v>
      </c>
      <c r="D22">
        <v>103814.52</v>
      </c>
    </row>
    <row r="23" spans="2:4" hidden="1" outlineLevel="1">
      <c r="C23" t="s">
        <v>150</v>
      </c>
      <c r="D23">
        <f>39*100000/1000</f>
        <v>3900</v>
      </c>
    </row>
    <row r="24" spans="2:4" hidden="1" outlineLevel="1">
      <c r="C24" t="s">
        <v>151</v>
      </c>
      <c r="D24">
        <v>15</v>
      </c>
    </row>
    <row r="25" spans="2:4" hidden="1" outlineLevel="1">
      <c r="C25" s="85" t="s">
        <v>152</v>
      </c>
      <c r="D25">
        <f>D26-C26</f>
        <v>7</v>
      </c>
    </row>
    <row r="26" spans="2:4" hidden="1" outlineLevel="1">
      <c r="C26" s="86">
        <v>40494</v>
      </c>
      <c r="D26" s="86">
        <v>40501</v>
      </c>
    </row>
    <row r="27" spans="2:4" hidden="1" outlineLevel="1"/>
    <row r="28" spans="2:4" hidden="1" outlineLevel="1">
      <c r="C28">
        <f>(D21-D22+D23)</f>
        <v>160.26999999998952</v>
      </c>
    </row>
    <row r="29" spans="2:4" hidden="1" outlineLevel="1">
      <c r="C29">
        <f>(D22*D24/365)-(D23*D25/365)</f>
        <v>4191.5556164383561</v>
      </c>
    </row>
    <row r="30" spans="2:4" hidden="1" outlineLevel="1">
      <c r="B30" t="s">
        <v>153</v>
      </c>
      <c r="C30">
        <f>C28/C29*100</f>
        <v>3.8236400674595834</v>
      </c>
    </row>
    <row r="31" spans="2:4" hidden="1" outlineLevel="1"/>
    <row r="32" spans="2:4" collapsed="1">
      <c r="D32" s="87" t="s">
        <v>154</v>
      </c>
    </row>
    <row r="33" spans="1:9">
      <c r="D33" s="87" t="s">
        <v>155</v>
      </c>
    </row>
    <row r="34" spans="1:9">
      <c r="C34" s="88"/>
      <c r="D34" s="85" t="s">
        <v>156</v>
      </c>
      <c r="E34" t="s">
        <v>161</v>
      </c>
    </row>
    <row r="35" spans="1:9">
      <c r="D35" s="87" t="s">
        <v>157</v>
      </c>
    </row>
    <row r="36" spans="1:9">
      <c r="D36" s="85" t="s">
        <v>168</v>
      </c>
      <c r="E36" t="s">
        <v>160</v>
      </c>
    </row>
    <row r="37" spans="1:9">
      <c r="D37" s="85" t="s">
        <v>159</v>
      </c>
      <c r="E37" t="s">
        <v>162</v>
      </c>
    </row>
    <row r="38" spans="1:9">
      <c r="D38" s="85" t="s">
        <v>158</v>
      </c>
      <c r="E38" t="s">
        <v>161</v>
      </c>
    </row>
    <row r="40" spans="1:9" hidden="1" outlineLevel="1">
      <c r="B40" s="88" t="str">
        <f>D34</f>
        <v>060228</v>
      </c>
      <c r="E40" s="86">
        <v>40494</v>
      </c>
      <c r="G40" t="str">
        <f>D37</f>
        <v>080219</v>
      </c>
    </row>
    <row r="41" spans="1:9" hidden="1" outlineLevel="1">
      <c r="A41" t="s">
        <v>169</v>
      </c>
      <c r="B41" t="s">
        <v>167</v>
      </c>
      <c r="C41" t="s">
        <v>148</v>
      </c>
      <c r="D41">
        <v>100.04470000000001</v>
      </c>
      <c r="H41" t="s">
        <v>148</v>
      </c>
      <c r="I41">
        <v>100.01</v>
      </c>
    </row>
    <row r="42" spans="1:9" hidden="1" outlineLevel="1">
      <c r="C42" t="s">
        <v>149</v>
      </c>
      <c r="D42">
        <v>102.71</v>
      </c>
      <c r="H42" t="s">
        <v>149</v>
      </c>
      <c r="I42">
        <v>102.8</v>
      </c>
    </row>
    <row r="43" spans="1:9" hidden="1" outlineLevel="1">
      <c r="C43" t="s">
        <v>150</v>
      </c>
      <c r="D43">
        <f>2.72</f>
        <v>2.72</v>
      </c>
      <c r="H43" t="s">
        <v>150</v>
      </c>
      <c r="I43">
        <f>2.85</f>
        <v>2.85</v>
      </c>
    </row>
    <row r="44" spans="1:9" hidden="1" outlineLevel="1">
      <c r="C44" t="s">
        <v>151</v>
      </c>
      <c r="D44">
        <v>8</v>
      </c>
      <c r="H44" t="s">
        <v>151</v>
      </c>
      <c r="I44">
        <v>8</v>
      </c>
    </row>
    <row r="45" spans="1:9" hidden="1" outlineLevel="1">
      <c r="C45" s="85" t="s">
        <v>152</v>
      </c>
      <c r="D45">
        <f>D46-C46</f>
        <v>6</v>
      </c>
      <c r="H45" s="85" t="s">
        <v>152</v>
      </c>
      <c r="I45">
        <f>I46-H46</f>
        <v>1</v>
      </c>
    </row>
    <row r="46" spans="1:9" hidden="1" outlineLevel="1">
      <c r="C46" s="86">
        <v>40488</v>
      </c>
      <c r="D46" s="86">
        <v>40494</v>
      </c>
      <c r="H46" s="86">
        <v>40493</v>
      </c>
      <c r="I46" s="86">
        <v>40494</v>
      </c>
    </row>
    <row r="47" spans="1:9" hidden="1" outlineLevel="1"/>
    <row r="48" spans="1:9" hidden="1" outlineLevel="1">
      <c r="B48" s="88" t="str">
        <f>D36</f>
        <v>090027</v>
      </c>
      <c r="G48" t="str">
        <f>D38</f>
        <v>080218</v>
      </c>
    </row>
    <row r="49" spans="1:10" hidden="1" outlineLevel="1">
      <c r="A49" t="s">
        <v>169</v>
      </c>
      <c r="B49" t="s">
        <v>166</v>
      </c>
      <c r="C49" t="s">
        <v>148</v>
      </c>
      <c r="D49">
        <v>100.07</v>
      </c>
      <c r="H49" t="s">
        <v>148</v>
      </c>
      <c r="I49">
        <v>100.05</v>
      </c>
    </row>
    <row r="50" spans="1:10" hidden="1" outlineLevel="1">
      <c r="C50" t="s">
        <v>149</v>
      </c>
      <c r="D50">
        <v>101.83</v>
      </c>
      <c r="E50">
        <v>103.66</v>
      </c>
      <c r="H50" t="s">
        <v>149</v>
      </c>
      <c r="I50">
        <v>103.18</v>
      </c>
    </row>
    <row r="51" spans="1:10" hidden="1" outlineLevel="1">
      <c r="C51" t="s">
        <v>150</v>
      </c>
      <c r="D51">
        <v>1.84</v>
      </c>
      <c r="H51" t="s">
        <v>150</v>
      </c>
      <c r="I51">
        <f>3.2</f>
        <v>3.2</v>
      </c>
    </row>
    <row r="52" spans="1:10" hidden="1" outlineLevel="1">
      <c r="C52" t="s">
        <v>151</v>
      </c>
      <c r="D52">
        <v>8</v>
      </c>
      <c r="H52" t="s">
        <v>151</v>
      </c>
      <c r="I52">
        <v>8</v>
      </c>
    </row>
    <row r="53" spans="1:10" hidden="1" outlineLevel="1">
      <c r="C53" s="85" t="s">
        <v>152</v>
      </c>
      <c r="D53">
        <f>D54-C54</f>
        <v>7</v>
      </c>
      <c r="H53" s="85" t="s">
        <v>152</v>
      </c>
      <c r="I53">
        <f>I54-H54</f>
        <v>6</v>
      </c>
    </row>
    <row r="54" spans="1:10" hidden="1" outlineLevel="1">
      <c r="C54" s="86">
        <v>40487</v>
      </c>
      <c r="D54" s="86">
        <v>40494</v>
      </c>
      <c r="H54" s="86">
        <v>40488</v>
      </c>
      <c r="I54" s="86">
        <v>40494</v>
      </c>
    </row>
    <row r="55" spans="1:10" hidden="1" outlineLevel="1"/>
    <row r="56" spans="1:10" hidden="1" outlineLevel="1"/>
    <row r="57" spans="1:10" hidden="1" outlineLevel="1">
      <c r="B57" t="s">
        <v>163</v>
      </c>
      <c r="C57">
        <f>D41+D49+I41+I49</f>
        <v>400.17470000000003</v>
      </c>
    </row>
    <row r="58" spans="1:10" hidden="1" outlineLevel="1">
      <c r="B58" t="s">
        <v>164</v>
      </c>
      <c r="C58">
        <f>D42+D50+I42+I50</f>
        <v>410.52</v>
      </c>
    </row>
    <row r="59" spans="1:10" hidden="1" outlineLevel="1">
      <c r="B59" t="s">
        <v>165</v>
      </c>
      <c r="C59">
        <f>D43+D51+I43+I51</f>
        <v>10.61</v>
      </c>
      <c r="E59">
        <f>C59*100000/100</f>
        <v>10610</v>
      </c>
    </row>
    <row r="60" spans="1:10" hidden="1" outlineLevel="1">
      <c r="B60" s="119" t="s">
        <v>195</v>
      </c>
      <c r="C60">
        <f>C57-C58+C59</f>
        <v>0.26470000000004745</v>
      </c>
    </row>
    <row r="61" spans="1:10" hidden="1" outlineLevel="1"/>
    <row r="62" spans="1:10" hidden="1" outlineLevel="1">
      <c r="C62">
        <f>D42*D44+D50*D52+I42*I44+I50*I52</f>
        <v>3284.16</v>
      </c>
      <c r="D62">
        <f>D43*D45+I43*I45+D51*D53+I51*I53</f>
        <v>51.250000000000007</v>
      </c>
    </row>
    <row r="63" spans="1:10" hidden="1" outlineLevel="1">
      <c r="C63">
        <f>C62/365</f>
        <v>8.9976986301369859</v>
      </c>
      <c r="D63">
        <f>D62/365</f>
        <v>0.1404109589041096</v>
      </c>
    </row>
    <row r="64" spans="1:10" hidden="1" outlineLevel="1">
      <c r="B64" s="119" t="s">
        <v>196</v>
      </c>
      <c r="C64">
        <f>C63-D63</f>
        <v>8.8572876712328767</v>
      </c>
      <c r="H64" s="86">
        <v>40303</v>
      </c>
      <c r="I64" s="86">
        <v>40487</v>
      </c>
      <c r="J64">
        <v>3.68</v>
      </c>
    </row>
    <row r="65" spans="2:10" hidden="1" outlineLevel="1">
      <c r="I65" s="86">
        <v>40486</v>
      </c>
    </row>
    <row r="66" spans="2:10" hidden="1" outlineLevel="1">
      <c r="B66" s="119" t="s">
        <v>197</v>
      </c>
      <c r="C66">
        <f>C60/C64*100</f>
        <v>2.9884995251961026</v>
      </c>
      <c r="I66">
        <f>I65-H64</f>
        <v>183</v>
      </c>
    </row>
    <row r="67" spans="2:10" hidden="1" outlineLevel="1">
      <c r="D67">
        <v>2.9883999999999999</v>
      </c>
      <c r="I67">
        <f>I64-H64</f>
        <v>184</v>
      </c>
    </row>
    <row r="68" spans="2:10" hidden="1" outlineLevel="1">
      <c r="H68" s="86">
        <v>40487</v>
      </c>
      <c r="I68" s="86">
        <v>40668</v>
      </c>
      <c r="J68">
        <v>3.68</v>
      </c>
    </row>
    <row r="69" spans="2:10" hidden="1" outlineLevel="1">
      <c r="C69">
        <v>10370.65</v>
      </c>
      <c r="I69" s="86">
        <v>40494</v>
      </c>
    </row>
    <row r="70" spans="2:10" hidden="1" outlineLevel="1">
      <c r="C70">
        <f>E59-C69</f>
        <v>239.35000000000036</v>
      </c>
      <c r="I70">
        <f>I69-H68</f>
        <v>7</v>
      </c>
    </row>
    <row r="71" spans="2:10" hidden="1" outlineLevel="1">
      <c r="I71">
        <f>I68-H68</f>
        <v>181</v>
      </c>
    </row>
    <row r="72" spans="2:10" hidden="1" outlineLevel="1">
      <c r="C72" s="89">
        <v>410546.93</v>
      </c>
      <c r="I72">
        <f>I70*J68/2/I71</f>
        <v>7.1160220994475137E-2</v>
      </c>
    </row>
    <row r="73" spans="2:10" hidden="1" outlineLevel="1">
      <c r="C73">
        <f>C72*C66/100*8/365</f>
        <v>268.91382035632165</v>
      </c>
    </row>
    <row r="74" spans="2:10" hidden="1" outlineLevel="1"/>
    <row r="75" spans="2:10" collapsed="1"/>
    <row r="77" spans="2:10">
      <c r="B77" s="85" t="s">
        <v>174</v>
      </c>
      <c r="C77" t="s">
        <v>176</v>
      </c>
    </row>
    <row r="78" spans="2:10">
      <c r="B78" s="85" t="s">
        <v>175</v>
      </c>
      <c r="C78" t="s">
        <v>177</v>
      </c>
    </row>
    <row r="79" spans="2:10">
      <c r="D79" s="93"/>
    </row>
    <row r="80" spans="2:10" ht="14.25" thickBot="1"/>
    <row r="81" spans="2:8">
      <c r="B81" s="109" t="str">
        <f>B77</f>
        <v>078069</v>
      </c>
      <c r="C81" s="110"/>
      <c r="D81" s="110"/>
      <c r="E81" s="110"/>
      <c r="F81" s="110" t="str">
        <f>B78</f>
        <v>078073</v>
      </c>
      <c r="G81" s="110"/>
      <c r="H81" s="111"/>
    </row>
    <row r="82" spans="2:8">
      <c r="B82" s="112"/>
      <c r="C82" s="96" t="s">
        <v>148</v>
      </c>
      <c r="D82" s="99">
        <v>43514063.009999998</v>
      </c>
      <c r="E82" s="96"/>
      <c r="F82" s="96"/>
      <c r="G82" s="96" t="s">
        <v>148</v>
      </c>
      <c r="H82" s="113">
        <v>40006246.579999998</v>
      </c>
    </row>
    <row r="83" spans="2:8">
      <c r="B83" s="112"/>
      <c r="C83" s="96" t="s">
        <v>149</v>
      </c>
      <c r="D83" s="99">
        <v>46031342.469999999</v>
      </c>
      <c r="E83" s="96"/>
      <c r="F83" s="96"/>
      <c r="G83" s="96" t="s">
        <v>149</v>
      </c>
      <c r="H83" s="113">
        <v>42242520.549999997</v>
      </c>
    </row>
    <row r="84" spans="2:8">
      <c r="B84" s="112"/>
      <c r="C84" s="96" t="s">
        <v>150</v>
      </c>
      <c r="D84" s="99">
        <f>59*43500000/1000</f>
        <v>2566500</v>
      </c>
      <c r="E84" s="96"/>
      <c r="F84" s="96"/>
      <c r="G84" s="96" t="s">
        <v>150</v>
      </c>
      <c r="H84" s="113">
        <f>57*40000000/1000</f>
        <v>2280000</v>
      </c>
    </row>
    <row r="85" spans="2:8">
      <c r="B85" s="112"/>
      <c r="C85" s="96" t="s">
        <v>151</v>
      </c>
      <c r="D85" s="96">
        <v>7</v>
      </c>
      <c r="E85" s="96"/>
      <c r="F85" s="96"/>
      <c r="G85" s="96" t="s">
        <v>151</v>
      </c>
      <c r="H85" s="114">
        <v>7</v>
      </c>
    </row>
    <row r="86" spans="2:8">
      <c r="B86" s="112"/>
      <c r="C86" s="97" t="s">
        <v>152</v>
      </c>
      <c r="D86" s="96">
        <f>C88-D88</f>
        <v>2</v>
      </c>
      <c r="E86" s="96"/>
      <c r="F86" s="96"/>
      <c r="G86" s="97" t="s">
        <v>152</v>
      </c>
      <c r="H86" s="114">
        <f>G88-H88</f>
        <v>1</v>
      </c>
    </row>
    <row r="87" spans="2:8">
      <c r="B87" s="112"/>
      <c r="C87" s="96"/>
      <c r="D87" s="96"/>
      <c r="E87" s="96"/>
      <c r="F87" s="96"/>
      <c r="G87" s="96"/>
      <c r="H87" s="114"/>
    </row>
    <row r="88" spans="2:8">
      <c r="B88" s="112"/>
      <c r="C88" s="98">
        <v>40497</v>
      </c>
      <c r="D88" s="98">
        <v>40495</v>
      </c>
      <c r="E88" s="96"/>
      <c r="F88" s="96"/>
      <c r="G88" s="98">
        <v>40497</v>
      </c>
      <c r="H88" s="115">
        <v>40496</v>
      </c>
    </row>
    <row r="89" spans="2:8">
      <c r="B89" s="112"/>
      <c r="C89" s="96"/>
      <c r="D89" s="96"/>
      <c r="E89" s="96"/>
      <c r="F89" s="96"/>
      <c r="G89" s="96"/>
      <c r="H89" s="114"/>
    </row>
    <row r="90" spans="2:8">
      <c r="B90" s="112"/>
      <c r="C90" s="96"/>
      <c r="D90" s="96"/>
      <c r="E90" s="96"/>
      <c r="F90" s="96"/>
      <c r="G90" s="96"/>
      <c r="H90" s="114"/>
    </row>
    <row r="91" spans="2:8">
      <c r="B91" s="112"/>
      <c r="C91" s="96">
        <f>D83*D85+H83*H85</f>
        <v>617917041.13999987</v>
      </c>
      <c r="D91" s="96">
        <f>C91/365</f>
        <v>1692923.4003835614</v>
      </c>
      <c r="E91" s="96"/>
      <c r="F91" s="96"/>
      <c r="G91" s="96"/>
      <c r="H91" s="114"/>
    </row>
    <row r="92" spans="2:8">
      <c r="B92" s="112"/>
      <c r="C92" s="96">
        <f>D84*D86+H84*H86</f>
        <v>7413000</v>
      </c>
      <c r="D92" s="96">
        <f>C92/365</f>
        <v>20309.589041095889</v>
      </c>
      <c r="E92" s="96"/>
      <c r="F92" s="96"/>
      <c r="G92" s="96"/>
      <c r="H92" s="114"/>
    </row>
    <row r="93" spans="2:8">
      <c r="B93" s="112"/>
      <c r="C93" s="96" t="s">
        <v>179</v>
      </c>
      <c r="D93" s="96">
        <f>D91-D92</f>
        <v>1672613.8113424655</v>
      </c>
      <c r="E93" s="96"/>
      <c r="F93" s="96"/>
      <c r="G93" s="96"/>
      <c r="H93" s="114"/>
    </row>
    <row r="94" spans="2:8">
      <c r="B94" s="112"/>
      <c r="C94" s="96"/>
      <c r="D94" s="96" t="s">
        <v>180</v>
      </c>
      <c r="E94" s="99">
        <f>D82+H82</f>
        <v>83520309.590000004</v>
      </c>
      <c r="F94" s="96"/>
      <c r="G94" s="96"/>
      <c r="H94" s="114"/>
    </row>
    <row r="95" spans="2:8">
      <c r="B95" s="112"/>
      <c r="C95" s="96"/>
      <c r="D95" s="96" t="s">
        <v>181</v>
      </c>
      <c r="E95" s="99">
        <f>D83+H83</f>
        <v>88273863.019999996</v>
      </c>
      <c r="F95" s="96"/>
      <c r="G95" s="96"/>
      <c r="H95" s="114"/>
    </row>
    <row r="96" spans="2:8">
      <c r="B96" s="112"/>
      <c r="C96" s="96"/>
      <c r="D96" s="96" t="s">
        <v>182</v>
      </c>
      <c r="E96" s="99">
        <f>D84+H84</f>
        <v>4846500</v>
      </c>
      <c r="F96" s="96"/>
      <c r="G96" s="96"/>
      <c r="H96" s="113"/>
    </row>
    <row r="97" spans="2:8">
      <c r="B97" s="112"/>
      <c r="C97" s="96"/>
      <c r="D97" s="96" t="s">
        <v>183</v>
      </c>
      <c r="E97" s="99">
        <f>E94-E95+E96</f>
        <v>92946.570000007749</v>
      </c>
      <c r="F97" s="96"/>
      <c r="G97" s="96"/>
      <c r="H97" s="113"/>
    </row>
    <row r="98" spans="2:8">
      <c r="B98" s="112"/>
      <c r="C98" s="96"/>
      <c r="D98" s="96"/>
      <c r="E98" s="96"/>
      <c r="F98" s="96"/>
      <c r="G98" s="96"/>
      <c r="H98" s="114"/>
    </row>
    <row r="99" spans="2:8" ht="14.25" thickBot="1">
      <c r="B99" s="116" t="s">
        <v>178</v>
      </c>
      <c r="C99" s="117">
        <f>E97/D93*100</f>
        <v>5.5569653538498169</v>
      </c>
      <c r="D99" s="117"/>
      <c r="E99" s="117"/>
      <c r="F99" s="117"/>
      <c r="G99" s="117"/>
      <c r="H99" s="118"/>
    </row>
    <row r="102" spans="2:8" ht="14.25" thickBot="1"/>
    <row r="103" spans="2:8">
      <c r="B103" s="100" t="s">
        <v>185</v>
      </c>
      <c r="C103" s="101"/>
      <c r="D103" s="101"/>
      <c r="E103" s="102"/>
      <c r="F103" s="101" t="s">
        <v>186</v>
      </c>
      <c r="G103" s="101"/>
      <c r="H103" s="103"/>
    </row>
    <row r="104" spans="2:8">
      <c r="B104" s="104"/>
      <c r="C104" s="96" t="s">
        <v>148</v>
      </c>
      <c r="D104" s="96">
        <v>450171875</v>
      </c>
      <c r="E104" s="96"/>
      <c r="F104" s="96"/>
      <c r="G104" s="96" t="s">
        <v>148</v>
      </c>
      <c r="H104" s="105">
        <v>4912505</v>
      </c>
    </row>
    <row r="105" spans="2:8">
      <c r="B105" s="104"/>
      <c r="C105" s="96" t="s">
        <v>149</v>
      </c>
      <c r="D105" s="96">
        <v>462351700</v>
      </c>
      <c r="E105" s="96"/>
      <c r="F105" s="96"/>
      <c r="G105" s="96" t="s">
        <v>149</v>
      </c>
      <c r="H105" s="105">
        <v>4912500</v>
      </c>
    </row>
    <row r="106" spans="2:8">
      <c r="B106" s="104"/>
      <c r="C106" s="96" t="s">
        <v>150</v>
      </c>
      <c r="D106" s="96">
        <f>27.5*450000000/1000</f>
        <v>12375000</v>
      </c>
      <c r="E106" s="96"/>
      <c r="F106" s="96"/>
      <c r="G106" s="96" t="s">
        <v>150</v>
      </c>
      <c r="H106" s="105">
        <v>0</v>
      </c>
    </row>
    <row r="107" spans="2:8">
      <c r="B107" s="104"/>
      <c r="C107" s="96" t="s">
        <v>151</v>
      </c>
      <c r="D107" s="96">
        <v>7</v>
      </c>
      <c r="E107" s="96"/>
      <c r="F107" s="96"/>
      <c r="G107" s="96" t="s">
        <v>151</v>
      </c>
      <c r="H107" s="105">
        <v>7</v>
      </c>
    </row>
    <row r="108" spans="2:8">
      <c r="B108" s="104"/>
      <c r="C108" s="97" t="s">
        <v>152</v>
      </c>
      <c r="D108" s="96">
        <f>C109-D109</f>
        <v>5</v>
      </c>
      <c r="E108" s="96"/>
      <c r="F108" s="96"/>
      <c r="G108" s="97" t="s">
        <v>152</v>
      </c>
      <c r="H108" s="105">
        <v>0</v>
      </c>
    </row>
    <row r="109" spans="2:8">
      <c r="B109" s="104"/>
      <c r="C109" s="98">
        <v>40507</v>
      </c>
      <c r="D109" s="98">
        <v>40502</v>
      </c>
      <c r="E109" s="96"/>
      <c r="F109" s="96"/>
      <c r="G109" s="96"/>
      <c r="H109" s="105"/>
    </row>
    <row r="110" spans="2:8">
      <c r="B110" s="104"/>
      <c r="C110" s="96"/>
      <c r="D110" s="96"/>
      <c r="E110" s="96"/>
      <c r="F110" s="96"/>
      <c r="G110" s="96"/>
      <c r="H110" s="105"/>
    </row>
    <row r="111" spans="2:8">
      <c r="B111" s="104"/>
      <c r="C111" s="96"/>
      <c r="D111" s="99">
        <f>D104-D105+D106</f>
        <v>195175</v>
      </c>
      <c r="E111" s="96"/>
      <c r="F111" s="96"/>
      <c r="G111" s="96"/>
      <c r="H111" s="105">
        <f>H104-H105+H106</f>
        <v>5</v>
      </c>
    </row>
    <row r="112" spans="2:8">
      <c r="B112" s="104"/>
      <c r="C112" s="99">
        <f>D105*D107</f>
        <v>3236461900</v>
      </c>
      <c r="D112" s="99">
        <f>D106*D108</f>
        <v>61875000</v>
      </c>
      <c r="E112" s="96"/>
      <c r="F112" s="96"/>
      <c r="G112" s="96">
        <f>H105*H107</f>
        <v>34387500</v>
      </c>
      <c r="H112" s="105">
        <f>H106*H108</f>
        <v>0</v>
      </c>
    </row>
    <row r="113" spans="2:8">
      <c r="B113" s="104"/>
      <c r="C113" s="99">
        <f>C112/365</f>
        <v>8867018.9041095898</v>
      </c>
      <c r="D113" s="99">
        <f>D112/365</f>
        <v>169520.54794520547</v>
      </c>
      <c r="E113" s="96"/>
      <c r="F113" s="96"/>
      <c r="G113" s="96">
        <f>G112/365</f>
        <v>94212.328767123283</v>
      </c>
      <c r="H113" s="105">
        <f>H112/365</f>
        <v>0</v>
      </c>
    </row>
    <row r="114" spans="2:8">
      <c r="B114" s="104"/>
      <c r="C114" s="96"/>
      <c r="D114" s="99">
        <f>C113-D113</f>
        <v>8697498.3561643846</v>
      </c>
      <c r="E114" s="96"/>
      <c r="F114" s="96"/>
      <c r="G114" s="96"/>
      <c r="H114" s="105">
        <f>G113-H113</f>
        <v>94212.328767123283</v>
      </c>
    </row>
    <row r="115" spans="2:8">
      <c r="B115" s="104"/>
      <c r="C115" s="96"/>
      <c r="D115" s="99">
        <f>D111/D114*100</f>
        <v>2.2440360665508949</v>
      </c>
      <c r="E115" s="96"/>
      <c r="F115" s="96"/>
      <c r="G115" s="96"/>
      <c r="H115" s="105"/>
    </row>
    <row r="116" spans="2:8">
      <c r="B116" s="104"/>
      <c r="C116" s="96"/>
      <c r="D116" s="96"/>
      <c r="E116" s="96"/>
      <c r="F116" s="96"/>
      <c r="G116" s="96"/>
      <c r="H116" s="105"/>
    </row>
    <row r="117" spans="2:8">
      <c r="B117" s="104"/>
      <c r="C117" s="96"/>
      <c r="D117" s="96"/>
      <c r="E117" s="99">
        <f>D111+H111</f>
        <v>195180</v>
      </c>
      <c r="F117" s="96"/>
      <c r="G117" s="96"/>
      <c r="H117" s="105"/>
    </row>
    <row r="118" spans="2:8">
      <c r="B118" s="104"/>
      <c r="C118" s="96"/>
      <c r="D118" s="96"/>
      <c r="E118" s="99">
        <f>D114+H114</f>
        <v>8791710.6849315073</v>
      </c>
      <c r="F118" s="96"/>
      <c r="G118" s="96"/>
      <c r="H118" s="105"/>
    </row>
    <row r="119" spans="2:8" ht="14.25" thickBot="1">
      <c r="B119" s="106"/>
      <c r="C119" s="107" t="s">
        <v>188</v>
      </c>
      <c r="D119" s="107" t="s">
        <v>187</v>
      </c>
      <c r="E119" s="107">
        <f>E117/E118*100</f>
        <v>2.2200457566754035</v>
      </c>
      <c r="F119" s="107"/>
      <c r="G119" s="107"/>
      <c r="H119" s="108"/>
    </row>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3:J38"/>
  <sheetViews>
    <sheetView topLeftCell="A10" workbookViewId="0">
      <selection activeCell="E28" sqref="E28"/>
    </sheetView>
  </sheetViews>
  <sheetFormatPr defaultRowHeight="13.5"/>
  <cols>
    <col min="1" max="1" width="18.625" customWidth="1"/>
    <col min="2" max="2" width="11.625" bestFit="1" customWidth="1"/>
    <col min="3" max="5" width="12.75" bestFit="1" customWidth="1"/>
    <col min="6" max="6" width="13" bestFit="1" customWidth="1"/>
    <col min="7" max="7" width="12.75" bestFit="1" customWidth="1"/>
    <col min="8" max="8" width="13" bestFit="1" customWidth="1"/>
  </cols>
  <sheetData>
    <row r="3" spans="2:8">
      <c r="B3" s="25" t="s">
        <v>191</v>
      </c>
      <c r="C3" s="3" t="s">
        <v>192</v>
      </c>
      <c r="D3" s="3" t="s">
        <v>193</v>
      </c>
      <c r="E3" s="3"/>
      <c r="F3" s="4">
        <v>40496</v>
      </c>
      <c r="G3" s="3">
        <f>F3-B5</f>
        <v>-11</v>
      </c>
      <c r="H3" s="3"/>
    </row>
    <row r="4" spans="2:8">
      <c r="B4" s="17" t="s">
        <v>2</v>
      </c>
      <c r="C4" s="5" t="s">
        <v>3</v>
      </c>
      <c r="D4" s="5" t="s">
        <v>4</v>
      </c>
      <c r="E4" s="5" t="s">
        <v>5</v>
      </c>
      <c r="F4" s="5" t="s">
        <v>6</v>
      </c>
      <c r="G4" s="2" t="s">
        <v>7</v>
      </c>
      <c r="H4" s="2" t="s">
        <v>1</v>
      </c>
    </row>
    <row r="5" spans="2:8">
      <c r="B5" s="6">
        <v>40507</v>
      </c>
      <c r="C5" s="6">
        <v>40179</v>
      </c>
      <c r="D5" s="5">
        <f>B5-C5</f>
        <v>328</v>
      </c>
      <c r="E5" s="5">
        <v>1.2849999999999999</v>
      </c>
      <c r="F5" s="5">
        <v>360</v>
      </c>
      <c r="G5" s="2">
        <v>2.0214444444444402</v>
      </c>
      <c r="H5" s="2">
        <f>32/360</f>
        <v>8.8888888888888892E-2</v>
      </c>
    </row>
    <row r="6" spans="2:8">
      <c r="B6" s="3" t="s">
        <v>9</v>
      </c>
      <c r="C6" s="3" t="s">
        <v>10</v>
      </c>
      <c r="D6" s="16" t="s">
        <v>14</v>
      </c>
      <c r="E6" s="16" t="s">
        <v>15</v>
      </c>
      <c r="F6" s="16" t="s">
        <v>16</v>
      </c>
      <c r="G6" s="1" t="s">
        <v>0</v>
      </c>
      <c r="H6" s="3"/>
    </row>
    <row r="7" spans="2:8">
      <c r="B7" s="4"/>
      <c r="C7" s="3"/>
      <c r="D7" s="3">
        <f>F5-D5</f>
        <v>32</v>
      </c>
      <c r="E7" s="3"/>
      <c r="F7" s="3">
        <f>SUM(E8:E14)</f>
        <v>101.56912402011342</v>
      </c>
      <c r="G7" s="23">
        <v>3.307453261176307</v>
      </c>
      <c r="H7" s="3"/>
    </row>
    <row r="8" spans="2:8">
      <c r="B8" s="4"/>
      <c r="C8" s="3"/>
      <c r="D8" s="3"/>
      <c r="E8" s="3"/>
      <c r="F8" s="3">
        <v>101.03279999999999</v>
      </c>
      <c r="G8" s="3"/>
      <c r="H8" s="3"/>
    </row>
    <row r="9" spans="2:8">
      <c r="B9" s="4">
        <v>40544</v>
      </c>
      <c r="C9" s="3">
        <v>2.2469000000000001</v>
      </c>
      <c r="D9" s="3">
        <f>H5</f>
        <v>8.8888888888888892E-2</v>
      </c>
      <c r="E9" s="3">
        <f>C9/(1+G7)^D9</f>
        <v>1.9733702750899915</v>
      </c>
      <c r="F9" s="3"/>
      <c r="G9" s="3"/>
      <c r="H9" s="3"/>
    </row>
    <row r="10" spans="2:8">
      <c r="B10" s="4">
        <v>40909</v>
      </c>
      <c r="C10" s="3">
        <v>2.1280000000000001</v>
      </c>
      <c r="D10" s="3">
        <f>(B10-B9)/360+D9</f>
        <v>1.1027777777777776</v>
      </c>
      <c r="E10" s="3">
        <f>C10/(1+G7)^D10</f>
        <v>0.425174557781896</v>
      </c>
      <c r="F10" s="3">
        <f>F7-F8</f>
        <v>0.53632402011342606</v>
      </c>
      <c r="G10" s="3"/>
      <c r="H10" s="3"/>
    </row>
    <row r="11" spans="2:8">
      <c r="B11" s="4">
        <v>41275</v>
      </c>
      <c r="C11" s="3">
        <v>92.128</v>
      </c>
      <c r="D11" s="3">
        <f>(B11-B10)/360+D10</f>
        <v>2.1194444444444445</v>
      </c>
      <c r="E11" s="3">
        <f>C11/(1+G7)^D11</f>
        <v>4.1705791872415343</v>
      </c>
      <c r="F11" s="3"/>
      <c r="G11" s="3"/>
      <c r="H11" s="3"/>
    </row>
    <row r="12" spans="2:8">
      <c r="B12" s="4"/>
      <c r="C12" s="3"/>
      <c r="D12" s="3"/>
      <c r="E12" s="3"/>
      <c r="F12" s="3">
        <f>F7-G5</f>
        <v>99.54767957566898</v>
      </c>
      <c r="G12" s="3"/>
      <c r="H12" s="3"/>
    </row>
    <row r="13" spans="2:8">
      <c r="B13" s="4"/>
      <c r="C13" s="3"/>
      <c r="D13" s="3"/>
      <c r="E13" s="3"/>
      <c r="F13" s="3"/>
      <c r="G13" s="3"/>
      <c r="H13" s="3"/>
    </row>
    <row r="14" spans="2:8">
      <c r="B14" s="4"/>
      <c r="C14" s="3"/>
      <c r="D14" s="3"/>
      <c r="E14" s="3">
        <v>95</v>
      </c>
      <c r="F14" s="3"/>
      <c r="G14" s="3"/>
      <c r="H14" s="3"/>
    </row>
    <row r="19" spans="1:10">
      <c r="F19">
        <v>79749500</v>
      </c>
    </row>
    <row r="20" spans="1:10">
      <c r="F20">
        <v>92000000</v>
      </c>
    </row>
    <row r="21" spans="1:10">
      <c r="F21">
        <v>240060000</v>
      </c>
    </row>
    <row r="22" spans="1:10">
      <c r="F22">
        <f>F19+F20+F21</f>
        <v>411809500</v>
      </c>
    </row>
    <row r="25" spans="1:10">
      <c r="A25" t="s">
        <v>230</v>
      </c>
      <c r="B25" t="s">
        <v>224</v>
      </c>
    </row>
    <row r="28" spans="1:10">
      <c r="B28" s="17" t="s">
        <v>217</v>
      </c>
      <c r="C28" s="5" t="s">
        <v>218</v>
      </c>
      <c r="D28" s="5" t="s">
        <v>219</v>
      </c>
      <c r="E28" s="5" t="s">
        <v>220</v>
      </c>
      <c r="F28" s="5" t="s">
        <v>221</v>
      </c>
      <c r="G28" s="2" t="s">
        <v>222</v>
      </c>
      <c r="H28" s="2" t="s">
        <v>223</v>
      </c>
    </row>
    <row r="29" spans="1:10">
      <c r="B29" s="6">
        <v>40756</v>
      </c>
      <c r="C29" s="6">
        <v>40585</v>
      </c>
      <c r="D29" s="5">
        <f>B29-C29</f>
        <v>171</v>
      </c>
      <c r="E29" s="5">
        <v>3.65</v>
      </c>
      <c r="F29" s="5">
        <v>365</v>
      </c>
      <c r="G29" s="122">
        <f>D29*E29/F29</f>
        <v>1.71</v>
      </c>
      <c r="H29" s="2">
        <f>(365-D29)/365</f>
        <v>0.53150684931506853</v>
      </c>
    </row>
    <row r="31" spans="1:10">
      <c r="B31" t="s">
        <v>225</v>
      </c>
      <c r="D31" t="s">
        <v>226</v>
      </c>
      <c r="F31" t="s">
        <v>227</v>
      </c>
      <c r="H31" t="s">
        <v>228</v>
      </c>
      <c r="I31">
        <f>365/2</f>
        <v>182.5</v>
      </c>
      <c r="J31" t="s">
        <v>229</v>
      </c>
    </row>
    <row r="33" spans="1:3">
      <c r="A33" t="s">
        <v>231</v>
      </c>
      <c r="B33">
        <f>3.65*181/182/2</f>
        <v>1.8149725274725275</v>
      </c>
    </row>
    <row r="36" spans="1:3">
      <c r="A36" t="s">
        <v>232</v>
      </c>
      <c r="B36">
        <f>3.65*171/182/2</f>
        <v>1.7146978021978021</v>
      </c>
      <c r="C36">
        <v>1.8149725274725299</v>
      </c>
    </row>
    <row r="38" spans="1:3">
      <c r="C38">
        <v>1.7146978021978001</v>
      </c>
    </row>
  </sheetData>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3.5"/>
  <sheetData>
    <row r="1" spans="1:1">
      <c r="A1" t="s">
        <v>246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11"/>
  <sheetViews>
    <sheetView workbookViewId="0">
      <selection activeCell="C19" sqref="C19"/>
    </sheetView>
  </sheetViews>
  <sheetFormatPr defaultRowHeight="13.5"/>
  <cols>
    <col min="1" max="1" width="10.375" customWidth="1"/>
    <col min="2" max="2" width="26.75" customWidth="1"/>
  </cols>
  <sheetData>
    <row r="1" spans="1:4">
      <c r="A1" t="s">
        <v>198</v>
      </c>
    </row>
    <row r="2" spans="1:4">
      <c r="B2" s="120" t="s">
        <v>200</v>
      </c>
      <c r="C2" s="120" t="s">
        <v>205</v>
      </c>
    </row>
    <row r="3" spans="1:4">
      <c r="A3" t="s">
        <v>199</v>
      </c>
      <c r="B3" t="s">
        <v>216</v>
      </c>
      <c r="C3" t="s">
        <v>205</v>
      </c>
    </row>
    <row r="4" spans="1:4">
      <c r="A4" t="s">
        <v>202</v>
      </c>
      <c r="B4" t="s">
        <v>206</v>
      </c>
      <c r="C4" t="s">
        <v>207</v>
      </c>
    </row>
    <row r="5" spans="1:4">
      <c r="A5" t="s">
        <v>203</v>
      </c>
      <c r="B5" t="s">
        <v>204</v>
      </c>
      <c r="C5" t="s">
        <v>204</v>
      </c>
    </row>
    <row r="7" spans="1:4">
      <c r="A7" t="s">
        <v>208</v>
      </c>
      <c r="B7" t="s">
        <v>209</v>
      </c>
    </row>
    <row r="9" spans="1:4">
      <c r="A9" t="s">
        <v>210</v>
      </c>
    </row>
    <row r="10" spans="1:4">
      <c r="B10" s="120" t="s">
        <v>200</v>
      </c>
      <c r="C10" s="120" t="s">
        <v>205</v>
      </c>
      <c r="D10" s="120" t="s">
        <v>211</v>
      </c>
    </row>
    <row r="11" spans="1:4">
      <c r="B11" t="s">
        <v>201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金融术语</vt:lpstr>
      <vt:lpstr>到期收益率</vt:lpstr>
      <vt:lpstr>摊销</vt:lpstr>
      <vt:lpstr>买断式回购反算利率</vt:lpstr>
      <vt:lpstr>债券应计利息</vt:lpstr>
      <vt:lpstr>上海农商行</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2012-06-18T12:05:12Z</dcterms:modified>
</cp:coreProperties>
</file>