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1" i="1"/>
  <c r="B75"/>
  <c r="B82"/>
  <c r="B84" s="1"/>
  <c r="B76"/>
  <c r="E73"/>
  <c r="D73"/>
  <c r="C73"/>
  <c r="B73"/>
  <c r="B83"/>
  <c r="B79"/>
  <c r="D67"/>
  <c r="B67"/>
  <c r="D21"/>
  <c r="G55"/>
  <c r="F55"/>
  <c r="E60"/>
  <c r="C61"/>
  <c r="D59"/>
  <c r="D60" s="1"/>
  <c r="E51"/>
  <c r="D48"/>
  <c r="D47"/>
  <c r="I46"/>
  <c r="D46"/>
  <c r="D45"/>
  <c r="D44"/>
  <c r="B44"/>
  <c r="B39"/>
  <c r="J30"/>
  <c r="J29"/>
  <c r="G22"/>
  <c r="G21"/>
  <c r="G54"/>
  <c r="C21"/>
  <c r="B19"/>
  <c r="D17"/>
  <c r="C17" s="1"/>
  <c r="F6"/>
  <c r="C6"/>
  <c r="G6" s="1"/>
  <c r="C10" s="1"/>
  <c r="H3"/>
  <c r="F73" l="1"/>
  <c r="D54"/>
  <c r="D55" s="1"/>
  <c r="D56" s="1"/>
  <c r="D57" s="1"/>
  <c r="C11"/>
  <c r="D10"/>
  <c r="G20"/>
  <c r="I25"/>
  <c r="I28" s="1"/>
  <c r="G23"/>
  <c r="I27"/>
  <c r="C44"/>
  <c r="E55" s="1"/>
  <c r="B80" l="1"/>
  <c r="I29"/>
  <c r="C12"/>
  <c r="D11"/>
  <c r="F44"/>
  <c r="E44"/>
  <c r="B45" s="1"/>
  <c r="C45" l="1"/>
  <c r="E56" s="1"/>
  <c r="G44"/>
  <c r="B29"/>
  <c r="C13"/>
  <c r="D13" s="1"/>
  <c r="D12"/>
  <c r="E8" l="1"/>
  <c r="F45"/>
  <c r="F56" s="1"/>
  <c r="E45"/>
  <c r="B46" s="1"/>
  <c r="G56" l="1"/>
  <c r="C46"/>
  <c r="C31"/>
  <c r="B31"/>
  <c r="G45"/>
  <c r="E46" l="1"/>
  <c r="B47" s="1"/>
  <c r="E57"/>
  <c r="C47"/>
  <c r="E47" s="1"/>
  <c r="B48" s="1"/>
  <c r="F46"/>
  <c r="F57" s="1"/>
  <c r="G57" l="1"/>
  <c r="G58" s="1"/>
  <c r="C48"/>
  <c r="C33"/>
  <c r="B33"/>
  <c r="F47"/>
  <c r="F59" s="1"/>
  <c r="E48" l="1"/>
  <c r="E59"/>
  <c r="G59"/>
  <c r="F48"/>
  <c r="C51"/>
  <c r="B35"/>
  <c r="B37" l="1"/>
  <c r="F60"/>
  <c r="F61" s="1"/>
  <c r="F50"/>
  <c r="G60" l="1"/>
</calcChain>
</file>

<file path=xl/comments1.xml><?xml version="1.0" encoding="utf-8"?>
<comments xmlns="http://schemas.openxmlformats.org/spreadsheetml/2006/main">
  <authors>
    <author>作者</author>
  </authors>
  <commentList>
    <comment ref="F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在确定实际利率时，应当在考虑金融资产或金融负债所有合同条款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包括提前还款权、看涨期权或类似期权等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>的基础上预计未来现金流量，但不应考虑未来信用损失</t>
        </r>
      </text>
    </comment>
    <comment ref="I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书上</t>
        </r>
        <r>
          <rPr>
            <sz val="9"/>
            <color indexed="81"/>
            <rFont val="Tahoma"/>
            <family val="2"/>
          </rPr>
          <t>P53</t>
        </r>
        <r>
          <rPr>
            <sz val="9"/>
            <color indexed="81"/>
            <rFont val="宋体"/>
            <family val="3"/>
            <charset val="134"/>
          </rPr>
          <t>提供的利息与计算的利息值不等，不知道为什么？</t>
        </r>
      </text>
    </comment>
    <comment ref="A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本月的净价总额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宋体"/>
            <family val="3"/>
            <charset val="134"/>
          </rPr>
          <t>（上月的净价总额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z val="9"/>
            <color indexed="81"/>
            <rFont val="宋体"/>
            <family val="3"/>
            <charset val="134"/>
          </rPr>
          <t>本月的摊销）</t>
        </r>
      </text>
    </comment>
    <comment ref="D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一月的应收利息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购买时支付给对手的利息</t>
        </r>
      </text>
    </comment>
    <comment ref="D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一月的应收利息</t>
        </r>
      </text>
    </comment>
  </commentList>
</comments>
</file>

<file path=xl/sharedStrings.xml><?xml version="1.0" encoding="utf-8"?>
<sst xmlns="http://schemas.openxmlformats.org/spreadsheetml/2006/main" count="123" uniqueCount="100">
  <si>
    <t>可供出售资产</t>
    <phoneticPr fontId="1" type="noConversion"/>
  </si>
  <si>
    <t>上次付息日</t>
    <phoneticPr fontId="1" type="noConversion"/>
  </si>
  <si>
    <t>卖出日</t>
    <phoneticPr fontId="1" type="noConversion"/>
  </si>
  <si>
    <t>卖出时的应计利息</t>
    <phoneticPr fontId="1" type="noConversion"/>
  </si>
  <si>
    <t>一、计算实际利率即到期收益率</t>
    <phoneticPr fontId="1" type="noConversion"/>
  </si>
  <si>
    <t>030011</t>
    <phoneticPr fontId="1" type="noConversion"/>
  </si>
  <si>
    <t>一年一付</t>
    <phoneticPr fontId="1" type="noConversion"/>
  </si>
  <si>
    <t>A/365</t>
  </si>
  <si>
    <t>计算日</t>
    <phoneticPr fontId="1" type="noConversion"/>
  </si>
  <si>
    <t>付息日</t>
    <phoneticPr fontId="1" type="noConversion"/>
  </si>
  <si>
    <t>持续天数</t>
    <phoneticPr fontId="1" type="noConversion"/>
  </si>
  <si>
    <t>利率</t>
    <phoneticPr fontId="1" type="noConversion"/>
  </si>
  <si>
    <t>计息基准天数</t>
    <phoneticPr fontId="1" type="noConversion"/>
  </si>
  <si>
    <t>应计利息</t>
    <phoneticPr fontId="1" type="noConversion"/>
  </si>
  <si>
    <t>年化剩余天数</t>
    <phoneticPr fontId="1" type="noConversion"/>
  </si>
  <si>
    <t>日期</t>
    <phoneticPr fontId="1" type="noConversion"/>
  </si>
  <si>
    <t>现金流</t>
    <phoneticPr fontId="1" type="noConversion"/>
  </si>
  <si>
    <t>现金流年期</t>
    <phoneticPr fontId="1" type="noConversion"/>
  </si>
  <si>
    <t>现金流现值</t>
    <phoneticPr fontId="1" type="noConversion"/>
  </si>
  <si>
    <t>债券价格</t>
    <phoneticPr fontId="1" type="noConversion"/>
  </si>
  <si>
    <t>收益率</t>
    <phoneticPr fontId="1" type="noConversion"/>
  </si>
  <si>
    <t>票面利率</t>
    <phoneticPr fontId="1" type="noConversion"/>
  </si>
  <si>
    <t>计算得到的结果，与书上给的值不一样，P54</t>
    <phoneticPr fontId="1" type="noConversion"/>
  </si>
  <si>
    <t>二、购买债券</t>
    <phoneticPr fontId="1" type="noConversion"/>
  </si>
  <si>
    <t>实际利率</t>
    <phoneticPr fontId="1" type="noConversion"/>
  </si>
  <si>
    <t>2007-8-2购买票面</t>
    <phoneticPr fontId="1" type="noConversion"/>
  </si>
  <si>
    <t>净价</t>
    <phoneticPr fontId="1" type="noConversion"/>
  </si>
  <si>
    <t>利息</t>
    <phoneticPr fontId="1" type="noConversion"/>
  </si>
  <si>
    <t>净价总额</t>
    <phoneticPr fontId="1" type="noConversion"/>
  </si>
  <si>
    <t>全价总额</t>
    <phoneticPr fontId="1" type="noConversion"/>
  </si>
  <si>
    <t>反算的单位利息</t>
    <phoneticPr fontId="1" type="noConversion"/>
  </si>
  <si>
    <t>中债净价走势</t>
    <phoneticPr fontId="1" type="noConversion"/>
  </si>
  <si>
    <t>2008-1-15卖出</t>
    <phoneticPr fontId="1" type="noConversion"/>
  </si>
  <si>
    <t>卖出日的应计利息</t>
    <phoneticPr fontId="1" type="noConversion"/>
  </si>
  <si>
    <t>卖出结算</t>
    <phoneticPr fontId="1" type="noConversion"/>
  </si>
  <si>
    <t>P57</t>
    <phoneticPr fontId="1" type="noConversion"/>
  </si>
  <si>
    <t>三、计算公允价值变动</t>
    <phoneticPr fontId="1" type="noConversion"/>
  </si>
  <si>
    <t>公式计算</t>
    <phoneticPr fontId="1" type="noConversion"/>
  </si>
  <si>
    <t>2007-8-31公允价值变动</t>
    <phoneticPr fontId="1" type="noConversion"/>
  </si>
  <si>
    <t>（=130 000 000 * 103 /100）-(134 227 080 - 104 135.38 )</t>
    <phoneticPr fontId="1" type="noConversion"/>
  </si>
  <si>
    <t>为什么计算公允价值变动时，要把月摊销额“减去”？</t>
    <phoneticPr fontId="1" type="noConversion"/>
  </si>
  <si>
    <t>=</t>
    <phoneticPr fontId="1" type="noConversion"/>
  </si>
  <si>
    <t>2007-9-30公允价值变动</t>
    <phoneticPr fontId="1" type="noConversion"/>
  </si>
  <si>
    <t>（=130 000 000 * 102 /100）-(134 227 080 - 104 135.38-104 348.75- 222 944.62 )</t>
    <phoneticPr fontId="1" type="noConversion"/>
  </si>
  <si>
    <t>在计算9.30号的公允价值变动时，为什么要减去上月底的公允价值变动值</t>
    <phoneticPr fontId="1" type="noConversion"/>
  </si>
  <si>
    <t>2007-10-31公允价值变动</t>
    <phoneticPr fontId="1" type="noConversion"/>
  </si>
  <si>
    <t>（=130 000 000 * 100 /100）-(134 227 080 - 104 135.38-104 348.75-104 562.56- 222 944.62-1 195 651.25 )</t>
    <phoneticPr fontId="1" type="noConversion"/>
  </si>
  <si>
    <t>2007-11-30公允价值变动</t>
    <phoneticPr fontId="1" type="noConversion"/>
  </si>
  <si>
    <t>（=130 000 000 * 98 /100）-(134 227 080 - 104 135.38-104 348.75-104 562.56-104 776.81 - 222 944.62-1 195 651.25 -2 495 437.44 )</t>
    <phoneticPr fontId="1" type="noConversion"/>
  </si>
  <si>
    <t>2007-12-31公允价值变动</t>
    <phoneticPr fontId="1" type="noConversion"/>
  </si>
  <si>
    <t>（=130 000 000 * 96 /100）-(134 227 080 - 104 135.38-104 348.75-104 562.56-104 776.81-104 991.50 - 222 944.62-1 195 651.25 -2 495 437.44-2 495 223.19 )</t>
    <phoneticPr fontId="1" type="noConversion"/>
  </si>
  <si>
    <t>四、计算月摊销额</t>
    <phoneticPr fontId="1" type="noConversion"/>
  </si>
  <si>
    <t>按月计摊销</t>
    <phoneticPr fontId="1" type="noConversion"/>
  </si>
  <si>
    <t>实际利率法溢价摊销计算</t>
    <phoneticPr fontId="1" type="noConversion"/>
  </si>
  <si>
    <t>投资收益</t>
    <phoneticPr fontId="1" type="noConversion"/>
  </si>
  <si>
    <t>现金流入</t>
    <phoneticPr fontId="1" type="noConversion"/>
  </si>
  <si>
    <t>月初摊余成本</t>
    <phoneticPr fontId="1" type="noConversion"/>
  </si>
  <si>
    <t>月利息收入
（摊余成本*实际利率/12）</t>
    <phoneticPr fontId="1" type="noConversion"/>
  </si>
  <si>
    <t>现金流量
（面值*票面利率/12）</t>
    <phoneticPr fontId="1" type="noConversion"/>
  </si>
  <si>
    <t>月末摊余成本
（月初摊余成本+利息收入-现金流量）</t>
    <phoneticPr fontId="1" type="noConversion"/>
  </si>
  <si>
    <t>月摊销额（现金流量-利息收入）</t>
    <phoneticPr fontId="1" type="noConversion"/>
  </si>
  <si>
    <t>账面价值</t>
    <phoneticPr fontId="1" type="noConversion"/>
  </si>
  <si>
    <t>2007.8.31</t>
    <phoneticPr fontId="1" type="noConversion"/>
  </si>
  <si>
    <t>2007.9.30</t>
    <phoneticPr fontId="1" type="noConversion"/>
  </si>
  <si>
    <t>2007.10.31</t>
    <phoneticPr fontId="1" type="noConversion"/>
  </si>
  <si>
    <t>合计</t>
    <phoneticPr fontId="1" type="noConversion"/>
  </si>
  <si>
    <t>溢价余额</t>
    <phoneticPr fontId="1" type="noConversion"/>
  </si>
  <si>
    <t>项目</t>
    <phoneticPr fontId="1" type="noConversion"/>
  </si>
  <si>
    <t>计提应计利息</t>
    <phoneticPr fontId="1" type="noConversion"/>
  </si>
  <si>
    <t>应收利息余额</t>
    <phoneticPr fontId="1" type="noConversion"/>
  </si>
  <si>
    <t>溢价摊销</t>
    <phoneticPr fontId="1" type="noConversion"/>
  </si>
  <si>
    <t>资本公积</t>
    <phoneticPr fontId="1" type="noConversion"/>
  </si>
  <si>
    <t>公允价值变动余额</t>
    <phoneticPr fontId="1" type="noConversion"/>
  </si>
  <si>
    <t>2007.8.2</t>
    <phoneticPr fontId="1" type="noConversion"/>
  </si>
  <si>
    <t>买入</t>
    <phoneticPr fontId="1" type="noConversion"/>
  </si>
  <si>
    <t>计提、摊销</t>
    <phoneticPr fontId="1" type="noConversion"/>
  </si>
  <si>
    <t>2007.11.19</t>
    <phoneticPr fontId="1" type="noConversion"/>
  </si>
  <si>
    <t>收息</t>
    <phoneticPr fontId="1" type="noConversion"/>
  </si>
  <si>
    <t>2007.11.30</t>
    <phoneticPr fontId="1" type="noConversion"/>
  </si>
  <si>
    <t>2007.12.31</t>
    <phoneticPr fontId="1" type="noConversion"/>
  </si>
  <si>
    <t>2007年</t>
    <phoneticPr fontId="1" type="noConversion"/>
  </si>
  <si>
    <t>小计</t>
    <phoneticPr fontId="1" type="noConversion"/>
  </si>
  <si>
    <t>2008.1.15</t>
    <phoneticPr fontId="1" type="noConversion"/>
  </si>
  <si>
    <t>卖出</t>
    <phoneticPr fontId="1" type="noConversion"/>
  </si>
  <si>
    <t>假设在2007.12.15号卖出了</t>
    <phoneticPr fontId="1" type="noConversion"/>
  </si>
  <si>
    <t>2007.8.2买入时的净价=</t>
    <phoneticPr fontId="1" type="noConversion"/>
  </si>
  <si>
    <t>此时该笔交易进行计提摊销，以下是否正确</t>
    <phoneticPr fontId="1" type="noConversion"/>
  </si>
  <si>
    <t>应收利息余额=</t>
    <phoneticPr fontId="1" type="noConversion"/>
  </si>
  <si>
    <t>溢价余额=</t>
    <phoneticPr fontId="1" type="noConversion"/>
  </si>
  <si>
    <t>剩余面额=</t>
    <phoneticPr fontId="1" type="noConversion"/>
  </si>
  <si>
    <t>卖出时的单位应计利息=</t>
    <phoneticPr fontId="1" type="noConversion"/>
  </si>
  <si>
    <t>卖出时的应计利息总额=</t>
    <phoneticPr fontId="1" type="noConversion"/>
  </si>
  <si>
    <t>2007.12.31计提摊销时</t>
    <phoneticPr fontId="1" type="noConversion"/>
  </si>
  <si>
    <t>期初摊余成本=</t>
    <phoneticPr fontId="1" type="noConversion"/>
  </si>
  <si>
    <t>期末摊余成本=</t>
    <phoneticPr fontId="1" type="noConversion"/>
  </si>
  <si>
    <t>摊销额=</t>
    <phoneticPr fontId="1" type="noConversion"/>
  </si>
  <si>
    <t>计提应计利息=</t>
    <phoneticPr fontId="1" type="noConversion"/>
  </si>
  <si>
    <t>期初应计利息=</t>
    <phoneticPr fontId="1" type="noConversion"/>
  </si>
  <si>
    <t>应计利息余额=</t>
    <phoneticPr fontId="1" type="noConversion"/>
  </si>
  <si>
    <t>债券卖出一部分，剩下的面额按比例计提摊销</t>
    <phoneticPr fontId="1" type="noConversion"/>
  </si>
</sst>
</file>

<file path=xl/styles.xml><?xml version="1.0" encoding="utf-8"?>
<styleSheet xmlns="http://schemas.openxmlformats.org/spreadsheetml/2006/main">
  <numFmts count="7">
    <numFmt numFmtId="176" formatCode="000000"/>
    <numFmt numFmtId="177" formatCode="0.00000000_ "/>
    <numFmt numFmtId="178" formatCode="0.00000%"/>
    <numFmt numFmtId="179" formatCode="#,##0_ "/>
    <numFmt numFmtId="180" formatCode="#,##0.00_ "/>
    <numFmt numFmtId="181" formatCode="#,##0.00000_ "/>
    <numFmt numFmtId="182" formatCode="#,##0_);[Red]\(#,##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DashDot">
        <color rgb="FF00B0F0"/>
      </left>
      <right/>
      <top style="mediumDashDot">
        <color rgb="FF00B0F0"/>
      </top>
      <bottom/>
      <diagonal/>
    </border>
    <border>
      <left/>
      <right/>
      <top style="mediumDashDot">
        <color rgb="FF00B0F0"/>
      </top>
      <bottom/>
      <diagonal/>
    </border>
    <border>
      <left/>
      <right style="mediumDashDot">
        <color rgb="FF00B0F0"/>
      </right>
      <top style="mediumDashDot">
        <color rgb="FF00B0F0"/>
      </top>
      <bottom/>
      <diagonal/>
    </border>
    <border>
      <left style="mediumDashDot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Dot">
        <color rgb="FF00B0F0"/>
      </right>
      <top style="thin">
        <color indexed="64"/>
      </top>
      <bottom style="thin">
        <color indexed="64"/>
      </bottom>
      <diagonal/>
    </border>
    <border>
      <left style="mediumDashDot">
        <color rgb="FF00B0F0"/>
      </left>
      <right/>
      <top/>
      <bottom/>
      <diagonal/>
    </border>
    <border>
      <left/>
      <right style="mediumDashDot">
        <color rgb="FF00B0F0"/>
      </right>
      <top/>
      <bottom/>
      <diagonal/>
    </border>
    <border>
      <left style="mediumDashDot">
        <color rgb="FF00B0F0"/>
      </left>
      <right/>
      <top/>
      <bottom style="mediumDashDot">
        <color rgb="FF00B0F0"/>
      </bottom>
      <diagonal/>
    </border>
    <border>
      <left/>
      <right/>
      <top/>
      <bottom style="mediumDashDot">
        <color rgb="FF00B0F0"/>
      </bottom>
      <diagonal/>
    </border>
    <border>
      <left/>
      <right style="mediumDashDot">
        <color rgb="FF00B0F0"/>
      </right>
      <top/>
      <bottom style="mediumDashDot">
        <color rgb="FF00B0F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76" fontId="6" fillId="0" borderId="1" xfId="0" quotePrefix="1" applyNumberFormat="1" applyFont="1" applyBorder="1">
      <alignment vertical="center"/>
    </xf>
    <xf numFmtId="0" fontId="7" fillId="0" borderId="2" xfId="0" applyFont="1" applyBorder="1">
      <alignment vertical="center"/>
    </xf>
    <xf numFmtId="14" fontId="7" fillId="0" borderId="2" xfId="0" applyNumberFormat="1" applyFont="1" applyBorder="1">
      <alignment vertical="center"/>
    </xf>
    <xf numFmtId="0" fontId="7" fillId="0" borderId="3" xfId="0" applyFont="1" applyBorder="1">
      <alignment vertical="center"/>
    </xf>
    <xf numFmtId="0" fontId="8" fillId="5" borderId="4" xfId="3" applyFont="1" applyFill="1" applyBorder="1">
      <alignment vertical="center"/>
    </xf>
    <xf numFmtId="0" fontId="7" fillId="5" borderId="5" xfId="3" applyFont="1" applyFill="1" applyBorder="1">
      <alignment vertical="center"/>
    </xf>
    <xf numFmtId="0" fontId="7" fillId="2" borderId="5" xfId="1" applyFont="1" applyBorder="1">
      <alignment vertical="center"/>
    </xf>
    <xf numFmtId="0" fontId="7" fillId="2" borderId="6" xfId="1" applyFont="1" applyBorder="1">
      <alignment vertical="center"/>
    </xf>
    <xf numFmtId="14" fontId="7" fillId="5" borderId="4" xfId="3" applyNumberFormat="1" applyFont="1" applyFill="1" applyBorder="1">
      <alignment vertical="center"/>
    </xf>
    <xf numFmtId="14" fontId="7" fillId="5" borderId="5" xfId="3" applyNumberFormat="1" applyFont="1" applyFill="1" applyBorder="1">
      <alignment vertical="center"/>
    </xf>
    <xf numFmtId="0" fontId="7" fillId="0" borderId="7" xfId="0" applyFont="1" applyBorder="1">
      <alignment vertical="center"/>
    </xf>
    <xf numFmtId="0" fontId="7" fillId="0" borderId="0" xfId="0" applyFont="1" applyBorder="1">
      <alignment vertical="center"/>
    </xf>
    <xf numFmtId="177" fontId="7" fillId="2" borderId="5" xfId="1" applyNumberFormat="1" applyFont="1" applyBorder="1">
      <alignment vertical="center"/>
    </xf>
    <xf numFmtId="0" fontId="3" fillId="3" borderId="5" xfId="2" applyBorder="1">
      <alignment vertical="center"/>
    </xf>
    <xf numFmtId="0" fontId="7" fillId="0" borderId="8" xfId="0" applyFont="1" applyBorder="1">
      <alignment vertical="center"/>
    </xf>
    <xf numFmtId="14" fontId="7" fillId="0" borderId="7" xfId="0" applyNumberFormat="1" applyFont="1" applyBorder="1">
      <alignment vertical="center"/>
    </xf>
    <xf numFmtId="178" fontId="7" fillId="0" borderId="0" xfId="0" applyNumberFormat="1" applyFont="1" applyBorder="1">
      <alignment vertical="center"/>
    </xf>
    <xf numFmtId="178" fontId="7" fillId="0" borderId="8" xfId="0" applyNumberFormat="1" applyFont="1" applyBorder="1">
      <alignment vertical="center"/>
    </xf>
    <xf numFmtId="0" fontId="0" fillId="0" borderId="7" xfId="0" applyBorder="1">
      <alignment vertical="center"/>
    </xf>
    <xf numFmtId="0" fontId="7" fillId="0" borderId="0" xfId="0" applyFont="1" applyBorder="1" applyAlignment="1">
      <alignment horizontal="right" vertical="center"/>
    </xf>
    <xf numFmtId="14" fontId="7" fillId="0" borderId="9" xfId="0" applyNumberFormat="1" applyFont="1" applyBorder="1">
      <alignment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4" fontId="0" fillId="0" borderId="12" xfId="0" applyNumberFormat="1" applyBorder="1">
      <alignment vertical="center"/>
    </xf>
    <xf numFmtId="14" fontId="0" fillId="0" borderId="13" xfId="0" applyNumberFormat="1" applyBorder="1">
      <alignment vertical="center"/>
    </xf>
    <xf numFmtId="14" fontId="0" fillId="0" borderId="14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80" fontId="0" fillId="0" borderId="0" xfId="0" applyNumberFormat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0" fontId="5" fillId="0" borderId="13" xfId="0" applyFont="1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14" fontId="0" fillId="0" borderId="0" xfId="0" applyNumberFormat="1" applyBorder="1" applyAlignment="1">
      <alignment horizontal="right" vertical="center" wrapText="1"/>
    </xf>
    <xf numFmtId="182" fontId="0" fillId="0" borderId="16" xfId="0" applyNumberFormat="1" applyBorder="1" applyAlignment="1">
      <alignment horizontal="center" vertical="center"/>
    </xf>
    <xf numFmtId="182" fontId="0" fillId="0" borderId="17" xfId="0" applyNumberFormat="1" applyBorder="1" applyAlignment="1">
      <alignment horizontal="center" vertical="center"/>
    </xf>
    <xf numFmtId="179" fontId="0" fillId="0" borderId="18" xfId="0" applyNumberFormat="1" applyBorder="1" applyAlignment="1">
      <alignment horizontal="center" vertical="center" wrapText="1"/>
    </xf>
    <xf numFmtId="182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87"/>
  <sheetViews>
    <sheetView tabSelected="1" topLeftCell="A67" workbookViewId="0">
      <selection activeCell="A87" sqref="A87"/>
    </sheetView>
  </sheetViews>
  <sheetFormatPr defaultRowHeight="13.5" outlineLevelRow="1"/>
  <cols>
    <col min="1" max="1" width="34" customWidth="1"/>
    <col min="2" max="2" width="21.25" customWidth="1"/>
    <col min="3" max="3" width="22.25" customWidth="1"/>
    <col min="4" max="4" width="18.375" customWidth="1"/>
    <col min="5" max="5" width="20.5" bestFit="1" customWidth="1"/>
    <col min="6" max="6" width="21.625" bestFit="1" customWidth="1"/>
    <col min="7" max="7" width="20" customWidth="1"/>
    <col min="8" max="8" width="15.75" customWidth="1"/>
    <col min="9" max="9" width="17.25" bestFit="1" customWidth="1"/>
    <col min="10" max="10" width="15" bestFit="1" customWidth="1"/>
  </cols>
  <sheetData>
    <row r="2" spans="1:8">
      <c r="A2" s="1" t="s">
        <v>0</v>
      </c>
      <c r="E2" s="2" t="s">
        <v>1</v>
      </c>
      <c r="F2" s="2" t="s">
        <v>2</v>
      </c>
      <c r="H2" t="s">
        <v>3</v>
      </c>
    </row>
    <row r="3" spans="1:8" ht="14.25" thickBot="1">
      <c r="A3" s="1" t="s">
        <v>4</v>
      </c>
      <c r="E3" s="3">
        <v>39405</v>
      </c>
      <c r="F3" s="3">
        <v>39462</v>
      </c>
      <c r="G3">
        <v>57</v>
      </c>
      <c r="H3">
        <f>100*G3*F10/365</f>
        <v>0.54657534246575346</v>
      </c>
    </row>
    <row r="4" spans="1:8">
      <c r="A4" s="4" t="s">
        <v>5</v>
      </c>
      <c r="B4" s="5" t="s">
        <v>6</v>
      </c>
      <c r="C4" s="5" t="s">
        <v>7</v>
      </c>
      <c r="D4" s="5"/>
      <c r="E4" s="6"/>
      <c r="F4" s="5"/>
      <c r="G4" s="7"/>
    </row>
    <row r="5" spans="1:8">
      <c r="A5" s="8" t="s">
        <v>8</v>
      </c>
      <c r="B5" s="9" t="s">
        <v>9</v>
      </c>
      <c r="C5" s="9" t="s">
        <v>10</v>
      </c>
      <c r="D5" s="9" t="s">
        <v>11</v>
      </c>
      <c r="E5" s="9" t="s">
        <v>12</v>
      </c>
      <c r="F5" s="10" t="s">
        <v>13</v>
      </c>
      <c r="G5" s="11" t="s">
        <v>14</v>
      </c>
    </row>
    <row r="6" spans="1:8">
      <c r="A6" s="12">
        <v>39296</v>
      </c>
      <c r="B6" s="13">
        <v>39040</v>
      </c>
      <c r="C6" s="9">
        <f>A6-B6</f>
        <v>256</v>
      </c>
      <c r="D6" s="9">
        <v>3.5</v>
      </c>
      <c r="E6" s="9">
        <v>365</v>
      </c>
      <c r="F6" s="10">
        <f>C6*D6/E6</f>
        <v>2.4547945205479453</v>
      </c>
      <c r="G6" s="11">
        <f>1-C6/E6</f>
        <v>0.29863013698630136</v>
      </c>
    </row>
    <row r="7" spans="1:8">
      <c r="A7" s="14" t="s">
        <v>15</v>
      </c>
      <c r="B7" s="15" t="s">
        <v>16</v>
      </c>
      <c r="C7" s="16" t="s">
        <v>17</v>
      </c>
      <c r="D7" s="16" t="s">
        <v>18</v>
      </c>
      <c r="E7" s="16" t="s">
        <v>19</v>
      </c>
      <c r="F7" s="17" t="s">
        <v>20</v>
      </c>
      <c r="G7" s="18"/>
    </row>
    <row r="8" spans="1:8">
      <c r="A8" s="19"/>
      <c r="B8" s="15"/>
      <c r="C8" s="15"/>
      <c r="D8" s="15"/>
      <c r="E8" s="15">
        <f>SUM(D10:D14)</f>
        <v>105.40888444298434</v>
      </c>
      <c r="F8" s="20">
        <v>2.5496921520819817E-2</v>
      </c>
      <c r="G8" s="21">
        <v>0.08</v>
      </c>
    </row>
    <row r="9" spans="1:8">
      <c r="A9" s="22"/>
      <c r="B9" s="15"/>
      <c r="C9" s="15"/>
      <c r="D9" s="15"/>
      <c r="E9" s="15"/>
      <c r="F9" s="15"/>
      <c r="G9" s="18"/>
    </row>
    <row r="10" spans="1:8">
      <c r="A10" s="19">
        <v>39405</v>
      </c>
      <c r="B10" s="15">
        <v>3.5</v>
      </c>
      <c r="C10" s="15">
        <f>G6</f>
        <v>0.29863013698630136</v>
      </c>
      <c r="D10" s="15">
        <f>B10/(1+F8)^C10</f>
        <v>3.4737832331411442</v>
      </c>
      <c r="E10" s="23" t="s">
        <v>21</v>
      </c>
      <c r="F10" s="20">
        <v>3.5000000000000003E-2</v>
      </c>
      <c r="G10" s="18"/>
    </row>
    <row r="11" spans="1:8">
      <c r="A11" s="19">
        <v>39771</v>
      </c>
      <c r="B11" s="15">
        <v>3.5</v>
      </c>
      <c r="C11" s="15">
        <f>(A11-A10)/365+C10</f>
        <v>1.3013698630136987</v>
      </c>
      <c r="D11" s="15">
        <f>B11/(1+F8)^C11</f>
        <v>3.3871809371458741</v>
      </c>
      <c r="E11" s="15"/>
      <c r="F11" s="15"/>
      <c r="G11" s="18"/>
    </row>
    <row r="12" spans="1:8">
      <c r="A12" s="19">
        <v>40136</v>
      </c>
      <c r="B12" s="15">
        <v>3.5</v>
      </c>
      <c r="C12" s="15">
        <f>(A12-A11)/365+C11</f>
        <v>2.3013698630136989</v>
      </c>
      <c r="D12" s="15">
        <f>B12/(1+F8)^C12</f>
        <v>3.3029654853791843</v>
      </c>
      <c r="E12" s="15"/>
      <c r="F12" s="15"/>
      <c r="G12" s="18"/>
    </row>
    <row r="13" spans="1:8">
      <c r="A13" s="19">
        <v>40501</v>
      </c>
      <c r="B13" s="15">
        <v>103.5</v>
      </c>
      <c r="C13" s="15">
        <f>(A13-A12)/365+C12</f>
        <v>3.3013698630136989</v>
      </c>
      <c r="D13" s="15">
        <f>B13/(1+F8)^C13</f>
        <v>95.24495478731815</v>
      </c>
      <c r="E13" s="15"/>
      <c r="F13" s="15"/>
      <c r="G13" s="18"/>
    </row>
    <row r="14" spans="1:8" ht="14.25" thickBot="1">
      <c r="A14" s="24"/>
      <c r="B14" s="25"/>
      <c r="C14" s="25"/>
      <c r="D14" s="25"/>
      <c r="E14" s="25"/>
      <c r="F14" s="25"/>
      <c r="G14" s="26"/>
    </row>
    <row r="15" spans="1:8">
      <c r="A15" t="s">
        <v>22</v>
      </c>
    </row>
    <row r="17" spans="1:10">
      <c r="A17" s="1" t="s">
        <v>23</v>
      </c>
      <c r="C17">
        <f>C20*D17/100</f>
        <v>9427079.9999999944</v>
      </c>
      <c r="D17">
        <f>E20-F26</f>
        <v>7.2515999999999963</v>
      </c>
    </row>
    <row r="18" spans="1:10">
      <c r="A18" s="3">
        <v>39296</v>
      </c>
      <c r="E18" t="s">
        <v>24</v>
      </c>
      <c r="F18" s="20">
        <v>2.4587999999999999E-2</v>
      </c>
    </row>
    <row r="19" spans="1:10">
      <c r="A19" s="3">
        <v>39405</v>
      </c>
      <c r="B19">
        <f>A19-A18</f>
        <v>109</v>
      </c>
    </row>
    <row r="20" spans="1:10">
      <c r="A20" t="s">
        <v>25</v>
      </c>
      <c r="C20" s="27">
        <v>130000000</v>
      </c>
      <c r="D20" t="s">
        <v>26</v>
      </c>
      <c r="E20">
        <v>103.2516</v>
      </c>
      <c r="F20" t="s">
        <v>27</v>
      </c>
      <c r="G20">
        <f>F6</f>
        <v>2.4547945205479453</v>
      </c>
      <c r="I20">
        <v>2.1575299999999999</v>
      </c>
    </row>
    <row r="21" spans="1:10">
      <c r="B21" t="s">
        <v>28</v>
      </c>
      <c r="C21" s="27">
        <f>C20*E20/100</f>
        <v>134227080</v>
      </c>
      <c r="D21" s="27">
        <f>C21-C20</f>
        <v>4227080</v>
      </c>
      <c r="F21" s="55" t="s">
        <v>27</v>
      </c>
      <c r="G21" s="28">
        <f>C20*I20/100</f>
        <v>2804789</v>
      </c>
    </row>
    <row r="22" spans="1:10">
      <c r="B22" t="s">
        <v>29</v>
      </c>
      <c r="C22" s="28">
        <v>137031874.52000001</v>
      </c>
      <c r="F22" s="55"/>
      <c r="G22" s="28">
        <f>C22-C21</f>
        <v>2804794.5200000107</v>
      </c>
    </row>
    <row r="23" spans="1:10">
      <c r="C23" s="28"/>
      <c r="E23" t="s">
        <v>30</v>
      </c>
      <c r="G23">
        <f>G22/C20*100</f>
        <v>2.1575342461538543</v>
      </c>
    </row>
    <row r="24" spans="1:10">
      <c r="A24" t="s">
        <v>31</v>
      </c>
      <c r="C24" s="28"/>
      <c r="D24" s="28"/>
    </row>
    <row r="25" spans="1:10">
      <c r="B25" s="29">
        <v>39325</v>
      </c>
      <c r="C25" s="30">
        <v>39355</v>
      </c>
      <c r="D25" s="30">
        <v>39386</v>
      </c>
      <c r="E25" s="30">
        <v>39416</v>
      </c>
      <c r="F25" s="30">
        <v>39447</v>
      </c>
      <c r="G25" s="31" t="s">
        <v>32</v>
      </c>
      <c r="H25" t="s">
        <v>33</v>
      </c>
      <c r="I25">
        <f>H3</f>
        <v>0.54657534246575346</v>
      </c>
    </row>
    <row r="26" spans="1:10">
      <c r="B26" s="32">
        <v>103</v>
      </c>
      <c r="C26" s="33">
        <v>102</v>
      </c>
      <c r="D26" s="33">
        <v>100</v>
      </c>
      <c r="E26" s="33">
        <v>98</v>
      </c>
      <c r="F26" s="33">
        <v>96</v>
      </c>
      <c r="G26" s="34">
        <v>99</v>
      </c>
      <c r="H26" t="s">
        <v>34</v>
      </c>
      <c r="I26" s="28">
        <v>129410547.94</v>
      </c>
      <c r="J26" t="s">
        <v>35</v>
      </c>
    </row>
    <row r="27" spans="1:10" outlineLevel="1">
      <c r="A27" s="1" t="s">
        <v>36</v>
      </c>
      <c r="B27" s="35"/>
      <c r="C27" s="35"/>
      <c r="D27" s="35"/>
      <c r="E27" s="35"/>
      <c r="F27" s="35"/>
      <c r="G27" s="35"/>
      <c r="I27" s="28">
        <f>(G26+H3)*C20/100</f>
        <v>129410547.94520548</v>
      </c>
      <c r="J27" t="s">
        <v>37</v>
      </c>
    </row>
    <row r="28" spans="1:10" outlineLevel="1">
      <c r="A28" t="s">
        <v>38</v>
      </c>
      <c r="B28" s="27" t="s">
        <v>39</v>
      </c>
      <c r="C28" s="35"/>
      <c r="D28" s="35"/>
      <c r="F28" s="35" t="s">
        <v>40</v>
      </c>
      <c r="G28" s="35"/>
      <c r="H28" t="s">
        <v>27</v>
      </c>
      <c r="I28" s="28">
        <f>C20*I25/100</f>
        <v>710547.94520547951</v>
      </c>
      <c r="J28" s="28">
        <v>758333.34</v>
      </c>
    </row>
    <row r="29" spans="1:10" ht="12.75" customHeight="1" outlineLevel="1">
      <c r="A29" s="36" t="s">
        <v>41</v>
      </c>
      <c r="B29" s="37">
        <f>C20*B26/100-C21+F44</f>
        <v>-222944.6202533333</v>
      </c>
      <c r="C29" s="35"/>
      <c r="D29" s="35"/>
      <c r="E29" s="35"/>
      <c r="F29" s="35"/>
      <c r="G29" s="35"/>
      <c r="I29" s="28" t="e">
        <f>I27-C22+#REF!</f>
        <v>#REF!</v>
      </c>
      <c r="J29">
        <f>J28/C20*100</f>
        <v>0.58333333846153845</v>
      </c>
    </row>
    <row r="30" spans="1:10" ht="12.75" customHeight="1" outlineLevel="1">
      <c r="A30" s="36" t="s">
        <v>42</v>
      </c>
      <c r="B30" s="27" t="s">
        <v>43</v>
      </c>
      <c r="C30" s="35"/>
      <c r="D30" s="35"/>
      <c r="E30" s="35"/>
      <c r="G30" s="35" t="s">
        <v>44</v>
      </c>
      <c r="J30">
        <f>J29*365/F10/100</f>
        <v>60.833333868131859</v>
      </c>
    </row>
    <row r="31" spans="1:10" ht="12.75" customHeight="1" outlineLevel="1">
      <c r="A31" s="36" t="s">
        <v>41</v>
      </c>
      <c r="B31" s="37">
        <f>C20*C26/100-C21+F44+F45-B29</f>
        <v>-1195651.2468602324</v>
      </c>
      <c r="C31" s="37">
        <f>C20*C26/100-(C20*B26/100-F45)</f>
        <v>-1195651.2468602359</v>
      </c>
      <c r="D31" s="35"/>
      <c r="E31" s="35"/>
      <c r="F31" s="35"/>
      <c r="G31" s="35"/>
      <c r="J31" s="28"/>
    </row>
    <row r="32" spans="1:10" ht="12.75" customHeight="1" outlineLevel="1">
      <c r="A32" s="36" t="s">
        <v>45</v>
      </c>
      <c r="B32" s="27" t="s">
        <v>46</v>
      </c>
      <c r="C32" s="35"/>
      <c r="D32" s="35"/>
      <c r="E32" s="35"/>
      <c r="F32" s="35"/>
      <c r="G32" s="35"/>
      <c r="J32" s="28"/>
    </row>
    <row r="33" spans="1:10" ht="12.75" customHeight="1" outlineLevel="1">
      <c r="A33" s="36" t="s">
        <v>41</v>
      </c>
      <c r="B33" s="37">
        <f>C20*D26/100-C21+F44+F45+F46-B29-B31</f>
        <v>-2495437.4362650486</v>
      </c>
      <c r="C33" s="37">
        <f>C20*D26/100-(C20*C26/100-F46)</f>
        <v>-2495437.4362650514</v>
      </c>
      <c r="D33" s="35"/>
      <c r="E33" s="35"/>
      <c r="F33" s="35"/>
      <c r="G33" s="35"/>
      <c r="J33" s="28"/>
    </row>
    <row r="34" spans="1:10" ht="12.75" customHeight="1" outlineLevel="1">
      <c r="A34" s="36" t="s">
        <v>47</v>
      </c>
      <c r="B34" s="27" t="s">
        <v>48</v>
      </c>
      <c r="C34" s="38"/>
      <c r="D34" s="35"/>
      <c r="E34" s="35"/>
      <c r="F34" s="35"/>
      <c r="G34" s="35"/>
      <c r="J34" s="28"/>
    </row>
    <row r="35" spans="1:10" ht="12.75" customHeight="1" outlineLevel="1">
      <c r="A35" s="36" t="s">
        <v>41</v>
      </c>
      <c r="B35" s="37">
        <f>C20*E26/100-C21+F44+F45+F46+F47-B29-B31-B33</f>
        <v>-2495223.1875719558</v>
      </c>
      <c r="C35" s="38"/>
      <c r="D35" s="35"/>
      <c r="E35" s="35"/>
      <c r="F35" s="35"/>
      <c r="G35" s="35"/>
    </row>
    <row r="36" spans="1:10" ht="12.75" customHeight="1" outlineLevel="1">
      <c r="A36" s="36" t="s">
        <v>49</v>
      </c>
      <c r="B36" s="27" t="s">
        <v>50</v>
      </c>
      <c r="C36" s="38"/>
      <c r="D36" s="35"/>
      <c r="E36" s="35"/>
      <c r="F36" s="35"/>
      <c r="G36" s="35"/>
    </row>
    <row r="37" spans="1:10" ht="12.75" customHeight="1" outlineLevel="1">
      <c r="A37" s="36" t="s">
        <v>41</v>
      </c>
      <c r="B37" s="37">
        <f>C20*F26/100-C21+F44+F45+F46+F47+F48-B29-B31-B33-B35</f>
        <v>-2495008.4998832913</v>
      </c>
      <c r="C37" s="38"/>
      <c r="D37" s="35"/>
      <c r="E37" s="35"/>
      <c r="F37" s="35"/>
      <c r="G37" s="35"/>
    </row>
    <row r="38" spans="1:10" outlineLevel="1">
      <c r="B38" s="35"/>
      <c r="C38" s="37"/>
      <c r="D38" s="35"/>
      <c r="E38" s="35"/>
      <c r="F38" s="35"/>
      <c r="G38" s="35"/>
    </row>
    <row r="39" spans="1:10" outlineLevel="1">
      <c r="B39" s="39">
        <f>C20*103/100</f>
        <v>133900000</v>
      </c>
      <c r="C39" s="38"/>
      <c r="D39" s="35"/>
      <c r="E39" s="35"/>
      <c r="F39" s="35"/>
      <c r="G39" s="35"/>
    </row>
    <row r="40" spans="1:10" outlineLevel="1">
      <c r="A40" s="1" t="s">
        <v>51</v>
      </c>
      <c r="B40" s="35"/>
      <c r="C40" s="35"/>
      <c r="D40" s="35"/>
      <c r="E40" s="35"/>
      <c r="F40" s="35"/>
      <c r="G40" s="35"/>
    </row>
    <row r="41" spans="1:10" outlineLevel="1">
      <c r="A41" t="s">
        <v>52</v>
      </c>
    </row>
    <row r="42" spans="1:10" outlineLevel="1">
      <c r="A42" s="40"/>
      <c r="B42" s="40" t="s">
        <v>53</v>
      </c>
      <c r="C42" s="41" t="s">
        <v>54</v>
      </c>
      <c r="D42" s="41" t="s">
        <v>55</v>
      </c>
      <c r="E42" s="40"/>
      <c r="F42" s="42"/>
    </row>
    <row r="43" spans="1:10" ht="40.5" outlineLevel="1">
      <c r="A43" s="43"/>
      <c r="B43" s="43" t="s">
        <v>56</v>
      </c>
      <c r="C43" s="43" t="s">
        <v>57</v>
      </c>
      <c r="D43" s="43" t="s">
        <v>58</v>
      </c>
      <c r="E43" s="43" t="s">
        <v>59</v>
      </c>
      <c r="F43" s="44" t="s">
        <v>60</v>
      </c>
      <c r="G43" s="28" t="s">
        <v>61</v>
      </c>
    </row>
    <row r="44" spans="1:10" outlineLevel="1">
      <c r="A44" s="45" t="s">
        <v>62</v>
      </c>
      <c r="B44" s="37">
        <f>C21</f>
        <v>134227080</v>
      </c>
      <c r="C44" s="37">
        <f>B44*F$18/12</f>
        <v>275031.28691999998</v>
      </c>
      <c r="D44" s="37">
        <f>C$20*F$10/12</f>
        <v>379166.66666666669</v>
      </c>
      <c r="E44" s="37">
        <f>B44+C44-D44</f>
        <v>134122944.62025334</v>
      </c>
      <c r="F44" s="37">
        <f>(D44-C44)</f>
        <v>104135.3797466667</v>
      </c>
      <c r="G44" s="37">
        <f>C21-F44</f>
        <v>134122944.62025334</v>
      </c>
    </row>
    <row r="45" spans="1:10" outlineLevel="1">
      <c r="A45" s="45" t="s">
        <v>63</v>
      </c>
      <c r="B45" s="37">
        <f>E44</f>
        <v>134122944.62025334</v>
      </c>
      <c r="C45" s="37">
        <f t="shared" ref="C45:C48" si="0">B45*F$18/12</f>
        <v>274817.91352689906</v>
      </c>
      <c r="D45" s="37">
        <f t="shared" ref="D45:D48" si="1">C$20*F$10/12</f>
        <v>379166.66666666669</v>
      </c>
      <c r="E45" s="37">
        <f t="shared" ref="E45:E48" si="2">B45+C45-D45</f>
        <v>134018595.86711358</v>
      </c>
      <c r="F45" s="37">
        <f t="shared" ref="F45" si="3">(D45-C45)</f>
        <v>104348.75313976762</v>
      </c>
      <c r="G45" s="37" t="e">
        <f>C21-F44-F45-#REF!</f>
        <v>#REF!</v>
      </c>
    </row>
    <row r="46" spans="1:10" outlineLevel="1">
      <c r="A46" s="45" t="s">
        <v>64</v>
      </c>
      <c r="B46" s="37">
        <f>E45</f>
        <v>134018595.86711358</v>
      </c>
      <c r="C46" s="37">
        <f t="shared" si="0"/>
        <v>274604.10293171572</v>
      </c>
      <c r="D46" s="37">
        <f t="shared" si="1"/>
        <v>379166.66666666669</v>
      </c>
      <c r="E46" s="37">
        <f>B46+C46-D46</f>
        <v>133914033.30337863</v>
      </c>
      <c r="F46" s="37">
        <f>(D46-C46)</f>
        <v>104562.56373495096</v>
      </c>
      <c r="G46" s="3">
        <v>39296</v>
      </c>
      <c r="H46" s="3">
        <v>39325</v>
      </c>
      <c r="I46">
        <f>H46-G46</f>
        <v>29</v>
      </c>
    </row>
    <row r="47" spans="1:10" outlineLevel="1">
      <c r="A47" s="46">
        <v>39416</v>
      </c>
      <c r="B47" s="37">
        <f t="shared" ref="B47" si="4">E46</f>
        <v>133914033.30337863</v>
      </c>
      <c r="C47" s="37">
        <f t="shared" si="0"/>
        <v>274389.85423862276</v>
      </c>
      <c r="D47" s="37">
        <f t="shared" si="1"/>
        <v>379166.66666666669</v>
      </c>
      <c r="E47" s="37">
        <f t="shared" si="2"/>
        <v>133809256.49095058</v>
      </c>
      <c r="F47" s="37">
        <f>(D47-C47)</f>
        <v>104776.81242804392</v>
      </c>
      <c r="G47" s="3"/>
      <c r="H47" s="3"/>
    </row>
    <row r="48" spans="1:10" outlineLevel="1">
      <c r="A48" s="46">
        <v>39447</v>
      </c>
      <c r="B48" s="37">
        <f>E47</f>
        <v>133809256.49095058</v>
      </c>
      <c r="C48" s="37">
        <f t="shared" si="0"/>
        <v>274175.16654995776</v>
      </c>
      <c r="D48" s="37">
        <f t="shared" si="1"/>
        <v>379166.66666666669</v>
      </c>
      <c r="E48" s="37">
        <f t="shared" si="2"/>
        <v>133704264.99083386</v>
      </c>
      <c r="F48" s="37">
        <f>(D48-C48)</f>
        <v>104991.50011670892</v>
      </c>
      <c r="G48" s="3"/>
      <c r="H48" s="3"/>
    </row>
    <row r="49" spans="1:9">
      <c r="A49" s="45"/>
      <c r="B49" s="37"/>
      <c r="C49" s="37"/>
      <c r="D49" s="37"/>
      <c r="E49" s="37"/>
      <c r="F49" s="37"/>
    </row>
    <row r="50" spans="1:9">
      <c r="A50" s="33" t="s">
        <v>65</v>
      </c>
      <c r="B50" s="47"/>
      <c r="C50" s="47"/>
      <c r="D50" s="47"/>
      <c r="E50" s="47"/>
      <c r="F50" s="48">
        <f>SUM(F44:F49)</f>
        <v>522815.00916613813</v>
      </c>
      <c r="G50" s="49"/>
    </row>
    <row r="51" spans="1:9">
      <c r="A51" s="35"/>
      <c r="B51" s="50"/>
      <c r="C51" s="28">
        <f>C44+C45+C46+C47+C48</f>
        <v>1373018.3241671955</v>
      </c>
      <c r="D51" s="50"/>
      <c r="E51" s="50">
        <f>C20*F26/100</f>
        <v>124800000</v>
      </c>
      <c r="F51" s="50"/>
      <c r="G51" s="51"/>
    </row>
    <row r="52" spans="1:9">
      <c r="B52" s="28"/>
      <c r="D52" s="28"/>
    </row>
    <row r="53" spans="1:9" outlineLevel="1">
      <c r="A53" s="52" t="s">
        <v>15</v>
      </c>
      <c r="B53" s="52" t="s">
        <v>67</v>
      </c>
      <c r="C53" s="52" t="s">
        <v>68</v>
      </c>
      <c r="D53" s="52" t="s">
        <v>69</v>
      </c>
      <c r="E53" s="52" t="s">
        <v>54</v>
      </c>
      <c r="F53" s="52" t="s">
        <v>70</v>
      </c>
      <c r="G53" s="52" t="s">
        <v>66</v>
      </c>
      <c r="H53" s="52" t="s">
        <v>71</v>
      </c>
      <c r="I53" s="52" t="s">
        <v>72</v>
      </c>
    </row>
    <row r="54" spans="1:9" outlineLevel="1">
      <c r="A54" s="53" t="s">
        <v>73</v>
      </c>
      <c r="B54" s="53" t="s">
        <v>74</v>
      </c>
      <c r="C54" s="28"/>
      <c r="D54" s="28">
        <f>D21</f>
        <v>4227080</v>
      </c>
      <c r="G54" s="28">
        <f>D21</f>
        <v>4227080</v>
      </c>
    </row>
    <row r="55" spans="1:9" outlineLevel="1">
      <c r="A55" s="53" t="s">
        <v>62</v>
      </c>
      <c r="B55" s="53" t="s">
        <v>75</v>
      </c>
      <c r="C55" s="28">
        <v>379166.67</v>
      </c>
      <c r="D55" s="28">
        <f>C55+D54</f>
        <v>4606246.67</v>
      </c>
      <c r="E55" s="28">
        <f>C44</f>
        <v>275031.28691999998</v>
      </c>
      <c r="F55" s="28">
        <f>F44</f>
        <v>104135.3797466667</v>
      </c>
      <c r="G55" s="28">
        <f>G54-F55</f>
        <v>4122944.6202533334</v>
      </c>
      <c r="H55" s="28"/>
      <c r="I55" s="28"/>
    </row>
    <row r="56" spans="1:9" outlineLevel="1">
      <c r="A56" s="53" t="s">
        <v>63</v>
      </c>
      <c r="B56" s="53" t="s">
        <v>75</v>
      </c>
      <c r="C56" s="28">
        <v>379166.67</v>
      </c>
      <c r="D56" s="28">
        <f>C56+D55</f>
        <v>4985413.34</v>
      </c>
      <c r="E56" s="28">
        <f>C45</f>
        <v>274817.91352689906</v>
      </c>
      <c r="F56" s="28">
        <f t="shared" ref="F56:F57" si="5">F45</f>
        <v>104348.75313976762</v>
      </c>
      <c r="G56" s="28">
        <f>G55-F56</f>
        <v>4018595.8671135656</v>
      </c>
      <c r="H56" s="28"/>
      <c r="I56" s="28"/>
    </row>
    <row r="57" spans="1:9" outlineLevel="1">
      <c r="A57" s="53" t="s">
        <v>64</v>
      </c>
      <c r="B57" s="53" t="s">
        <v>75</v>
      </c>
      <c r="C57" s="28">
        <v>379166.67</v>
      </c>
      <c r="D57" s="28">
        <f>C57+D56</f>
        <v>5364580.01</v>
      </c>
      <c r="E57" s="28">
        <f>C46</f>
        <v>274604.10293171572</v>
      </c>
      <c r="F57" s="28">
        <f t="shared" si="5"/>
        <v>104562.56373495096</v>
      </c>
      <c r="G57" s="28">
        <f>G56-F57</f>
        <v>3914033.3033786146</v>
      </c>
      <c r="H57" s="28"/>
      <c r="I57" s="28"/>
    </row>
    <row r="58" spans="1:9" outlineLevel="1">
      <c r="A58" s="53" t="s">
        <v>76</v>
      </c>
      <c r="B58" s="53" t="s">
        <v>77</v>
      </c>
      <c r="D58">
        <v>0</v>
      </c>
      <c r="E58" s="28"/>
      <c r="G58" s="28">
        <f>G57</f>
        <v>3914033.3033786146</v>
      </c>
      <c r="H58" s="28"/>
    </row>
    <row r="59" spans="1:9" outlineLevel="1">
      <c r="A59" s="53" t="s">
        <v>78</v>
      </c>
      <c r="B59" s="53" t="s">
        <v>75</v>
      </c>
      <c r="C59" s="28">
        <v>379166.67</v>
      </c>
      <c r="D59" s="28">
        <f>C59</f>
        <v>379166.67</v>
      </c>
      <c r="E59" s="28">
        <f>C48</f>
        <v>274175.16654995776</v>
      </c>
      <c r="F59" s="28">
        <f>F47</f>
        <v>104776.81242804392</v>
      </c>
      <c r="G59" s="28">
        <f>G58-F59</f>
        <v>3809256.4909505704</v>
      </c>
      <c r="H59" s="28"/>
      <c r="I59" s="28"/>
    </row>
    <row r="60" spans="1:9" outlineLevel="1">
      <c r="A60" s="53" t="s">
        <v>79</v>
      </c>
      <c r="B60" s="53" t="s">
        <v>75</v>
      </c>
      <c r="C60" s="28">
        <v>379166.67</v>
      </c>
      <c r="D60" s="28">
        <f>C60+D59</f>
        <v>758333.34</v>
      </c>
      <c r="E60" s="28">
        <f>C49</f>
        <v>0</v>
      </c>
      <c r="F60" s="28">
        <f>F48</f>
        <v>104991.50011670892</v>
      </c>
      <c r="G60" s="28">
        <f>G59-F60</f>
        <v>3704264.9908338618</v>
      </c>
      <c r="H60" s="28"/>
      <c r="I60" s="28"/>
    </row>
    <row r="61" spans="1:9" outlineLevel="1">
      <c r="A61" s="53" t="s">
        <v>80</v>
      </c>
      <c r="B61" s="53" t="s">
        <v>81</v>
      </c>
      <c r="C61" s="28">
        <f>SUM(C55:C60)</f>
        <v>1895833.3499999999</v>
      </c>
      <c r="E61" s="28"/>
      <c r="F61" s="28">
        <f>SUM(F55:F60)</f>
        <v>522815.00916613813</v>
      </c>
      <c r="G61" s="28"/>
      <c r="H61" s="28"/>
      <c r="I61" s="28"/>
    </row>
    <row r="62" spans="1:9" outlineLevel="1">
      <c r="A62" s="53" t="s">
        <v>82</v>
      </c>
      <c r="B62" s="53" t="s">
        <v>83</v>
      </c>
      <c r="E62" s="28"/>
    </row>
    <row r="63" spans="1:9" outlineLevel="1"/>
    <row r="66" spans="1:6">
      <c r="A66" s="1" t="s">
        <v>84</v>
      </c>
      <c r="B66" s="28">
        <v>30000000</v>
      </c>
      <c r="C66" t="s">
        <v>90</v>
      </c>
      <c r="D66">
        <v>0.12345</v>
      </c>
    </row>
    <row r="67" spans="1:6">
      <c r="A67" t="s">
        <v>89</v>
      </c>
      <c r="B67" s="28">
        <f>C20-B66</f>
        <v>100000000</v>
      </c>
      <c r="C67" t="s">
        <v>91</v>
      </c>
      <c r="D67" s="28">
        <f>B66*D66/100</f>
        <v>37035</v>
      </c>
    </row>
    <row r="68" spans="1:6">
      <c r="A68" s="1" t="s">
        <v>85</v>
      </c>
      <c r="B68">
        <v>103.2516</v>
      </c>
    </row>
    <row r="69" spans="1:6">
      <c r="A69" t="s">
        <v>86</v>
      </c>
    </row>
    <row r="71" spans="1:6">
      <c r="A71" s="40"/>
      <c r="B71" s="40" t="s">
        <v>53</v>
      </c>
      <c r="C71" s="41" t="s">
        <v>54</v>
      </c>
      <c r="D71" s="41" t="s">
        <v>55</v>
      </c>
      <c r="E71" s="40"/>
      <c r="F71" s="42"/>
    </row>
    <row r="72" spans="1:6" ht="40.5">
      <c r="A72" s="43"/>
      <c r="B72" s="43" t="s">
        <v>56</v>
      </c>
      <c r="C72" s="43" t="s">
        <v>57</v>
      </c>
      <c r="D72" s="43" t="s">
        <v>58</v>
      </c>
      <c r="E72" s="43" t="s">
        <v>59</v>
      </c>
      <c r="F72" s="44" t="s">
        <v>60</v>
      </c>
    </row>
    <row r="73" spans="1:6">
      <c r="A73" s="46">
        <v>39447</v>
      </c>
      <c r="B73" s="37">
        <f>E47*B67/C20</f>
        <v>102930197.30073121</v>
      </c>
      <c r="C73" s="37">
        <f>B73*F$18/12</f>
        <v>210903.97426919825</v>
      </c>
      <c r="D73" s="37">
        <f>(B67)*F$10/12</f>
        <v>291666.66666666669</v>
      </c>
      <c r="E73" s="37">
        <f>B73+C73-D73</f>
        <v>102849434.60833374</v>
      </c>
      <c r="F73" s="37">
        <f>(D73-C73)</f>
        <v>80762.692397468432</v>
      </c>
    </row>
    <row r="75" spans="1:6">
      <c r="A75" t="s">
        <v>87</v>
      </c>
      <c r="B75" s="28">
        <f>D59*B66/C20</f>
        <v>87500.00076923077</v>
      </c>
    </row>
    <row r="76" spans="1:6">
      <c r="A76" t="s">
        <v>88</v>
      </c>
      <c r="B76" s="28">
        <f>G59*B66/C20</f>
        <v>879059.19021936238</v>
      </c>
    </row>
    <row r="78" spans="1:6">
      <c r="A78" t="s">
        <v>92</v>
      </c>
    </row>
    <row r="79" spans="1:6">
      <c r="A79" s="54" t="s">
        <v>93</v>
      </c>
      <c r="B79" s="28">
        <f>B73</f>
        <v>102930197.30073121</v>
      </c>
    </row>
    <row r="80" spans="1:6">
      <c r="A80" s="54" t="s">
        <v>95</v>
      </c>
      <c r="B80" s="28">
        <f>F73</f>
        <v>80762.692397468432</v>
      </c>
    </row>
    <row r="81" spans="1:2">
      <c r="A81" s="54" t="s">
        <v>94</v>
      </c>
      <c r="B81" s="28">
        <f>B79-B80</f>
        <v>102849434.60833374</v>
      </c>
    </row>
    <row r="82" spans="1:2">
      <c r="A82" s="54" t="s">
        <v>97</v>
      </c>
      <c r="B82" s="28">
        <f>B75</f>
        <v>87500.00076923077</v>
      </c>
    </row>
    <row r="83" spans="1:2">
      <c r="A83" s="54" t="s">
        <v>96</v>
      </c>
      <c r="B83" s="28">
        <f>C60</f>
        <v>379166.67</v>
      </c>
    </row>
    <row r="84" spans="1:2">
      <c r="A84" s="54" t="s">
        <v>98</v>
      </c>
      <c r="B84" s="28">
        <f>B82+B83</f>
        <v>466666.67076923075</v>
      </c>
    </row>
    <row r="87" spans="1:2">
      <c r="A87" s="54" t="s">
        <v>99</v>
      </c>
    </row>
  </sheetData>
  <mergeCells count="1">
    <mergeCell ref="F21:F22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2011-07-28T06:43:47Z</dcterms:modified>
</cp:coreProperties>
</file>