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codeName="ThisWorkbook" defaultThemeVersion="166925"/>
  <mc:AlternateContent xmlns:mc="http://schemas.openxmlformats.org/markup-compatibility/2006">
    <mc:Choice Requires="x15">
      <x15ac:absPath xmlns:x15ac="http://schemas.microsoft.com/office/spreadsheetml/2010/11/ac" url="https://grainsrdc-my.sharepoint.com/personal/washington_gapare_grdc_com_au/Documents/GRDC Catalaogue-EOI/Elysium Digital/"/>
    </mc:Choice>
  </mc:AlternateContent>
  <xr:revisionPtr revIDLastSave="2" documentId="8_{57F662A6-A252-4615-843B-DAA4C62A0D40}" xr6:coauthVersionLast="47" xr6:coauthVersionMax="47" xr10:uidLastSave="{3ABC922B-6FE5-49F5-A02D-00E856B13EC6}"/>
  <bookViews>
    <workbookView xWindow="-38520" yWindow="-120" windowWidth="38640" windowHeight="21240" xr2:uid="{D1FCD129-5433-45A1-B5D7-B7E574F806DF}"/>
  </bookViews>
  <sheets>
    <sheet name="Form" sheetId="1" r:id="rId1"/>
    <sheet name="Structure" sheetId="2" r:id="rId2"/>
    <sheet name="Explanations" sheetId="3" r:id="rId3"/>
    <sheet name="FoR codes" sheetId="4" r:id="rId4"/>
  </sheets>
  <definedNames>
    <definedName name="_Hlk116893854" localSheetId="0">Form!#REF!</definedName>
    <definedName name="_Hlk116910093" localSheetId="0">Form!#REF!</definedName>
    <definedName name="_Hlk116914289" localSheetId="0">Form!$A$59</definedName>
    <definedName name="_Hlk116918342" localSheetId="0">Form!#REF!</definedName>
    <definedName name="_Hlk116921356" localSheetId="0">Form!#REF!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68" i="2" l="1"/>
  <c r="D67" i="2"/>
  <c r="B65" i="2"/>
  <c r="B378" i="2"/>
  <c r="B347" i="2"/>
  <c r="B312" i="2"/>
  <c r="B305" i="2"/>
  <c r="B271" i="2"/>
  <c r="B264" i="2"/>
  <c r="B257" i="2"/>
  <c r="B671" i="2"/>
  <c r="D671" i="2" s="1"/>
  <c r="B702" i="2"/>
  <c r="B700" i="2"/>
  <c r="B699" i="2"/>
  <c r="B698" i="2"/>
  <c r="B697" i="2"/>
  <c r="B695" i="2"/>
  <c r="B693" i="2"/>
  <c r="B692" i="2"/>
  <c r="D692" i="2" s="1"/>
  <c r="B691" i="2"/>
  <c r="B690" i="2"/>
  <c r="B688" i="2"/>
  <c r="B686" i="2"/>
  <c r="B685" i="2"/>
  <c r="B684" i="2"/>
  <c r="D682" i="2" s="1"/>
  <c r="B683" i="2"/>
  <c r="B681" i="2"/>
  <c r="B679" i="2"/>
  <c r="B678" i="2"/>
  <c r="D678" i="2" s="1"/>
  <c r="B677" i="2"/>
  <c r="B676" i="2"/>
  <c r="B674" i="2"/>
  <c r="B672" i="2"/>
  <c r="B670" i="2"/>
  <c r="B669" i="2"/>
  <c r="B667" i="2"/>
  <c r="B665" i="2"/>
  <c r="B664" i="2"/>
  <c r="B663" i="2"/>
  <c r="D663" i="2" s="1"/>
  <c r="B662" i="2"/>
  <c r="B660" i="2"/>
  <c r="B658" i="2"/>
  <c r="B657" i="2"/>
  <c r="D657" i="2" s="1"/>
  <c r="B656" i="2"/>
  <c r="D656" i="2" s="1"/>
  <c r="B655" i="2"/>
  <c r="B653" i="2"/>
  <c r="B651" i="2"/>
  <c r="B650" i="2"/>
  <c r="B649" i="2"/>
  <c r="B648" i="2"/>
  <c r="B646" i="2"/>
  <c r="B644" i="2"/>
  <c r="B643" i="2"/>
  <c r="D643" i="2" s="1"/>
  <c r="B642" i="2"/>
  <c r="B641" i="2"/>
  <c r="B639" i="2"/>
  <c r="B637" i="2"/>
  <c r="B636" i="2"/>
  <c r="D636" i="2" s="1"/>
  <c r="B635" i="2"/>
  <c r="D635" i="2" s="1"/>
  <c r="B634" i="2"/>
  <c r="B632" i="2"/>
  <c r="B630" i="2"/>
  <c r="B629" i="2"/>
  <c r="D629" i="2" s="1"/>
  <c r="B628" i="2"/>
  <c r="D628" i="2" s="1"/>
  <c r="B627" i="2"/>
  <c r="B625" i="2"/>
  <c r="B623" i="2"/>
  <c r="B622" i="2"/>
  <c r="B621" i="2"/>
  <c r="D621" i="2" s="1"/>
  <c r="B620" i="2"/>
  <c r="B559" i="2"/>
  <c r="B618" i="2"/>
  <c r="B616" i="2"/>
  <c r="B615" i="2"/>
  <c r="D615" i="2" s="1"/>
  <c r="B614" i="2"/>
  <c r="B613" i="2"/>
  <c r="B611" i="2"/>
  <c r="B609" i="2"/>
  <c r="B608" i="2"/>
  <c r="B607" i="2"/>
  <c r="B606" i="2"/>
  <c r="B604" i="2"/>
  <c r="B602" i="2"/>
  <c r="B601" i="2"/>
  <c r="D601" i="2" s="1"/>
  <c r="B600" i="2"/>
  <c r="D600" i="2" s="1"/>
  <c r="B599" i="2"/>
  <c r="B597" i="2"/>
  <c r="B595" i="2"/>
  <c r="B594" i="2"/>
  <c r="B593" i="2"/>
  <c r="B592" i="2"/>
  <c r="B590" i="2"/>
  <c r="B588" i="2"/>
  <c r="B587" i="2"/>
  <c r="D587" i="2" s="1"/>
  <c r="B586" i="2"/>
  <c r="B585" i="2"/>
  <c r="B583" i="2"/>
  <c r="B581" i="2"/>
  <c r="B580" i="2"/>
  <c r="D580" i="2" s="1"/>
  <c r="B579" i="2"/>
  <c r="D579" i="2" s="1"/>
  <c r="B578" i="2"/>
  <c r="B576" i="2"/>
  <c r="B574" i="2"/>
  <c r="B573" i="2"/>
  <c r="B572" i="2"/>
  <c r="B571" i="2"/>
  <c r="B569" i="2"/>
  <c r="B567" i="2"/>
  <c r="B566" i="2"/>
  <c r="D566" i="2" s="1"/>
  <c r="B565" i="2"/>
  <c r="B564" i="2"/>
  <c r="B562" i="2"/>
  <c r="B560" i="2"/>
  <c r="B558" i="2"/>
  <c r="B557" i="2"/>
  <c r="B555" i="2"/>
  <c r="B553" i="2"/>
  <c r="B552" i="2"/>
  <c r="D552" i="2" s="1"/>
  <c r="B551" i="2"/>
  <c r="D551" i="2" s="1"/>
  <c r="B550" i="2"/>
  <c r="B548" i="2"/>
  <c r="B546" i="2"/>
  <c r="B545" i="2"/>
  <c r="D545" i="2" s="1"/>
  <c r="B544" i="2"/>
  <c r="D544" i="2" s="1"/>
  <c r="B543" i="2"/>
  <c r="B541" i="2"/>
  <c r="B539" i="2"/>
  <c r="B538" i="2"/>
  <c r="D538" i="2" s="1"/>
  <c r="B537" i="2"/>
  <c r="B536" i="2"/>
  <c r="B534" i="2"/>
  <c r="B532" i="2"/>
  <c r="B531" i="2"/>
  <c r="B530" i="2"/>
  <c r="B529" i="2"/>
  <c r="B527" i="2"/>
  <c r="B525" i="2"/>
  <c r="B524" i="2"/>
  <c r="D524" i="2" s="1"/>
  <c r="B523" i="2"/>
  <c r="D523" i="2" s="1"/>
  <c r="B522" i="2"/>
  <c r="B520" i="2"/>
  <c r="B518" i="2"/>
  <c r="B517" i="2"/>
  <c r="B516" i="2"/>
  <c r="D516" i="2" s="1"/>
  <c r="B515" i="2"/>
  <c r="B513" i="2"/>
  <c r="B511" i="2"/>
  <c r="B510" i="2"/>
  <c r="B509" i="2"/>
  <c r="B508" i="2"/>
  <c r="D534" i="2"/>
  <c r="B506" i="2"/>
  <c r="B504" i="2"/>
  <c r="B503" i="2"/>
  <c r="B502" i="2"/>
  <c r="B501" i="2"/>
  <c r="B499" i="2"/>
  <c r="B497" i="2"/>
  <c r="B496" i="2"/>
  <c r="B495" i="2"/>
  <c r="D499" i="2" s="1"/>
  <c r="B494" i="2"/>
  <c r="B492" i="2"/>
  <c r="B490" i="2"/>
  <c r="B489" i="2"/>
  <c r="B488" i="2"/>
  <c r="D488" i="2" s="1"/>
  <c r="B487" i="2"/>
  <c r="B485" i="2"/>
  <c r="B483" i="2"/>
  <c r="B482" i="2"/>
  <c r="B481" i="2"/>
  <c r="D481" i="2" s="1"/>
  <c r="B480" i="2"/>
  <c r="B478" i="2"/>
  <c r="B474" i="2"/>
  <c r="B471" i="2"/>
  <c r="B467" i="2"/>
  <c r="B464" i="2"/>
  <c r="B460" i="2"/>
  <c r="B457" i="2"/>
  <c r="B454" i="2"/>
  <c r="B453" i="2"/>
  <c r="D650" i="2"/>
  <c r="B476" i="2"/>
  <c r="B475" i="2"/>
  <c r="B473" i="2"/>
  <c r="B466" i="2"/>
  <c r="B468" i="2"/>
  <c r="B469" i="2"/>
  <c r="B462" i="2"/>
  <c r="B461" i="2"/>
  <c r="B459" i="2"/>
  <c r="B455" i="2"/>
  <c r="B452" i="2"/>
  <c r="B380" i="2"/>
  <c r="B373" i="2"/>
  <c r="B366" i="2"/>
  <c r="B357" i="2"/>
  <c r="B371" i="2"/>
  <c r="B364" i="2"/>
  <c r="B377" i="2"/>
  <c r="B370" i="2"/>
  <c r="B363" i="2"/>
  <c r="B376" i="2"/>
  <c r="B369" i="2"/>
  <c r="B362" i="2"/>
  <c r="B375" i="2"/>
  <c r="B368" i="2"/>
  <c r="B361" i="2"/>
  <c r="B359" i="2"/>
  <c r="B345" i="2"/>
  <c r="B352" i="2"/>
  <c r="B356" i="2"/>
  <c r="B350" i="2"/>
  <c r="B349" i="2"/>
  <c r="B343" i="2"/>
  <c r="D689" i="2" l="1"/>
  <c r="D680" i="2"/>
  <c r="D702" i="2"/>
  <c r="D684" i="2"/>
  <c r="D664" i="2"/>
  <c r="D594" i="2"/>
  <c r="D573" i="2"/>
  <c r="D563" i="2"/>
  <c r="D520" i="2"/>
  <c r="D514" i="2"/>
  <c r="D685" i="2"/>
  <c r="D624" i="2"/>
  <c r="D674" i="2"/>
  <c r="D696" i="2"/>
  <c r="D695" i="2"/>
  <c r="D691" i="2"/>
  <c r="D675" i="2"/>
  <c r="D517" i="2"/>
  <c r="D647" i="2"/>
  <c r="D681" i="2"/>
  <c r="D687" i="2"/>
  <c r="D698" i="2"/>
  <c r="D584" i="2"/>
  <c r="D652" i="2"/>
  <c r="D677" i="2"/>
  <c r="D688" i="2"/>
  <c r="D694" i="2"/>
  <c r="D699" i="2"/>
  <c r="D659" i="2"/>
  <c r="D646" i="2"/>
  <c r="D701" i="2"/>
  <c r="D653" i="2"/>
  <c r="D654" i="2"/>
  <c r="D670" i="2"/>
  <c r="D556" i="2"/>
  <c r="D604" i="2"/>
  <c r="D611" i="2"/>
  <c r="D619" i="2"/>
  <c r="D649" i="2"/>
  <c r="D660" i="2"/>
  <c r="D666" i="2"/>
  <c r="D661" i="2"/>
  <c r="D596" i="2"/>
  <c r="D667" i="2"/>
  <c r="D673" i="2"/>
  <c r="D668" i="2"/>
  <c r="D542" i="2"/>
  <c r="D618" i="2"/>
  <c r="D568" i="2"/>
  <c r="D625" i="2"/>
  <c r="D631" i="2"/>
  <c r="D642" i="2"/>
  <c r="D626" i="2"/>
  <c r="D632" i="2"/>
  <c r="D638" i="2"/>
  <c r="D633" i="2"/>
  <c r="D598" i="2"/>
  <c r="D622" i="2"/>
  <c r="D639" i="2"/>
  <c r="D645" i="2"/>
  <c r="D591" i="2"/>
  <c r="D605" i="2"/>
  <c r="D640" i="2"/>
  <c r="D531" i="2"/>
  <c r="D576" i="2"/>
  <c r="D607" i="2"/>
  <c r="D572" i="2"/>
  <c r="D597" i="2"/>
  <c r="D603" i="2"/>
  <c r="D608" i="2"/>
  <c r="D614" i="2"/>
  <c r="D593" i="2"/>
  <c r="D610" i="2"/>
  <c r="D590" i="2"/>
  <c r="D617" i="2"/>
  <c r="D507" i="2"/>
  <c r="D612" i="2"/>
  <c r="D489" i="2"/>
  <c r="D569" i="2"/>
  <c r="D575" i="2"/>
  <c r="D586" i="2"/>
  <c r="D505" i="2"/>
  <c r="D570" i="2"/>
  <c r="D565" i="2"/>
  <c r="D582" i="2"/>
  <c r="D482" i="2"/>
  <c r="D540" i="2"/>
  <c r="D562" i="2"/>
  <c r="D577" i="2"/>
  <c r="D583" i="2"/>
  <c r="D589" i="2"/>
  <c r="D512" i="2"/>
  <c r="D535" i="2"/>
  <c r="D496" i="2"/>
  <c r="D541" i="2"/>
  <c r="D547" i="2"/>
  <c r="D558" i="2"/>
  <c r="D537" i="2"/>
  <c r="D548" i="2"/>
  <c r="D554" i="2"/>
  <c r="D559" i="2"/>
  <c r="D510" i="2"/>
  <c r="D549" i="2"/>
  <c r="D555" i="2"/>
  <c r="D561" i="2"/>
  <c r="D492" i="2"/>
  <c r="D503" i="2"/>
  <c r="D500" i="2"/>
  <c r="D513" i="2"/>
  <c r="D519" i="2"/>
  <c r="D530" i="2"/>
  <c r="D526" i="2"/>
  <c r="D377" i="2"/>
  <c r="D521" i="2"/>
  <c r="D509" i="2"/>
  <c r="D486" i="2"/>
  <c r="D527" i="2"/>
  <c r="D533" i="2"/>
  <c r="D528" i="2"/>
  <c r="D506" i="2"/>
  <c r="D484" i="2"/>
  <c r="D495" i="2"/>
  <c r="D479" i="2"/>
  <c r="D485" i="2"/>
  <c r="D491" i="2"/>
  <c r="D502" i="2"/>
  <c r="D498" i="2"/>
  <c r="D493" i="2"/>
  <c r="D374" i="2"/>
  <c r="D379" i="2"/>
  <c r="D380" i="2"/>
  <c r="D376" i="2"/>
  <c r="B342" i="2"/>
  <c r="D342" i="2" s="1"/>
  <c r="B355" i="2"/>
  <c r="D359" i="2" s="1"/>
  <c r="B348" i="2"/>
  <c r="D348" i="2" s="1"/>
  <c r="B341" i="2"/>
  <c r="B354" i="2"/>
  <c r="B340" i="2"/>
  <c r="B338" i="2"/>
  <c r="B331" i="2"/>
  <c r="B324" i="2"/>
  <c r="B336" i="2"/>
  <c r="B329" i="2"/>
  <c r="B322" i="2"/>
  <c r="B335" i="2"/>
  <c r="B328" i="2"/>
  <c r="B321" i="2"/>
  <c r="B334" i="2"/>
  <c r="D338" i="2" s="1"/>
  <c r="B327" i="2"/>
  <c r="D327" i="2" s="1"/>
  <c r="B320" i="2"/>
  <c r="B333" i="2"/>
  <c r="B326" i="2"/>
  <c r="B319" i="2"/>
  <c r="B317" i="2"/>
  <c r="B310" i="2"/>
  <c r="B303" i="2"/>
  <c r="B450" i="2"/>
  <c r="B448" i="2"/>
  <c r="B447" i="2"/>
  <c r="B446" i="2"/>
  <c r="D450" i="2" s="1"/>
  <c r="B445" i="2"/>
  <c r="B315" i="2"/>
  <c r="B443" i="2"/>
  <c r="B441" i="2"/>
  <c r="B440" i="2"/>
  <c r="B294" i="2"/>
  <c r="B439" i="2"/>
  <c r="D439" i="2" s="1"/>
  <c r="B438" i="2"/>
  <c r="B308" i="2"/>
  <c r="B301" i="2"/>
  <c r="B280" i="2"/>
  <c r="B314" i="2"/>
  <c r="B307" i="2"/>
  <c r="B300" i="2"/>
  <c r="B432" i="2"/>
  <c r="B286" i="2"/>
  <c r="B313" i="2"/>
  <c r="B436" i="2"/>
  <c r="B434" i="2"/>
  <c r="B306" i="2"/>
  <c r="B433" i="2"/>
  <c r="B431" i="2"/>
  <c r="B299" i="2"/>
  <c r="D299" i="2" s="1"/>
  <c r="B425" i="2"/>
  <c r="D425" i="2" s="1"/>
  <c r="B292" i="2"/>
  <c r="B429" i="2"/>
  <c r="B427" i="2"/>
  <c r="B426" i="2"/>
  <c r="B424" i="2"/>
  <c r="B298" i="2"/>
  <c r="B291" i="2"/>
  <c r="B418" i="2"/>
  <c r="B422" i="2"/>
  <c r="B420" i="2"/>
  <c r="B419" i="2"/>
  <c r="B296" i="2"/>
  <c r="B417" i="2"/>
  <c r="B289" i="2"/>
  <c r="B415" i="2"/>
  <c r="B282" i="2"/>
  <c r="B413" i="2"/>
  <c r="B412" i="2"/>
  <c r="B287" i="2"/>
  <c r="B411" i="2"/>
  <c r="B410" i="2"/>
  <c r="B293" i="2"/>
  <c r="B279" i="2"/>
  <c r="B403" i="2"/>
  <c r="B285" i="2"/>
  <c r="D285" i="2" s="1"/>
  <c r="B278" i="2"/>
  <c r="B396" i="2"/>
  <c r="B389" i="2"/>
  <c r="B284" i="2"/>
  <c r="B382" i="2"/>
  <c r="B277" i="2"/>
  <c r="B275" i="2"/>
  <c r="B408" i="2"/>
  <c r="B268" i="2"/>
  <c r="B406" i="2"/>
  <c r="B261" i="2"/>
  <c r="B405" i="2"/>
  <c r="B254" i="2"/>
  <c r="B404" i="2"/>
  <c r="B397" i="2"/>
  <c r="B273" i="2"/>
  <c r="B272" i="2"/>
  <c r="D264" i="2"/>
  <c r="B265" i="2"/>
  <c r="D257" i="2"/>
  <c r="B256" i="2"/>
  <c r="B263" i="2"/>
  <c r="B270" i="2"/>
  <c r="B401" i="2"/>
  <c r="B399" i="2"/>
  <c r="B398" i="2"/>
  <c r="B266" i="2"/>
  <c r="B259" i="2"/>
  <c r="B238" i="2"/>
  <c r="B258" i="2"/>
  <c r="B392" i="2"/>
  <c r="B250" i="2"/>
  <c r="D254" i="2" s="1"/>
  <c r="B194" i="2"/>
  <c r="B394" i="2"/>
  <c r="B391" i="2"/>
  <c r="B390" i="2"/>
  <c r="B387" i="2"/>
  <c r="B385" i="2"/>
  <c r="B384" i="2"/>
  <c r="B383" i="2"/>
  <c r="D387" i="2" s="1"/>
  <c r="B193" i="2"/>
  <c r="B243" i="2"/>
  <c r="D243" i="2" s="1"/>
  <c r="B236" i="2"/>
  <c r="B235" i="2"/>
  <c r="B233" i="2"/>
  <c r="B230" i="2"/>
  <c r="B229" i="2"/>
  <c r="D233" i="2" s="1"/>
  <c r="B222" i="2"/>
  <c r="B221" i="2"/>
  <c r="B219" i="2"/>
  <c r="B215" i="2"/>
  <c r="B214" i="2"/>
  <c r="B247" i="2"/>
  <c r="B240" i="2"/>
  <c r="B249" i="2"/>
  <c r="B242" i="2"/>
  <c r="B252" i="2"/>
  <c r="B245" i="2"/>
  <c r="B251" i="2"/>
  <c r="B244" i="2"/>
  <c r="B237" i="2"/>
  <c r="B212" i="2"/>
  <c r="B231" i="2"/>
  <c r="B228" i="2"/>
  <c r="B226" i="2"/>
  <c r="B205" i="2"/>
  <c r="B224" i="2"/>
  <c r="B223" i="2"/>
  <c r="B198" i="2"/>
  <c r="B217" i="2"/>
  <c r="B216" i="2"/>
  <c r="B196" i="2"/>
  <c r="B195" i="2"/>
  <c r="B35" i="2"/>
  <c r="B64" i="2"/>
  <c r="D370" i="2"/>
  <c r="D369" i="2"/>
  <c r="D363" i="2"/>
  <c r="B210" i="2"/>
  <c r="B209" i="2"/>
  <c r="B208" i="2"/>
  <c r="D212" i="2" s="1"/>
  <c r="B207" i="2"/>
  <c r="B203" i="2"/>
  <c r="B201" i="2"/>
  <c r="B200" i="2"/>
  <c r="B202" i="2"/>
  <c r="B708" i="2"/>
  <c r="B707" i="2"/>
  <c r="B191" i="2"/>
  <c r="B189" i="2"/>
  <c r="B188" i="2"/>
  <c r="B187" i="2"/>
  <c r="B186" i="2"/>
  <c r="B184" i="2"/>
  <c r="B182" i="2"/>
  <c r="B181" i="2"/>
  <c r="D181" i="2" s="1"/>
  <c r="B180" i="2"/>
  <c r="B179" i="2"/>
  <c r="B177" i="2"/>
  <c r="B175" i="2"/>
  <c r="B174" i="2"/>
  <c r="B173" i="2"/>
  <c r="B172" i="2"/>
  <c r="B170" i="2"/>
  <c r="B149" i="2"/>
  <c r="B168" i="2"/>
  <c r="B167" i="2"/>
  <c r="B166" i="2"/>
  <c r="B165" i="2"/>
  <c r="B163" i="2"/>
  <c r="B161" i="2"/>
  <c r="B158" i="2"/>
  <c r="B159" i="2"/>
  <c r="B156" i="2"/>
  <c r="B154" i="2"/>
  <c r="B153" i="2"/>
  <c r="D153" i="2" s="1"/>
  <c r="B152" i="2"/>
  <c r="B151" i="2"/>
  <c r="B147" i="2"/>
  <c r="B146" i="2"/>
  <c r="D146" i="2" s="1"/>
  <c r="B145" i="2"/>
  <c r="B144" i="2"/>
  <c r="B142" i="2"/>
  <c r="B135" i="2"/>
  <c r="B140" i="2"/>
  <c r="B139" i="2"/>
  <c r="D139" i="2" s="1"/>
  <c r="B138" i="2"/>
  <c r="B137" i="2"/>
  <c r="B133" i="2"/>
  <c r="B132" i="2"/>
  <c r="D132" i="2" s="1"/>
  <c r="B131" i="2"/>
  <c r="B130" i="2"/>
  <c r="B128" i="2"/>
  <c r="B119" i="2"/>
  <c r="B126" i="2"/>
  <c r="B125" i="2"/>
  <c r="B124" i="2"/>
  <c r="D124" i="2" s="1"/>
  <c r="B123" i="2"/>
  <c r="B114" i="2"/>
  <c r="B112" i="2"/>
  <c r="B111" i="2"/>
  <c r="B110" i="2"/>
  <c r="B109" i="2"/>
  <c r="B121" i="2"/>
  <c r="B118" i="2"/>
  <c r="B117" i="2"/>
  <c r="D121" i="2" s="1"/>
  <c r="B116" i="2"/>
  <c r="B762" i="2"/>
  <c r="B761" i="2"/>
  <c r="B760" i="2"/>
  <c r="B759" i="2"/>
  <c r="B758" i="2"/>
  <c r="B756" i="2"/>
  <c r="B755" i="2"/>
  <c r="B754" i="2"/>
  <c r="B753" i="2"/>
  <c r="B752" i="2"/>
  <c r="B750" i="2"/>
  <c r="B749" i="2"/>
  <c r="B748" i="2"/>
  <c r="B747" i="2"/>
  <c r="B746" i="2"/>
  <c r="B744" i="2"/>
  <c r="B743" i="2"/>
  <c r="B742" i="2"/>
  <c r="B741" i="2"/>
  <c r="B740" i="2"/>
  <c r="B734" i="2"/>
  <c r="B728" i="2"/>
  <c r="B738" i="2"/>
  <c r="B737" i="2"/>
  <c r="B736" i="2"/>
  <c r="B735" i="2"/>
  <c r="B33" i="2"/>
  <c r="B99" i="2"/>
  <c r="B98" i="2"/>
  <c r="D98" i="2" s="1"/>
  <c r="B97" i="2"/>
  <c r="B96" i="2"/>
  <c r="D96" i="2" s="1"/>
  <c r="B95" i="2"/>
  <c r="B94" i="2"/>
  <c r="B93" i="2"/>
  <c r="B92" i="2"/>
  <c r="B91" i="2"/>
  <c r="B90" i="2"/>
  <c r="B89" i="2"/>
  <c r="B88" i="2"/>
  <c r="B87" i="2"/>
  <c r="B86" i="2"/>
  <c r="B85" i="2"/>
  <c r="B84" i="2"/>
  <c r="B732" i="2"/>
  <c r="B730" i="2"/>
  <c r="B731" i="2"/>
  <c r="B729" i="2"/>
  <c r="B82" i="2"/>
  <c r="B83" i="2"/>
  <c r="B101" i="2"/>
  <c r="B726" i="2"/>
  <c r="B720" i="2"/>
  <c r="B725" i="2"/>
  <c r="B104" i="2"/>
  <c r="B724" i="2"/>
  <c r="B723" i="2"/>
  <c r="B102" i="2"/>
  <c r="B722" i="2"/>
  <c r="B716" i="2"/>
  <c r="B719" i="2"/>
  <c r="B713" i="2"/>
  <c r="B718" i="2"/>
  <c r="B717" i="2"/>
  <c r="B711" i="2"/>
  <c r="B100" i="2"/>
  <c r="B710" i="2"/>
  <c r="B105" i="2"/>
  <c r="B103" i="2"/>
  <c r="B764" i="2"/>
  <c r="B714" i="2"/>
  <c r="B712" i="2"/>
  <c r="B56" i="2"/>
  <c r="B55" i="2"/>
  <c r="B54" i="2"/>
  <c r="B41" i="2"/>
  <c r="B39" i="2"/>
  <c r="B14" i="2"/>
  <c r="B3" i="2"/>
  <c r="B24" i="2"/>
  <c r="B32" i="2"/>
  <c r="D240" i="2" l="1"/>
  <c r="D205" i="2"/>
  <c r="D314" i="2"/>
  <c r="D419" i="2"/>
  <c r="D447" i="2"/>
  <c r="D258" i="2"/>
  <c r="D328" i="2"/>
  <c r="D440" i="2"/>
  <c r="D321" i="2"/>
  <c r="D409" i="2"/>
  <c r="D433" i="2"/>
  <c r="D436" i="2"/>
  <c r="D293" i="2"/>
  <c r="D279" i="2"/>
  <c r="D286" i="2"/>
  <c r="D411" i="2"/>
  <c r="D272" i="2"/>
  <c r="D401" i="2"/>
  <c r="D405" i="2"/>
  <c r="D408" i="2"/>
  <c r="D446" i="2"/>
  <c r="D426" i="2"/>
  <c r="D442" i="2"/>
  <c r="D437" i="2"/>
  <c r="D443" i="2"/>
  <c r="D449" i="2"/>
  <c r="D430" i="2"/>
  <c r="D444" i="2"/>
  <c r="D415" i="2"/>
  <c r="D432" i="2"/>
  <c r="D345" i="2"/>
  <c r="D428" i="2"/>
  <c r="D423" i="2"/>
  <c r="D356" i="2"/>
  <c r="D429" i="2"/>
  <c r="D435" i="2"/>
  <c r="D422" i="2"/>
  <c r="D412" i="2"/>
  <c r="D418" i="2"/>
  <c r="D395" i="2"/>
  <c r="D366" i="2"/>
  <c r="D397" i="2"/>
  <c r="D414" i="2"/>
  <c r="D421" i="2"/>
  <c r="D416" i="2"/>
  <c r="D282" i="2"/>
  <c r="D398" i="2"/>
  <c r="D404" i="2"/>
  <c r="D400" i="2"/>
  <c r="D349" i="2"/>
  <c r="D407" i="2"/>
  <c r="D362" i="2"/>
  <c r="D402" i="2"/>
  <c r="D384" i="2"/>
  <c r="D236" i="2"/>
  <c r="D365" i="2"/>
  <c r="D383" i="2"/>
  <c r="D360" i="2"/>
  <c r="D372" i="2"/>
  <c r="D339" i="2"/>
  <c r="D367" i="2"/>
  <c r="D324" i="2"/>
  <c r="D373" i="2"/>
  <c r="D386" i="2"/>
  <c r="D381" i="2"/>
  <c r="D276" i="2"/>
  <c r="D352" i="2"/>
  <c r="D351" i="2"/>
  <c r="D341" i="2"/>
  <c r="D310" i="2"/>
  <c r="D344" i="2"/>
  <c r="D355" i="2"/>
  <c r="D320" i="2"/>
  <c r="D346" i="2"/>
  <c r="D237" i="2"/>
  <c r="D358" i="2"/>
  <c r="D302" i="2"/>
  <c r="D317" i="2"/>
  <c r="D353" i="2"/>
  <c r="D335" i="2"/>
  <c r="D234" i="2"/>
  <c r="D244" i="2"/>
  <c r="D306" i="2"/>
  <c r="D323" i="2"/>
  <c r="D334" i="2"/>
  <c r="D304" i="2"/>
  <c r="D318" i="2"/>
  <c r="D278" i="2"/>
  <c r="D330" i="2"/>
  <c r="D300" i="2"/>
  <c r="D325" i="2"/>
  <c r="D331" i="2"/>
  <c r="D337" i="2"/>
  <c r="D332" i="2"/>
  <c r="D313" i="2"/>
  <c r="D297" i="2"/>
  <c r="D262" i="2"/>
  <c r="D307" i="2"/>
  <c r="D303" i="2"/>
  <c r="D309" i="2"/>
  <c r="D220" i="2"/>
  <c r="D275" i="2"/>
  <c r="D316" i="2"/>
  <c r="D296" i="2"/>
  <c r="D311" i="2"/>
  <c r="D230" i="2"/>
  <c r="D281" i="2"/>
  <c r="D292" i="2"/>
  <c r="D288" i="2"/>
  <c r="D283" i="2"/>
  <c r="D289" i="2"/>
  <c r="D295" i="2"/>
  <c r="D290" i="2"/>
  <c r="D213" i="2"/>
  <c r="D260" i="2"/>
  <c r="D265" i="2"/>
  <c r="D271" i="2"/>
  <c r="D255" i="2"/>
  <c r="D226" i="2"/>
  <c r="D261" i="2"/>
  <c r="D267" i="2"/>
  <c r="D268" i="2"/>
  <c r="D274" i="2"/>
  <c r="D269" i="2"/>
  <c r="D222" i="2"/>
  <c r="D251" i="2"/>
  <c r="D216" i="2"/>
  <c r="D225" i="2"/>
  <c r="D239" i="2"/>
  <c r="D250" i="2"/>
  <c r="D219" i="2"/>
  <c r="D246" i="2"/>
  <c r="D241" i="2"/>
  <c r="D247" i="2"/>
  <c r="D253" i="2"/>
  <c r="D248" i="2"/>
  <c r="D215" i="2"/>
  <c r="D223" i="2"/>
  <c r="D218" i="2"/>
  <c r="D229" i="2"/>
  <c r="D232" i="2"/>
  <c r="D227" i="2"/>
  <c r="D209" i="2"/>
  <c r="D202" i="2"/>
  <c r="D208" i="2"/>
  <c r="D211" i="2"/>
  <c r="D206" i="2"/>
  <c r="D201" i="2"/>
  <c r="D190" i="2"/>
  <c r="D204" i="2"/>
  <c r="D199" i="2"/>
  <c r="D167" i="2"/>
  <c r="D191" i="2"/>
  <c r="D156" i="2"/>
  <c r="D174" i="2"/>
  <c r="D184" i="2"/>
  <c r="D187" i="2"/>
  <c r="D188" i="2"/>
  <c r="D185" i="2"/>
  <c r="D180" i="2"/>
  <c r="D177" i="2"/>
  <c r="D170" i="2"/>
  <c r="D183" i="2"/>
  <c r="D178" i="2"/>
  <c r="D173" i="2"/>
  <c r="D176" i="2"/>
  <c r="D171" i="2"/>
  <c r="D166" i="2"/>
  <c r="D169" i="2"/>
  <c r="D164" i="2"/>
  <c r="D111" i="2"/>
  <c r="D142" i="2"/>
  <c r="D152" i="2"/>
  <c r="D149" i="2"/>
  <c r="D155" i="2"/>
  <c r="D150" i="2"/>
  <c r="D145" i="2"/>
  <c r="D135" i="2"/>
  <c r="D148" i="2"/>
  <c r="D143" i="2"/>
  <c r="D118" i="2"/>
  <c r="D141" i="2"/>
  <c r="D136" i="2"/>
  <c r="D138" i="2"/>
  <c r="D131" i="2"/>
  <c r="D134" i="2"/>
  <c r="D129" i="2"/>
  <c r="D125" i="2"/>
  <c r="D108" i="2"/>
  <c r="D114" i="2"/>
  <c r="D110" i="2"/>
  <c r="D122" i="2"/>
  <c r="D113" i="2"/>
  <c r="D32" i="2"/>
  <c r="D115" i="2"/>
  <c r="D117" i="2"/>
  <c r="D127" i="2"/>
  <c r="D128" i="2"/>
  <c r="D120" i="2"/>
  <c r="D738" i="2"/>
  <c r="D391" i="2"/>
  <c r="D94" i="2"/>
  <c r="D100" i="2"/>
  <c r="D394" i="2"/>
  <c r="D102" i="2"/>
  <c r="D92" i="2"/>
  <c r="D104" i="2"/>
  <c r="D390" i="2"/>
  <c r="D393" i="2"/>
  <c r="D388" i="2"/>
  <c r="D735" i="2"/>
  <c r="D747" i="2"/>
  <c r="D741" i="2"/>
  <c r="D751" i="2"/>
  <c r="D755" i="2"/>
  <c r="D749" i="2"/>
  <c r="D762" i="2"/>
  <c r="D744" i="2"/>
  <c r="D761" i="2"/>
  <c r="D737" i="2"/>
  <c r="D757" i="2"/>
  <c r="D753" i="2"/>
  <c r="D759" i="2"/>
  <c r="D750" i="2"/>
  <c r="D756" i="2"/>
  <c r="D745" i="2"/>
  <c r="D743" i="2"/>
  <c r="D733" i="2"/>
  <c r="D739" i="2"/>
  <c r="B71" i="2"/>
  <c r="B26" i="2"/>
  <c r="D478" i="2" l="1"/>
  <c r="B766" i="2"/>
  <c r="B765" i="2"/>
  <c r="B46" i="2"/>
  <c r="D47" i="2" s="1"/>
  <c r="D764" i="2"/>
  <c r="D2" i="2"/>
  <c r="B763" i="2"/>
  <c r="D763" i="2" s="1"/>
  <c r="B21" i="2"/>
  <c r="D21" i="2" s="1"/>
  <c r="B38" i="2"/>
  <c r="B45" i="2"/>
  <c r="B160" i="2"/>
  <c r="B79" i="2"/>
  <c r="B78" i="2"/>
  <c r="B77" i="2"/>
  <c r="B76" i="2"/>
  <c r="B75" i="2"/>
  <c r="B74" i="2"/>
  <c r="D65" i="2"/>
  <c r="B61" i="2"/>
  <c r="B60" i="2"/>
  <c r="B59" i="2"/>
  <c r="D56" i="2"/>
  <c r="B48" i="2"/>
  <c r="B47" i="2"/>
  <c r="B40" i="2"/>
  <c r="B34" i="2"/>
  <c r="B27" i="2"/>
  <c r="D26" i="2" s="1"/>
  <c r="B25" i="2"/>
  <c r="B20" i="2"/>
  <c r="D13" i="2"/>
  <c r="D769" i="2"/>
  <c r="D768" i="2"/>
  <c r="B31" i="2"/>
  <c r="D9" i="2"/>
  <c r="D6" i="2"/>
  <c r="D31" i="2" l="1"/>
  <c r="D30" i="2"/>
  <c r="D34" i="2"/>
  <c r="D456" i="2"/>
  <c r="D717" i="2"/>
  <c r="D729" i="2"/>
  <c r="D723" i="2"/>
  <c r="D720" i="2"/>
  <c r="D719" i="2"/>
  <c r="D715" i="2"/>
  <c r="D732" i="2"/>
  <c r="D731" i="2"/>
  <c r="D727" i="2"/>
  <c r="D726" i="2"/>
  <c r="D721" i="2"/>
  <c r="D725" i="2"/>
  <c r="D464" i="2"/>
  <c r="D714" i="2"/>
  <c r="D73" i="2"/>
  <c r="D475" i="2"/>
  <c r="D468" i="2"/>
  <c r="D461" i="2"/>
  <c r="D474" i="2"/>
  <c r="D471" i="2"/>
  <c r="D458" i="2"/>
  <c r="D477" i="2"/>
  <c r="D472" i="2"/>
  <c r="D467" i="2"/>
  <c r="D470" i="2"/>
  <c r="D465" i="2"/>
  <c r="D460" i="2"/>
  <c r="D463" i="2"/>
  <c r="D90" i="2"/>
  <c r="D765" i="2"/>
  <c r="D711" i="2"/>
  <c r="D24" i="2"/>
  <c r="D709" i="2"/>
  <c r="D78" i="2"/>
  <c r="D163" i="2"/>
  <c r="D22" i="2"/>
  <c r="D159" i="2"/>
  <c r="D57" i="2"/>
  <c r="D58" i="2"/>
  <c r="D61" i="2"/>
  <c r="D62" i="2"/>
  <c r="D51" i="2"/>
  <c r="D66" i="2"/>
  <c r="D63" i="2"/>
  <c r="D35" i="2"/>
  <c r="D454" i="2"/>
  <c r="D88" i="2"/>
  <c r="D713" i="2"/>
  <c r="D457" i="2"/>
  <c r="D162" i="2"/>
  <c r="D160" i="2"/>
  <c r="D157" i="2"/>
  <c r="D77" i="2"/>
  <c r="D74" i="2"/>
  <c r="B72" i="2"/>
  <c r="D53" i="2"/>
  <c r="D40" i="2"/>
  <c r="D46" i="2"/>
  <c r="D44" i="2"/>
  <c r="D19" i="2"/>
  <c r="D192" i="2" l="1"/>
  <c r="D195" i="2"/>
  <c r="D86" i="2"/>
  <c r="D38" i="2"/>
  <c r="D84" i="2"/>
  <c r="D82" i="2"/>
  <c r="D79" i="2"/>
  <c r="D71" i="2"/>
  <c r="D70" i="2"/>
  <c r="D453" i="2"/>
  <c r="D451" i="2"/>
  <c r="D198" i="2"/>
  <c r="D197" i="2"/>
  <c r="D194" i="2"/>
  <c r="D52" i="2"/>
  <c r="D706" i="2" l="1"/>
  <c r="D766" i="2"/>
  <c r="D707" i="2"/>
  <c r="D705" i="2"/>
  <c r="D76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A3FE6BF-57AD-4458-8405-6FC455CF28B8}" name="collection - q1-9" type="4" refreshedVersion="0" background="1">
    <webPr xml="1" sourceData="1" url="C:\Users\jcorbett\OneDrive - Federation University Australia\Desktop\collection - q1-9.xml" htmlTables="1" htmlFormat="all"/>
  </connection>
  <connection id="2" xr16:uid="{89835DB6-3ECC-4C0B-BD49-F9E2085C355E}" name="collection - q1-91" type="4" refreshedVersion="0" background="1">
    <webPr xml="1" sourceData="1" url="C:\Users\jcorbett\OneDrive - Federation University Australia\Desktop\collection - q1-9.xml" htmlTables="1" htmlFormat="all"/>
  </connection>
  <connection id="3" xr16:uid="{1CE83D6A-1DC8-4200-AA0C-BDB48F0E79D3}" name="collection - q1-92" type="4" refreshedVersion="0" background="1">
    <webPr xml="1" sourceData="1" url="C:\Users\jcorbett\OneDrive - Federation University Australia\Desktop\collection - q1-9.xml" htmlTables="1" htmlFormat="all"/>
  </connection>
  <connection id="4" xr16:uid="{97216320-9DF2-491D-8720-3B953AEDA189}" name="collection - q1-93" type="4" refreshedVersion="0" background="1">
    <webPr xml="1" sourceData="1" url="C:\Users\jcorbett\OneDrive - Federation University Australia\Desktop\collection - q1-9.xml" htmlTables="1" htmlFormat="all"/>
  </connection>
  <connection id="5" xr16:uid="{57BBC8D2-67AA-462E-B57C-F5FF8232CC42}" name="collection - q1-94" type="4" refreshedVersion="0" background="1">
    <webPr xml="1" sourceData="1" url="C:\Users\jcorbett\OneDrive - Federation University Australia\Desktop\collection - q1-9.xml" htmlTables="1" htmlFormat="all"/>
  </connection>
  <connection id="6" xr16:uid="{BC2E243F-CC6A-48A0-85C7-B410245D260A}" name="collection - q1-95" type="4" refreshedVersion="0" background="1">
    <webPr xml="1" sourceData="1" url="C:\Users\jcorbett\OneDrive - Federation University Australia\Desktop\try2.xml" htmlTables="1" htmlFormat="all"/>
  </connection>
  <connection id="7" xr16:uid="{0E3802F5-5EA1-4854-9990-562788D2DC6B}" name="collection - q1-96" type="4" refreshedVersion="0" background="1">
    <webPr xml="1" sourceData="1" url="C:\Users\jcorbett\OneDrive - Federation University Australia\Desktop\collection - q1-9.xml" htmlTables="1" htmlFormat="all"/>
  </connection>
  <connection id="8" xr16:uid="{DED05E03-8433-4736-B4E9-512066DE3ECA}" name="collection - q1-97" type="4" refreshedVersion="0" background="1">
    <webPr xml="1" sourceData="1" url="C:\Users\jcorbett\OneDrive - Federation University Australia\Desktop\collection - q1-9.xml" htmlTables="1" htmlFormat="all"/>
  </connection>
  <connection id="9" xr16:uid="{9314BA0A-E58D-4E42-84A7-CE7B867908CB}" name="collection - q1-98" type="4" refreshedVersion="0" background="1">
    <webPr xml="1" sourceData="1" url="C:\Users\jcorbett\OneDrive - Federation University Australia\Desktop\collection - q1-9.xml" htmlTables="1" htmlFormat="all"/>
  </connection>
  <connection id="10" xr16:uid="{EAA20967-D40D-49A7-A8E9-92EEB48D8915}" name="key" type="4" refreshedVersion="0" background="1">
    <webPr xml="1" sourceData="1" url="C:\Users\jcorbett\OneDrive - Federation University Australia\Desktop\key.xml" htmlTables="1" htmlFormat="all"/>
  </connection>
  <connection id="11" xr16:uid="{18F3480B-5B61-4F19-92AF-BE6F15901DE1}" name="one" type="4" refreshedVersion="0" background="1">
    <webPr xml="1" sourceData="1" url="C:\Users\jcorbett\OneDrive - Federation University Australia\Desktop\one.xml" htmlTables="1" htmlFormat="all"/>
  </connection>
  <connection id="12" xr16:uid="{5EC2ECCB-F665-4264-A58D-D9364F0FD460}" name="os" type="4" refreshedVersion="0" background="1">
    <webPr xml="1" sourceData="1" url="C:\Users\jcorbett\OneDrive - Federation University Australia\Desktop\os.xml" htmlTables="1" htmlFormat="all"/>
  </connection>
</connections>
</file>

<file path=xl/sharedStrings.xml><?xml version="1.0" encoding="utf-8"?>
<sst xmlns="http://schemas.openxmlformats.org/spreadsheetml/2006/main" count="1812" uniqueCount="342">
  <si>
    <t>Metadata Collection Form</t>
  </si>
  <si>
    <t>Assessment of heat tolerance on wheat</t>
  </si>
  <si>
    <t>Collection</t>
  </si>
  <si>
    <t>GRDC contract code:</t>
  </si>
  <si>
    <t xml:space="preserve">UOS1606-004RMX </t>
  </si>
  <si>
    <t>GRDC project title:</t>
  </si>
  <si>
    <t>Introgression of heat-tolerant genes to broaden genetic variation in current wheat breeding populations</t>
  </si>
  <si>
    <t>Start date:</t>
  </si>
  <si>
    <t>2016</t>
  </si>
  <si>
    <t>End date:</t>
  </si>
  <si>
    <t>2021</t>
  </si>
  <si>
    <t>2023</t>
  </si>
  <si>
    <r>
      <t xml:space="preserve">11. What is the spatial coverage of the collection or dataset? </t>
    </r>
    <r>
      <rPr>
        <b/>
        <sz val="11"/>
        <color rgb="FFFF0000"/>
        <rFont val="Calibri"/>
        <family val="2"/>
        <scheme val="minor"/>
      </rPr>
      <t>*</t>
    </r>
    <r>
      <rPr>
        <b/>
        <sz val="11"/>
        <rFont val="Calibri"/>
        <family val="2"/>
        <scheme val="minor"/>
      </rPr>
      <t xml:space="preserve">
</t>
    </r>
    <r>
      <rPr>
        <i/>
        <sz val="11"/>
        <color theme="0" tint="-0.499984740745262"/>
        <rFont val="Calibri"/>
        <family val="2"/>
        <scheme val="minor"/>
      </rPr>
      <t>The GRDC Data Catalogue will have a map view showing a highlighted region bounded by the minimum and maximum longitude and latitude coordinates, if these are defined. This bounding box also empowers searching through the catalogue by regions, e.g., if a user is interested in trials only in the Southern Region.
Note: this bounding box also allows for privacy. If the locations of paddocks used to generate the data are confidential, then provide a larger bounding box to add some uncertainty. This allows for a safe obfuscation of the precise location, while still letting the dataset be accurately sorted in general region searches and categories.
Optionally (and/or alternatively), describe the spatial coverage in text. This can be appropriate, e.g., if there is too wide a range of locations for the collection or dataset, or there is additional information about the spatial extent that cannot be conveyed through the GPS coordinates alone.</t>
    </r>
  </si>
  <si>
    <t>Spatial coverage:</t>
  </si>
  <si>
    <t>The University of Sydney, Plant Breeding Institute, 12656 Newell Highway Narrabri, NSW 2390 (30°16'13.9"S 149°48'17.7"E)
Agriculture Victoria, The Grains Innovation Park, 110 Natimuk Road Horsham, VIC 3400 (36°43'16.2"S 142°10'19.7"E)
Department of Agriculture, 8752 Great Eastern Hwy, Merredin WA 6415 (31°54'05.4"S 116°05'54.2"E)
Remote site – Cadoux, WA (30°42'21.6"S 117°09'17.6"E)</t>
  </si>
  <si>
    <r>
      <t>Spatial coverage type:</t>
    </r>
    <r>
      <rPr>
        <i/>
        <sz val="11"/>
        <color theme="1"/>
        <rFont val="Calibri"/>
        <family val="2"/>
        <scheme val="minor"/>
      </rPr>
      <t xml:space="preserve"> Select from the dropdown menu.</t>
    </r>
  </si>
  <si>
    <t>Other</t>
  </si>
  <si>
    <t>Wheat phenotype traits, genotype based on 90K SNP Chip and site environmental data collected at Narrabri, Merredin and Horsham at 2 different time of sowing (TOS1 and TOS2) from 2016 to 2020. 
Phenotypic traits included 
Days to Heading (DTH) measured in days
Days to Maturity (DTM) measured in days
Yield as t/ha
Protein measured as a percentage
Plant Height in cm
Test weight in kg/hL
Screenings in percentage
Thousand Kernel Weight in grams
Experimental design was an RCB with two replications arranged in a regular grid for each time of sowing. Different numbers of lines and traits were tested at each site and year and details can be found in individual data sets files.
Average maximum and minimum temperature and rainfall for all years were accessed from the Narrabri Airport (4.5 km SSE of experimental site) permanent weather station and climatic data extracted from the Bureau of Meteorology (http://www.bom.gov.au/climate/data/) online database. Weather data for 2016-2020 was collected via a portable weather station located on-farm within 500 m of the experimental sites. Long-term average maximum and minimum temperature and rainfall for the experimental site was collected from the Bureau of Meteorology Climate data online facility (http://www.bom.gov.au/climate/data/).</t>
  </si>
  <si>
    <t>Given name:</t>
  </si>
  <si>
    <t>Richard</t>
  </si>
  <si>
    <t>Family name:</t>
  </si>
  <si>
    <t>Trethowan</t>
  </si>
  <si>
    <t>Rebecca Janette</t>
  </si>
  <si>
    <t>Thistlethwaite</t>
  </si>
  <si>
    <t>Matthew</t>
  </si>
  <si>
    <t>Hayden</t>
  </si>
  <si>
    <t>070305</t>
  </si>
  <si>
    <t>Wheat</t>
  </si>
  <si>
    <t>Heat tolerance</t>
  </si>
  <si>
    <t>Genomic selection</t>
  </si>
  <si>
    <t>pre-breeding</t>
  </si>
  <si>
    <t>Available to third parties under terms and conditions to be agreed by co-owners and or under a data supply and licence agreement</t>
  </si>
  <si>
    <r>
      <t xml:space="preserve">18. What licence applies to the collection or dataset? </t>
    </r>
    <r>
      <rPr>
        <b/>
        <sz val="11"/>
        <color rgb="FFFF0000"/>
        <rFont val="Calibri"/>
        <family val="2"/>
        <scheme val="minor"/>
      </rPr>
      <t>*</t>
    </r>
    <r>
      <rPr>
        <b/>
        <sz val="11"/>
        <rFont val="Calibri"/>
        <family val="2"/>
        <scheme val="minor"/>
      </rPr>
      <t xml:space="preserve">
</t>
    </r>
    <r>
      <rPr>
        <i/>
        <sz val="11"/>
        <color theme="0" tint="-0.499984740745262"/>
        <rFont val="Calibri"/>
        <family val="2"/>
        <scheme val="minor"/>
      </rPr>
      <t>A data licence is a legal arrangement between the creator of the data and the end-user specifying what users can do with the data. Specify the licence used for the collection or dataset from the dropdown menu, including an optional textual description if desired.</t>
    </r>
  </si>
  <si>
    <t>Licence description:</t>
  </si>
  <si>
    <r>
      <t>Licence type:</t>
    </r>
    <r>
      <rPr>
        <i/>
        <sz val="11"/>
        <color theme="1"/>
        <rFont val="Calibri"/>
        <family val="2"/>
        <scheme val="minor"/>
      </rPr>
      <t xml:space="preserve"> Select from the dropdown menu.</t>
    </r>
  </si>
  <si>
    <r>
      <t xml:space="preserve">19. What are the access rights for the collection or dataset? </t>
    </r>
    <r>
      <rPr>
        <b/>
        <sz val="11"/>
        <color rgb="FFFF0000"/>
        <rFont val="Calibri"/>
        <family val="2"/>
        <scheme val="minor"/>
      </rPr>
      <t>*</t>
    </r>
    <r>
      <rPr>
        <b/>
        <sz val="11"/>
        <rFont val="Calibri"/>
        <family val="2"/>
        <scheme val="minor"/>
      </rPr>
      <t xml:space="preserve">
</t>
    </r>
    <r>
      <rPr>
        <i/>
        <sz val="11"/>
        <color theme="0" tint="-0.499984740745262"/>
        <rFont val="Calibri"/>
        <family val="2"/>
        <scheme val="minor"/>
      </rPr>
      <t>Specify the access rights for the collection or dataset, including an optional access rights statement. Question 17 can be used to elaborate on the conditions if 'conditional' access is selected.</t>
    </r>
  </si>
  <si>
    <t>Access rights:</t>
  </si>
  <si>
    <r>
      <t>Access rights type:</t>
    </r>
    <r>
      <rPr>
        <i/>
        <sz val="11"/>
        <color theme="1"/>
        <rFont val="Calibri"/>
        <family val="2"/>
        <scheme val="minor"/>
      </rPr>
      <t xml:space="preserve"> Select from the dropdown menu.</t>
    </r>
  </si>
  <si>
    <t>Title:</t>
  </si>
  <si>
    <t>Impact of elevated CO2 and heat stress on wheat pollen viability and grain production. (2021).</t>
  </si>
  <si>
    <t>https://doi.org/10.1071/FP20187</t>
  </si>
  <si>
    <t>Physiological traits for evaluating heat-tolerance of Australian spring wheat cultivars. (2021)</t>
  </si>
  <si>
    <t>https://doi.org/10.1111/jac.12584</t>
  </si>
  <si>
    <r>
      <t>Relationship:</t>
    </r>
    <r>
      <rPr>
        <i/>
        <sz val="11"/>
        <color theme="1"/>
        <rFont val="Calibri"/>
        <family val="2"/>
        <scheme val="minor"/>
      </rPr>
      <t xml:space="preserve"> Select from the dropdown menu.</t>
    </r>
  </si>
  <si>
    <t>Improving selection efficiency of crop breeding with a genomic prediction aided partial phenotyping strategy.</t>
  </si>
  <si>
    <t>https://doi.org/10.3389/fpls.2021.735285</t>
  </si>
  <si>
    <t>Extension of a haplotype based genomic prediction model to manage multi environment wheat data using environmental covariates</t>
  </si>
  <si>
    <t>https://doi.org/10.1007/s00122-019-03413-1</t>
  </si>
  <si>
    <t>Genomic selection can accelerate the biofortification of spring wheat.</t>
  </si>
  <si>
    <t>https://doi.org/10.1007/s00122-021-03900-4</t>
  </si>
  <si>
    <t>Meta-analysis of genome-wide association studies reveal common loci controlling agronomic and quality traits in a wide range of normal and heat stressed environments</t>
  </si>
  <si>
    <t>https://doi.org/10.1007/s00122-021-03809-y</t>
  </si>
  <si>
    <t>A phenotyping strategy for evaluating the high-temperature tolerance of wheat.</t>
  </si>
  <si>
    <t>https://doi.org/10.1016/j.fcr.2020.107905</t>
  </si>
  <si>
    <t>Genetic Contribution of Emmer Wheat (Triticum dicoccon Schrank) to Heat Tolerance of Bread Wheat.</t>
  </si>
  <si>
    <t>https://doi.org/10.3389/fpls.2018.01529</t>
  </si>
  <si>
    <t>Identification of genetic variation in heat stress, genotype screening for and mechanisms of tolerance in wheat.</t>
  </si>
  <si>
    <t>http://hdl.handle.net/2123/17339</t>
  </si>
  <si>
    <t>Group</t>
  </si>
  <si>
    <r>
      <t>&lt;</t>
    </r>
    <r>
      <rPr>
        <sz val="11"/>
        <color rgb="FF569CD6"/>
        <rFont val="Consolas"/>
        <family val="3"/>
      </rPr>
      <t>registryObject</t>
    </r>
    <r>
      <rPr>
        <sz val="11"/>
        <color rgb="FF808080"/>
        <rFont val="Consolas"/>
        <family val="3"/>
      </rPr>
      <t>&gt;</t>
    </r>
  </si>
  <si>
    <t>group</t>
  </si>
  <si>
    <t>Question 3</t>
  </si>
  <si>
    <t>Key</t>
  </si>
  <si>
    <r>
      <rPr>
        <sz val="11"/>
        <color rgb="FF808080"/>
        <rFont val="Consolas"/>
        <family val="3"/>
      </rPr>
      <t>&lt;</t>
    </r>
    <r>
      <rPr>
        <sz val="11"/>
        <color rgb="FF569CD6"/>
        <rFont val="Consolas"/>
        <family val="3"/>
      </rPr>
      <t>key</t>
    </r>
    <r>
      <rPr>
        <sz val="11"/>
        <color rgb="FF808080"/>
        <rFont val="Consolas"/>
        <family val="3"/>
      </rPr>
      <t>&gt;</t>
    </r>
  </si>
  <si>
    <t>Add value to B5</t>
  </si>
  <si>
    <t>Originating source</t>
  </si>
  <si>
    <r>
      <rPr>
        <sz val="11"/>
        <color rgb="FF808080"/>
        <rFont val="Consolas"/>
        <family val="3"/>
      </rPr>
      <t>&lt;</t>
    </r>
    <r>
      <rPr>
        <sz val="11"/>
        <color rgb="FF569CD6"/>
        <rFont val="Consolas"/>
        <family val="3"/>
      </rPr>
      <t>originatingSource</t>
    </r>
    <r>
      <rPr>
        <sz val="11"/>
        <color rgb="FF808080"/>
        <rFont val="Consolas"/>
        <family val="3"/>
      </rPr>
      <t>&gt;</t>
    </r>
  </si>
  <si>
    <t>Add value to B7</t>
  </si>
  <si>
    <t>type</t>
  </si>
  <si>
    <t>Add value to B8</t>
  </si>
  <si>
    <r>
      <rPr>
        <sz val="11"/>
        <color rgb="FF808080"/>
        <rFont val="Consolas"/>
        <family val="3"/>
      </rPr>
      <t>&lt;</t>
    </r>
    <r>
      <rPr>
        <sz val="11"/>
        <color rgb="FF569CD6"/>
        <rFont val="Consolas"/>
        <family val="3"/>
      </rPr>
      <t>collection</t>
    </r>
    <r>
      <rPr>
        <sz val="11"/>
        <color rgb="FF808080"/>
        <rFont val="Consolas"/>
        <family val="3"/>
      </rPr>
      <t>&gt;</t>
    </r>
  </si>
  <si>
    <t>Question 2</t>
  </si>
  <si>
    <t>dateModified</t>
  </si>
  <si>
    <t>Add value to B12</t>
  </si>
  <si>
    <t>dateAccessioned</t>
  </si>
  <si>
    <t>Add value to B13</t>
  </si>
  <si>
    <t>Name</t>
  </si>
  <si>
    <r>
      <rPr>
        <sz val="11"/>
        <color rgb="FF808080"/>
        <rFont val="Consolas"/>
        <family val="3"/>
      </rPr>
      <t>&lt;</t>
    </r>
    <r>
      <rPr>
        <sz val="11"/>
        <color rgb="FF569CD6"/>
        <rFont val="Consolas"/>
        <family val="3"/>
      </rPr>
      <t>name</t>
    </r>
    <r>
      <rPr>
        <sz val="11"/>
        <color rgb="FF808080"/>
        <rFont val="Consolas"/>
        <family val="3"/>
      </rPr>
      <t>&gt;</t>
    </r>
  </si>
  <si>
    <t>Question 1</t>
  </si>
  <si>
    <r>
      <rPr>
        <sz val="11"/>
        <color rgb="FF808080"/>
        <rFont val="Consolas"/>
        <family val="3"/>
      </rPr>
      <t>&lt;</t>
    </r>
    <r>
      <rPr>
        <sz val="11"/>
        <color rgb="FF569CD6"/>
        <rFont val="Consolas"/>
        <family val="3"/>
      </rPr>
      <t>namePart</t>
    </r>
    <r>
      <rPr>
        <sz val="11"/>
        <color rgb="FF808080"/>
        <rFont val="Consolas"/>
        <family val="3"/>
      </rPr>
      <t>&gt;</t>
    </r>
  </si>
  <si>
    <t>Description</t>
  </si>
  <si>
    <r>
      <rPr>
        <sz val="11"/>
        <color rgb="FF808080"/>
        <rFont val="Consolas"/>
        <family val="3"/>
      </rPr>
      <t>&lt;</t>
    </r>
    <r>
      <rPr>
        <sz val="11"/>
        <color rgb="FF569CD6"/>
        <rFont val="Consolas"/>
        <family val="3"/>
      </rPr>
      <t>description</t>
    </r>
    <r>
      <rPr>
        <sz val="11"/>
        <color rgb="FF808080"/>
        <rFont val="Consolas"/>
        <family val="3"/>
      </rPr>
      <t>&gt;</t>
    </r>
  </si>
  <si>
    <t>Question 12</t>
  </si>
  <si>
    <t>Question 13</t>
  </si>
  <si>
    <t>Rights</t>
  </si>
  <si>
    <r>
      <rPr>
        <sz val="11"/>
        <color rgb="FF808080"/>
        <rFont val="Consolas"/>
        <family val="3"/>
      </rPr>
      <t>&lt;</t>
    </r>
    <r>
      <rPr>
        <sz val="11"/>
        <color rgb="FF569CD6"/>
        <rFont val="Consolas"/>
        <family val="3"/>
      </rPr>
      <t>rights</t>
    </r>
    <r>
      <rPr>
        <sz val="11"/>
        <color rgb="FF808080"/>
        <rFont val="Consolas"/>
        <family val="3"/>
      </rPr>
      <t>&gt;</t>
    </r>
  </si>
  <si>
    <r>
      <rPr>
        <sz val="11"/>
        <color rgb="FF808080"/>
        <rFont val="Consolas"/>
        <family val="3"/>
      </rPr>
      <t>&lt;</t>
    </r>
    <r>
      <rPr>
        <sz val="11"/>
        <color rgb="FF569CD6"/>
        <rFont val="Consolas"/>
        <family val="3"/>
      </rPr>
      <t>rightsStatement</t>
    </r>
    <r>
      <rPr>
        <sz val="11"/>
        <color rgb="FF808080"/>
        <rFont val="Consolas"/>
        <family val="3"/>
      </rPr>
      <t>&gt;</t>
    </r>
  </si>
  <si>
    <t>Question 17</t>
  </si>
  <si>
    <r>
      <rPr>
        <sz val="11"/>
        <color rgb="FF808080"/>
        <rFont val="Consolas"/>
        <family val="3"/>
      </rPr>
      <t>&lt;</t>
    </r>
    <r>
      <rPr>
        <sz val="11"/>
        <color rgb="FF569CD6"/>
        <rFont val="Consolas"/>
        <family val="3"/>
      </rPr>
      <t>licence</t>
    </r>
    <r>
      <rPr>
        <sz val="11"/>
        <color rgb="FF808080"/>
        <rFont val="Consolas"/>
        <family val="3"/>
      </rPr>
      <t>&gt;</t>
    </r>
  </si>
  <si>
    <t>Question 18</t>
  </si>
  <si>
    <r>
      <rPr>
        <sz val="11"/>
        <color rgb="FF808080"/>
        <rFont val="Consolas"/>
        <family val="3"/>
      </rPr>
      <t>&lt;</t>
    </r>
    <r>
      <rPr>
        <sz val="11"/>
        <color rgb="FF569CD6"/>
        <rFont val="Consolas"/>
        <family val="3"/>
      </rPr>
      <t>accessRights</t>
    </r>
    <r>
      <rPr>
        <sz val="11"/>
        <color rgb="FF808080"/>
        <rFont val="Consolas"/>
        <family val="3"/>
      </rPr>
      <t>&gt;</t>
    </r>
  </si>
  <si>
    <t>Question 19</t>
  </si>
  <si>
    <t>Identifier</t>
  </si>
  <si>
    <r>
      <rPr>
        <sz val="11"/>
        <color rgb="FF808080"/>
        <rFont val="Consolas"/>
        <family val="3"/>
      </rPr>
      <t>&lt;</t>
    </r>
    <r>
      <rPr>
        <sz val="11"/>
        <color rgb="FF569CD6"/>
        <rFont val="Consolas"/>
        <family val="3"/>
      </rPr>
      <t>identifier</t>
    </r>
    <r>
      <rPr>
        <sz val="11"/>
        <color rgb="FF808080"/>
        <rFont val="Consolas"/>
        <family val="3"/>
      </rPr>
      <t>&gt;</t>
    </r>
  </si>
  <si>
    <t>Question 5</t>
  </si>
  <si>
    <t>Question 6</t>
  </si>
  <si>
    <t>Dates</t>
  </si>
  <si>
    <r>
      <rPr>
        <sz val="11"/>
        <color rgb="FF808080"/>
        <rFont val="Consolas"/>
        <family val="3"/>
      </rPr>
      <t>&lt;</t>
    </r>
    <r>
      <rPr>
        <sz val="11"/>
        <color rgb="FF569CD6"/>
        <rFont val="Consolas"/>
        <family val="3"/>
      </rPr>
      <t>dates</t>
    </r>
    <r>
      <rPr>
        <sz val="11"/>
        <color rgb="FF808080"/>
        <rFont val="Consolas"/>
        <family val="3"/>
      </rPr>
      <t>&gt;</t>
    </r>
  </si>
  <si>
    <t>Question 10</t>
  </si>
  <si>
    <r>
      <rPr>
        <sz val="11"/>
        <color rgb="FF808080"/>
        <rFont val="Consolas"/>
        <family val="3"/>
      </rPr>
      <t>&lt;</t>
    </r>
    <r>
      <rPr>
        <sz val="11"/>
        <color rgb="FF569CD6"/>
        <rFont val="Consolas"/>
        <family val="3"/>
      </rPr>
      <t>date</t>
    </r>
    <r>
      <rPr>
        <sz val="11"/>
        <color rgb="FF808080"/>
        <rFont val="Consolas"/>
        <family val="3"/>
      </rPr>
      <t>&gt;</t>
    </r>
  </si>
  <si>
    <t>dateFormat</t>
  </si>
  <si>
    <t>Location</t>
  </si>
  <si>
    <r>
      <rPr>
        <sz val="11"/>
        <color rgb="FF808080"/>
        <rFont val="Consolas"/>
        <family val="3"/>
      </rPr>
      <t>&lt;</t>
    </r>
    <r>
      <rPr>
        <sz val="11"/>
        <color rgb="FF569CD6"/>
        <rFont val="Consolas"/>
        <family val="3"/>
      </rPr>
      <t>location</t>
    </r>
    <r>
      <rPr>
        <sz val="11"/>
        <color rgb="FF808080"/>
        <rFont val="Consolas"/>
        <family val="3"/>
      </rPr>
      <t>&gt;</t>
    </r>
  </si>
  <si>
    <r>
      <rPr>
        <sz val="11"/>
        <color rgb="FF808080"/>
        <rFont val="Consolas"/>
        <family val="3"/>
      </rPr>
      <t>&lt;</t>
    </r>
    <r>
      <rPr>
        <sz val="11"/>
        <color rgb="FF569CD6"/>
        <rFont val="Consolas"/>
        <family val="3"/>
      </rPr>
      <t>address</t>
    </r>
    <r>
      <rPr>
        <sz val="11"/>
        <color rgb="FF808080"/>
        <rFont val="Consolas"/>
        <family val="3"/>
      </rPr>
      <t>&gt;</t>
    </r>
  </si>
  <si>
    <r>
      <rPr>
        <sz val="11"/>
        <color rgb="FF808080"/>
        <rFont val="Consolas"/>
        <family val="3"/>
      </rPr>
      <t>&lt;</t>
    </r>
    <r>
      <rPr>
        <sz val="11"/>
        <color rgb="FF569CD6"/>
        <rFont val="Consolas"/>
        <family val="3"/>
      </rPr>
      <t>electronic</t>
    </r>
    <r>
      <rPr>
        <sz val="11"/>
        <color rgb="FF808080"/>
        <rFont val="Consolas"/>
        <family val="3"/>
      </rPr>
      <t>&gt;</t>
    </r>
  </si>
  <si>
    <t>Question 7</t>
  </si>
  <si>
    <t>target</t>
  </si>
  <si>
    <r>
      <rPr>
        <sz val="11"/>
        <color rgb="FF808080"/>
        <rFont val="Consolas"/>
        <family val="3"/>
      </rPr>
      <t>&lt;</t>
    </r>
    <r>
      <rPr>
        <sz val="11"/>
        <color rgb="FF569CD6"/>
        <rFont val="Consolas"/>
        <family val="3"/>
      </rPr>
      <t>value</t>
    </r>
    <r>
      <rPr>
        <sz val="11"/>
        <color rgb="FF808080"/>
        <rFont val="Consolas"/>
        <family val="3"/>
      </rPr>
      <t>&gt;</t>
    </r>
  </si>
  <si>
    <t>Question 8</t>
  </si>
  <si>
    <t>Question 15</t>
  </si>
  <si>
    <t>Coverage</t>
  </si>
  <si>
    <r>
      <rPr>
        <sz val="11"/>
        <color rgb="FF808080"/>
        <rFont val="Consolas"/>
        <family val="3"/>
      </rPr>
      <t>&lt;</t>
    </r>
    <r>
      <rPr>
        <sz val="11"/>
        <color rgb="FF569CD6"/>
        <rFont val="Consolas"/>
        <family val="3"/>
      </rPr>
      <t>coverage</t>
    </r>
    <r>
      <rPr>
        <sz val="11"/>
        <color rgb="FF808080"/>
        <rFont val="Consolas"/>
        <family val="3"/>
      </rPr>
      <t>&gt;</t>
    </r>
  </si>
  <si>
    <r>
      <rPr>
        <sz val="11"/>
        <color rgb="FF808080"/>
        <rFont val="Consolas"/>
        <family val="3"/>
      </rPr>
      <t>&lt;</t>
    </r>
    <r>
      <rPr>
        <sz val="11"/>
        <color rgb="FF569CD6"/>
        <rFont val="Consolas"/>
        <family val="3"/>
      </rPr>
      <t>spatial</t>
    </r>
    <r>
      <rPr>
        <sz val="11"/>
        <color rgb="FF808080"/>
        <rFont val="Consolas"/>
        <family val="3"/>
      </rPr>
      <t>&gt;</t>
    </r>
  </si>
  <si>
    <t>Question 11</t>
  </si>
  <si>
    <r>
      <rPr>
        <sz val="11"/>
        <color rgb="FF808080"/>
        <rFont val="Consolas"/>
        <family val="3"/>
      </rPr>
      <t>&lt;</t>
    </r>
    <r>
      <rPr>
        <sz val="11"/>
        <color rgb="FF569CD6"/>
        <rFont val="Consolas"/>
        <family val="3"/>
      </rPr>
      <t>temporal</t>
    </r>
    <r>
      <rPr>
        <sz val="11"/>
        <color rgb="FF808080"/>
        <rFont val="Consolas"/>
        <family val="3"/>
      </rPr>
      <t>&gt;</t>
    </r>
  </si>
  <si>
    <t>Question 9</t>
  </si>
  <si>
    <t>Subject</t>
  </si>
  <si>
    <r>
      <rPr>
        <sz val="11"/>
        <color rgb="FF808080"/>
        <rFont val="Consolas"/>
        <family val="3"/>
      </rPr>
      <t>&lt;</t>
    </r>
    <r>
      <rPr>
        <sz val="11"/>
        <color rgb="FF569CD6"/>
        <rFont val="Consolas"/>
        <family val="3"/>
      </rPr>
      <t>subject</t>
    </r>
    <r>
      <rPr>
        <sz val="11"/>
        <color rgb="FF808080"/>
        <rFont val="Consolas"/>
        <family val="3"/>
      </rPr>
      <t>&gt;</t>
    </r>
  </si>
  <si>
    <t>Question 16</t>
  </si>
  <si>
    <t>Related information</t>
  </si>
  <si>
    <r>
      <rPr>
        <sz val="11"/>
        <color rgb="FF808080"/>
        <rFont val="Consolas"/>
        <family val="3"/>
      </rPr>
      <t>&lt;</t>
    </r>
    <r>
      <rPr>
        <sz val="11"/>
        <color rgb="FF569CD6"/>
        <rFont val="Consolas"/>
        <family val="3"/>
      </rPr>
      <t>relatedInfo</t>
    </r>
    <r>
      <rPr>
        <sz val="11"/>
        <color rgb="FF808080"/>
        <rFont val="Consolas"/>
        <family val="3"/>
      </rPr>
      <t>&gt;</t>
    </r>
  </si>
  <si>
    <t>Question 4</t>
  </si>
  <si>
    <r>
      <rPr>
        <sz val="11"/>
        <color rgb="FF808080"/>
        <rFont val="Consolas"/>
        <family val="3"/>
      </rPr>
      <t>&lt;</t>
    </r>
    <r>
      <rPr>
        <sz val="11"/>
        <color rgb="FF569CD6"/>
        <rFont val="Consolas"/>
        <family val="3"/>
      </rPr>
      <t>title</t>
    </r>
    <r>
      <rPr>
        <sz val="11"/>
        <color rgb="FF808080"/>
        <rFont val="Consolas"/>
        <family val="3"/>
      </rPr>
      <t>&gt;</t>
    </r>
  </si>
  <si>
    <r>
      <rPr>
        <sz val="11"/>
        <color rgb="FF808080"/>
        <rFont val="Consolas"/>
        <family val="3"/>
      </rPr>
      <t>&lt;</t>
    </r>
    <r>
      <rPr>
        <sz val="11"/>
        <color rgb="FF569CD6"/>
        <rFont val="Consolas"/>
        <family val="3"/>
      </rPr>
      <t>relation</t>
    </r>
    <r>
      <rPr>
        <sz val="11"/>
        <color rgb="FF808080"/>
        <rFont val="Consolas"/>
        <family val="3"/>
      </rPr>
      <t>&gt;</t>
    </r>
  </si>
  <si>
    <t>Question 20</t>
  </si>
  <si>
    <t>Question 21</t>
  </si>
  <si>
    <t>Citation information</t>
  </si>
  <si>
    <r>
      <rPr>
        <sz val="11"/>
        <color rgb="FF808080"/>
        <rFont val="Consolas"/>
        <family val="3"/>
      </rPr>
      <t>&lt;</t>
    </r>
    <r>
      <rPr>
        <sz val="11"/>
        <color rgb="FF569CD6"/>
        <rFont val="Consolas"/>
        <family val="3"/>
      </rPr>
      <t>citationInfo</t>
    </r>
    <r>
      <rPr>
        <sz val="11"/>
        <color rgb="FF808080"/>
        <rFont val="Consolas"/>
        <family val="3"/>
      </rPr>
      <t>&gt;</t>
    </r>
  </si>
  <si>
    <r>
      <rPr>
        <sz val="11"/>
        <color rgb="FF808080"/>
        <rFont val="Consolas"/>
        <family val="3"/>
      </rPr>
      <t>&lt;</t>
    </r>
    <r>
      <rPr>
        <sz val="11"/>
        <color rgb="FF569CD6"/>
        <rFont val="Consolas"/>
        <family val="3"/>
      </rPr>
      <t>citationMetadata</t>
    </r>
    <r>
      <rPr>
        <sz val="11"/>
        <color rgb="FF808080"/>
        <rFont val="Consolas"/>
        <family val="3"/>
      </rPr>
      <t>&gt;</t>
    </r>
  </si>
  <si>
    <r>
      <rPr>
        <sz val="11"/>
        <color rgb="FF808080"/>
        <rFont val="Consolas"/>
        <family val="3"/>
      </rPr>
      <t>&lt;</t>
    </r>
    <r>
      <rPr>
        <sz val="11"/>
        <color rgb="FF569CD6"/>
        <rFont val="Consolas"/>
        <family val="3"/>
      </rPr>
      <t>contributor</t>
    </r>
    <r>
      <rPr>
        <sz val="11"/>
        <color rgb="FF808080"/>
        <rFont val="Consolas"/>
        <family val="3"/>
      </rPr>
      <t>&gt;</t>
    </r>
  </si>
  <si>
    <t>seq</t>
  </si>
  <si>
    <t>Question 14</t>
  </si>
  <si>
    <r>
      <rPr>
        <sz val="11"/>
        <color rgb="FF808080"/>
        <rFont val="Consolas"/>
        <family val="3"/>
      </rPr>
      <t>&lt;</t>
    </r>
    <r>
      <rPr>
        <sz val="11"/>
        <color rgb="FF569CD6"/>
        <rFont val="Consolas"/>
        <family val="3"/>
      </rPr>
      <t>publisher</t>
    </r>
    <r>
      <rPr>
        <sz val="11"/>
        <color rgb="FF808080"/>
        <rFont val="Consolas"/>
        <family val="3"/>
      </rPr>
      <t>&gt;</t>
    </r>
  </si>
  <si>
    <t>Spatial coverage type</t>
  </si>
  <si>
    <t>DCMI Point</t>
  </si>
  <si>
    <t>spatial location information specified in DCMI Point* notation</t>
  </si>
  <si>
    <t xml:space="preserve">https://www.dublincore.org/specifications/dublin-core/dcmi-point/ </t>
  </si>
  <si>
    <t>GML KML coordinates</t>
  </si>
  <si>
    <t>A set of KML long/lat co-ordinates derived from GML (OpenGIS Geography Markup Language) defining a polygon as described by the KML coordinates element but without the altitude component</t>
  </si>
  <si>
    <t xml:space="preserve">https://mygeodata.cloud/converter/gml-to-kml </t>
  </si>
  <si>
    <t>GPX</t>
  </si>
  <si>
    <t>the GPS Exchange Format</t>
  </si>
  <si>
    <t xml:space="preserve">https://www.topografix.com/gpx.asp </t>
  </si>
  <si>
    <t>ISO 3166-1</t>
  </si>
  <si>
    <t>ISO 3166-1 Codes for the representation of names of countries and their subdivisions - Part 1 Country codes</t>
  </si>
  <si>
    <t xml:space="preserve">https://www.iso.org/iso-3166-country-codes.html </t>
  </si>
  <si>
    <t>ISO 3166-2</t>
  </si>
  <si>
    <t>Codes for the representation of names of countries and their subdivisions - Part 2 Country subdivision codes</t>
  </si>
  <si>
    <t>ISO 3166-3</t>
  </si>
  <si>
    <t>ISO 3166-3 Codes for country names which have been deleted from ISO 3166-1 since its first publication in 1974.</t>
  </si>
  <si>
    <t>DCMI Box</t>
  </si>
  <si>
    <t xml:space="preserve">The DCMI Box encoding scheme is a method for identifying a region of space using its geographic limits. </t>
  </si>
  <si>
    <t xml:space="preserve">https://www.dublincore.org/specifications/dublin-core/dcmi-box/2005-07-25/ </t>
  </si>
  <si>
    <t>KML coordinates</t>
  </si>
  <si>
    <t>A set of KML (Keyhole Markup Language) long/lat co-ordinates defining a polygon as described by the KML coordinates element</t>
  </si>
  <si>
    <t>https://www.ogc.org/standard/kml/</t>
  </si>
  <si>
    <t>Used when entering a region to preserve sensitive data</t>
  </si>
  <si>
    <r>
      <t xml:space="preserve">1. What is the name of the collection or dataset? </t>
    </r>
    <r>
      <rPr>
        <b/>
        <sz val="11"/>
        <color rgb="FFFF0000"/>
        <rFont val="Calibri"/>
        <family val="2"/>
        <scheme val="minor"/>
      </rPr>
      <t>*</t>
    </r>
    <r>
      <rPr>
        <b/>
        <sz val="11"/>
        <rFont val="Calibri"/>
        <family val="2"/>
        <scheme val="minor"/>
      </rPr>
      <t xml:space="preserve">
</t>
    </r>
    <r>
      <rPr>
        <i/>
        <sz val="11"/>
        <color theme="0" tint="-0.499984740745262"/>
        <rFont val="Calibri"/>
        <family val="2"/>
        <scheme val="minor"/>
      </rPr>
      <t>Aim to be descriptive but concise, so that the name is unique and meaningful to users of the GRDC Data Catalogue. Note: the name of the collection or dataset should be different to the GRDC project title and should not include the GRDC contract code.</t>
    </r>
  </si>
  <si>
    <r>
      <t>2. What is this metadata record for?</t>
    </r>
    <r>
      <rPr>
        <b/>
        <i/>
        <sz val="11"/>
        <rFont val="Calibri"/>
        <family val="2"/>
        <scheme val="minor"/>
      </rPr>
      <t xml:space="preserve"> Select from the dropdown menu.</t>
    </r>
    <r>
      <rPr>
        <b/>
        <sz val="11"/>
        <rFont val="Calibri"/>
        <family val="2"/>
        <scheme val="minor"/>
      </rPr>
      <t xml:space="preserve"> </t>
    </r>
    <r>
      <rPr>
        <b/>
        <sz val="11"/>
        <color rgb="FFFF0000"/>
        <rFont val="Calibri"/>
        <family val="2"/>
        <scheme val="minor"/>
      </rPr>
      <t>*</t>
    </r>
    <r>
      <rPr>
        <b/>
        <sz val="11"/>
        <rFont val="Calibri"/>
        <family val="2"/>
        <scheme val="minor"/>
      </rPr>
      <t xml:space="preserve">
</t>
    </r>
    <r>
      <rPr>
        <i/>
        <sz val="11"/>
        <color theme="0" tint="-0.499984740745262"/>
        <rFont val="Calibri"/>
        <family val="2"/>
        <scheme val="minor"/>
      </rPr>
      <t>The GRDC Data Catalogue will default to Collection.
Collection: A collection of objects, grouped according to a shared criteria, which are stored and managed as a collective group. E.g., an entire book.
Dataset: Structured data that is an input to, or output of research. E.g., a chapter of a book.</t>
    </r>
  </si>
  <si>
    <r>
      <t xml:space="preserve">3. Which organisation is contributing this metadata record? </t>
    </r>
    <r>
      <rPr>
        <b/>
        <sz val="11"/>
        <color rgb="FFFF0000"/>
        <rFont val="Calibri"/>
        <family val="2"/>
        <scheme val="minor"/>
      </rPr>
      <t>*</t>
    </r>
    <r>
      <rPr>
        <b/>
        <sz val="11"/>
        <rFont val="Calibri"/>
        <family val="2"/>
        <scheme val="minor"/>
      </rPr>
      <t xml:space="preserve">
</t>
    </r>
    <r>
      <rPr>
        <i/>
        <sz val="11"/>
        <color theme="0" tint="-0.499984740745262"/>
        <rFont val="Calibri"/>
        <family val="2"/>
        <scheme val="minor"/>
      </rPr>
      <t>Specify the name and Research Organization Registry (ROR) of the research organisation that is contributing this metadata record in full, e.g., New South Wales Department of Primary Industries (https://ror.org/050khh066).</t>
    </r>
  </si>
  <si>
    <t>Click here to search the Research Organization Registry (ROR).</t>
  </si>
  <si>
    <t>Name:</t>
  </si>
  <si>
    <t>ROR:</t>
  </si>
  <si>
    <t>Role:</t>
  </si>
  <si>
    <t>https://ror.org/0384j8v12</t>
  </si>
  <si>
    <r>
      <t>Role:</t>
    </r>
    <r>
      <rPr>
        <i/>
        <sz val="11"/>
        <color theme="1"/>
        <rFont val="Calibri"/>
        <family val="2"/>
        <scheme val="minor"/>
      </rPr>
      <t xml:space="preserve"> Select from the dropdown menu.</t>
    </r>
  </si>
  <si>
    <r>
      <t xml:space="preserve">4. Which GRDC project does this collection or dataset relate to? </t>
    </r>
    <r>
      <rPr>
        <b/>
        <sz val="11"/>
        <color rgb="FFFF0000"/>
        <rFont val="Calibri"/>
        <family val="2"/>
        <scheme val="minor"/>
      </rPr>
      <t>*</t>
    </r>
    <r>
      <rPr>
        <b/>
        <sz val="11"/>
        <rFont val="Calibri"/>
        <family val="2"/>
        <scheme val="minor"/>
      </rPr>
      <t xml:space="preserve">
</t>
    </r>
    <r>
      <rPr>
        <i/>
        <sz val="11"/>
        <color theme="0" tint="-0.499984740745262"/>
        <rFont val="Calibri"/>
        <family val="2"/>
        <scheme val="minor"/>
      </rPr>
      <t>Only include one contract code per block.</t>
    </r>
  </si>
  <si>
    <r>
      <t>Provide the name, ROR and role of any other organisations that have contributed to this collection or dataset.</t>
    </r>
    <r>
      <rPr>
        <b/>
        <i/>
        <sz val="11"/>
        <rFont val="Calibri"/>
        <family val="2"/>
        <scheme val="minor"/>
      </rPr>
      <t xml:space="preserve"> Repeat this block as needed.</t>
    </r>
    <r>
      <rPr>
        <b/>
        <sz val="11"/>
        <rFont val="Calibri"/>
        <family val="2"/>
        <scheme val="minor"/>
      </rPr>
      <t xml:space="preserve">
</t>
    </r>
    <r>
      <rPr>
        <i/>
        <sz val="11"/>
        <color theme="0" tint="-0.499984740745262"/>
        <rFont val="Calibri"/>
        <family val="2"/>
        <scheme val="minor"/>
      </rPr>
      <t>Roles: Owner (legally owns the collection or dataset), Manager (maintains the collection or dataset and makes it accessible), Collector (collected, generated, created or aggregated the collection or dataset), Enricher (provided additional value to the collection or dataset) and Associated (has an unspecified relationship with the collection or dataset).</t>
    </r>
  </si>
  <si>
    <r>
      <t>Provide the contract code and project title of any additional GRDC projects and specify how they are related to the collection or dataset.</t>
    </r>
    <r>
      <rPr>
        <b/>
        <i/>
        <sz val="11"/>
        <rFont val="Calibri"/>
        <family val="2"/>
        <scheme val="minor"/>
      </rPr>
      <t xml:space="preserve"> Repeat this block as needed.</t>
    </r>
    <r>
      <rPr>
        <b/>
        <sz val="11"/>
        <rFont val="Calibri"/>
        <family val="2"/>
        <scheme val="minor"/>
      </rPr>
      <t xml:space="preserve">
</t>
    </r>
    <r>
      <rPr>
        <i/>
        <sz val="11"/>
        <color theme="0" tint="-0.499984740745262"/>
        <rFont val="Calibri"/>
        <family val="2"/>
        <scheme val="minor"/>
      </rPr>
      <t>Relationships: Output (the collection or dataset is a product of the GRDC project) and Associated (the collection or dataset has an unspecified relationship with the GRDC project).</t>
    </r>
  </si>
  <si>
    <r>
      <t xml:space="preserve">5.  What is the DOI for this collection or dataset?
</t>
    </r>
    <r>
      <rPr>
        <i/>
        <sz val="11"/>
        <color theme="0" tint="-0.499984740745262"/>
        <rFont val="Calibri"/>
        <family val="2"/>
        <scheme val="minor"/>
      </rPr>
      <t>If the collection or dataset has a DOI, include it here.</t>
    </r>
  </si>
  <si>
    <t>Click here to learn more about the Handle.Net Registry, run by Corporation for National Research Initiatives (CNRI).</t>
  </si>
  <si>
    <r>
      <t xml:space="preserve">6. What is the Handle for this collection or dataset?
</t>
    </r>
    <r>
      <rPr>
        <i/>
        <sz val="11"/>
        <color theme="0" tint="-0.499984740745262"/>
        <rFont val="Calibri"/>
        <family val="2"/>
        <scheme val="minor"/>
      </rPr>
      <t>If the collection or dataset has a Handle, include it here.</t>
    </r>
  </si>
  <si>
    <r>
      <t xml:space="preserve">8. What is the URL that triggers a direct data download?
</t>
    </r>
    <r>
      <rPr>
        <i/>
        <sz val="11"/>
        <color theme="0" tint="-0.499984740745262"/>
        <rFont val="Calibri"/>
        <family val="2"/>
        <scheme val="minor"/>
      </rPr>
      <t xml:space="preserve">If the collection </t>
    </r>
    <r>
      <rPr>
        <i/>
        <sz val="11"/>
        <color theme="2" tint="-0.499984740745262"/>
        <rFont val="Calibri"/>
        <family val="2"/>
        <scheme val="minor"/>
      </rPr>
      <t>or dataset</t>
    </r>
    <r>
      <rPr>
        <i/>
        <sz val="11"/>
        <color theme="0" tint="-0.499984740745262"/>
        <rFont val="Calibri"/>
        <family val="2"/>
        <scheme val="minor"/>
      </rPr>
      <t xml:space="preserve"> is publicly downloadable, include the URL here.</t>
    </r>
  </si>
  <si>
    <r>
      <t>9. When was the data collected or the observations made?</t>
    </r>
    <r>
      <rPr>
        <b/>
        <i/>
        <sz val="11"/>
        <rFont val="Calibri"/>
        <family val="2"/>
        <scheme val="minor"/>
      </rPr>
      <t xml:space="preserve"> Use the YYYY format.</t>
    </r>
    <r>
      <rPr>
        <b/>
        <sz val="11"/>
        <rFont val="Calibri"/>
        <family val="2"/>
        <scheme val="minor"/>
      </rPr>
      <t xml:space="preserve"> </t>
    </r>
    <r>
      <rPr>
        <b/>
        <sz val="11"/>
        <color rgb="FFFF0000"/>
        <rFont val="Calibri"/>
        <family val="2"/>
        <scheme val="minor"/>
      </rPr>
      <t>*</t>
    </r>
    <r>
      <rPr>
        <b/>
        <sz val="11"/>
        <rFont val="Calibri"/>
        <family val="2"/>
        <scheme val="minor"/>
      </rPr>
      <t xml:space="preserve">
</t>
    </r>
    <r>
      <rPr>
        <i/>
        <sz val="11"/>
        <color theme="0" tint="-0.499984740745262"/>
        <rFont val="Calibri"/>
        <family val="2"/>
        <scheme val="minor"/>
      </rPr>
      <t>Specify the year data collection started and the year it ended.</t>
    </r>
  </si>
  <si>
    <t>Click here to learn more about the spatial coverage types on the Explanations worksheet.</t>
  </si>
  <si>
    <t>ORCID iD:</t>
  </si>
  <si>
    <t>Click here to search for an ORCID iD.</t>
  </si>
  <si>
    <t>Click here to search for a Scopus Author ID.</t>
  </si>
  <si>
    <t>Click here to search for a ResearcherID.</t>
  </si>
  <si>
    <t>Scopus Author ID:</t>
  </si>
  <si>
    <t>ResearcherID:</t>
  </si>
  <si>
    <r>
      <t xml:space="preserve">12. Provide a brief description of the collection or dataset.
</t>
    </r>
    <r>
      <rPr>
        <i/>
        <sz val="11"/>
        <color theme="0" tint="-0.499984740745262"/>
        <rFont val="Calibri"/>
        <family val="2"/>
        <scheme val="minor"/>
      </rPr>
      <t>The brief description should be a concise overview of the collection or dataset. The description should inform users about the content of the data and allow users to decide whether it is of interest to them.</t>
    </r>
  </si>
  <si>
    <r>
      <t xml:space="preserve">13. Provide a full description of the collection or dataset. </t>
    </r>
    <r>
      <rPr>
        <b/>
        <sz val="11"/>
        <color rgb="FFFF0000"/>
        <rFont val="Calibri"/>
        <family val="2"/>
        <scheme val="minor"/>
      </rPr>
      <t>*</t>
    </r>
    <r>
      <rPr>
        <b/>
        <sz val="11"/>
        <rFont val="Calibri"/>
        <family val="2"/>
        <scheme val="minor"/>
      </rPr>
      <t xml:space="preserve">
</t>
    </r>
    <r>
      <rPr>
        <i/>
        <sz val="11"/>
        <color theme="0" tint="-0.499984740745262"/>
        <rFont val="Calibri"/>
        <family val="2"/>
        <scheme val="minor"/>
      </rPr>
      <t>A full description of the collection or dataset is not the same as a project summary or manuscript summary. The full description should provide details about the collection or dataset that would enable someone to use the data, without contacting the original researchers for further information. Suggested content includes:
- Data and file overview: file list with a brief description of files and the relationship between the files
- Methodological information: description of the methodology used for the collection/generation of the data, methods for processing the data and instrument/software specific information
- Environmental/experimental conditions
- Data specific information: the number of variables, variable list and definitions of codes or symbols</t>
    </r>
  </si>
  <si>
    <t>Click here to access the GRDC RD&amp;E Data Capture and Storage - Guidelines for Research Partners. The guideline for describing datasets commences on page 22.</t>
  </si>
  <si>
    <r>
      <rPr>
        <b/>
        <sz val="11"/>
        <color rgb="FF000000"/>
        <rFont val="Calibri"/>
      </rPr>
      <t xml:space="preserve">15. What is the contact email address for the collection or dataset?
</t>
    </r>
    <r>
      <rPr>
        <i/>
        <sz val="11"/>
        <color rgb="FF808080"/>
        <rFont val="Calibri"/>
      </rPr>
      <t>Where possible, use an email address for the lead organisation, rather than in individual researcher.</t>
    </r>
  </si>
  <si>
    <t>300202 Agricultural land management</t>
  </si>
  <si>
    <t>300205 Agricultural production systems simulation</t>
  </si>
  <si>
    <t>300206 Agricultural spatial analysis and modelling</t>
  </si>
  <si>
    <t>300207 Agricultural systems analysis and modelling</t>
  </si>
  <si>
    <t>300208 Farm management, rural management and agribusiness</t>
  </si>
  <si>
    <t>300299 Agriculture, land and farm management not elsewhere classified</t>
  </si>
  <si>
    <t>300403 Agronomy</t>
  </si>
  <si>
    <t>300404 Crop and pasture biochemistry and physiology</t>
  </si>
  <si>
    <t>300405 Crop and pasture biomass and bioproducts</t>
  </si>
  <si>
    <t>300109 Non-genetically modified uses of biotechnology</t>
  </si>
  <si>
    <t>300209 Germplasm management</t>
  </si>
  <si>
    <t>300406 Crop and pasture improvement (incl. selection and breeding)</t>
  </si>
  <si>
    <t>300407 Crop and pasture nutrition</t>
  </si>
  <si>
    <t>300408 Crop and pasture post harvest technologies (incl. transportation and storage)</t>
  </si>
  <si>
    <t>300409 Crop and pasture protection (incl. pests, diseases and weeds)</t>
  </si>
  <si>
    <t>300410 Crop and pasture waste water use</t>
  </si>
  <si>
    <t>300412 Organic and low chemical input crop production</t>
  </si>
  <si>
    <t>300499 Crop and pasture production not elsewhere classified</t>
  </si>
  <si>
    <t>300105 Genetically modified field crops and pasture</t>
  </si>
  <si>
    <t>410302 Biological control</t>
  </si>
  <si>
    <t>410101 Carbon sequestration science</t>
  </si>
  <si>
    <t>410601 Land capability and soil productivity</t>
  </si>
  <si>
    <t>410602 Pedology and pedometrics</t>
  </si>
  <si>
    <t>300204 Agricultural management of nutrients</t>
  </si>
  <si>
    <t>410604 Soil chemistry and soil carbon sequestration (excl. carbon sequestration science)</t>
  </si>
  <si>
    <t>310803 Plant cell and molecular biology</t>
  </si>
  <si>
    <t>300413 Pollination biology and systems</t>
  </si>
  <si>
    <t>310804 Plant developmental and reproductive biology</t>
  </si>
  <si>
    <t>310805 Plant pathology</t>
  </si>
  <si>
    <t>310899 Plant biology not elsewhere classified</t>
  </si>
  <si>
    <r>
      <t xml:space="preserve">7. What is the URL for the metadata or a landing page which allows users to know how to access the collection or dataset?
</t>
    </r>
    <r>
      <rPr>
        <i/>
        <sz val="11"/>
        <color theme="1" tint="0.499984740745262"/>
        <rFont val="Calibri"/>
        <family val="2"/>
        <scheme val="minor"/>
      </rPr>
      <t>If the collection or dataset has a metadata record in a repository, include the URL here.</t>
    </r>
  </si>
  <si>
    <r>
      <t>10. When was the collection or dataset published?</t>
    </r>
    <r>
      <rPr>
        <b/>
        <i/>
        <sz val="11"/>
        <rFont val="Calibri"/>
        <family val="2"/>
        <scheme val="minor"/>
      </rPr>
      <t xml:space="preserve"> Use the YYYY format.</t>
    </r>
    <r>
      <rPr>
        <b/>
        <sz val="11"/>
        <rFont val="Calibri"/>
        <family val="2"/>
        <scheme val="minor"/>
      </rPr>
      <t xml:space="preserve">
</t>
    </r>
    <r>
      <rPr>
        <i/>
        <sz val="11"/>
        <color theme="0" tint="-0.499984740745262"/>
        <rFont val="Calibri"/>
        <family val="2"/>
        <scheme val="minor"/>
      </rPr>
      <t>If the metadata record for the collection or dataset has been registered with your institutional repository, include the year here. E.g., 2023.</t>
    </r>
  </si>
  <si>
    <r>
      <t>14. Provide the names, identifiers and roles of those involved in producing the collection or dataset?</t>
    </r>
    <r>
      <rPr>
        <b/>
        <i/>
        <sz val="11"/>
        <rFont val="Calibri"/>
        <family val="2"/>
        <scheme val="minor"/>
      </rPr>
      <t xml:space="preserve"> Repeat this block as needed. </t>
    </r>
    <r>
      <rPr>
        <b/>
        <i/>
        <sz val="11"/>
        <color rgb="FFFF0000"/>
        <rFont val="Calibri"/>
        <family val="2"/>
        <scheme val="minor"/>
      </rPr>
      <t>*</t>
    </r>
    <r>
      <rPr>
        <b/>
        <sz val="11"/>
        <rFont val="Calibri"/>
        <family val="2"/>
        <scheme val="minor"/>
      </rPr>
      <t xml:space="preserve">
</t>
    </r>
    <r>
      <rPr>
        <i/>
        <sz val="11"/>
        <color theme="0" tint="-0.499984740745262"/>
        <rFont val="Calibri"/>
        <family val="2"/>
        <scheme val="minor"/>
      </rPr>
      <t>Roles: Principal Investigator, Collector (collected, generated, created or aggregated the collection or dataset), Enricher (provided additional value to the collection or dataset) and Associated (has an unspecified relationship with the collection or dataset).</t>
    </r>
  </si>
  <si>
    <t>Click here to access the 2020 ANZSRC FoR classification.</t>
  </si>
  <si>
    <t>DIVISION</t>
  </si>
  <si>
    <t>Field</t>
  </si>
  <si>
    <r>
      <t xml:space="preserve">FoR code: </t>
    </r>
    <r>
      <rPr>
        <i/>
        <sz val="11"/>
        <color theme="1"/>
        <rFont val="Calibri"/>
        <family val="2"/>
        <scheme val="minor"/>
      </rPr>
      <t>Select from the dropdown menu or add another code.</t>
    </r>
  </si>
  <si>
    <t>30 AGRICULTURAL, VETERINARY AND FOOD SCIENCES</t>
  </si>
  <si>
    <t>31 BIOLOGICAL SCIENCES</t>
  </si>
  <si>
    <t>41 ENVIRONMENTAL SCIENCES</t>
  </si>
  <si>
    <t>3001 Agricultural biotechnology</t>
  </si>
  <si>
    <t>3002 Agriculture, land and farm management</t>
  </si>
  <si>
    <t>3004 Crop and pasture production</t>
  </si>
  <si>
    <t>3108 Plant biology</t>
  </si>
  <si>
    <t>4101 Climate change impacts and adaptation</t>
  </si>
  <si>
    <t>4103 Environmental biotechnology</t>
  </si>
  <si>
    <t>4106 Soil sciences</t>
  </si>
  <si>
    <t>410603 Soil biology</t>
  </si>
  <si>
    <t>410699 Soil sciences not elsewhere classified</t>
  </si>
  <si>
    <t>ANZSRC 2020 - Fields of Research (FoR) Divisions, Groups and Fields</t>
  </si>
  <si>
    <t>300411 Fertilisers (incl. application)</t>
  </si>
  <si>
    <t>310802 Plant biochemistry</t>
  </si>
  <si>
    <t>310806 Plant physiology</t>
  </si>
  <si>
    <t>410605 Soil physics</t>
  </si>
  <si>
    <t>Click here to search the AGROVOC Multilingual Thesaurus.</t>
  </si>
  <si>
    <t>Keyword:</t>
  </si>
  <si>
    <r>
      <rPr>
        <b/>
        <sz val="11"/>
        <color rgb="FF000000"/>
        <rFont val="Calibri"/>
      </rPr>
      <t>16. What are the keywords for the collection or dataset?</t>
    </r>
    <r>
      <rPr>
        <b/>
        <i/>
        <sz val="11"/>
        <color rgb="FF000000"/>
        <rFont val="Calibri"/>
      </rPr>
      <t xml:space="preserve"> Repeat this block as needed.</t>
    </r>
    <r>
      <rPr>
        <i/>
        <sz val="11"/>
        <color rgb="FF757171"/>
        <rFont val="Calibri"/>
      </rPr>
      <t xml:space="preserve">
</t>
    </r>
    <r>
      <rPr>
        <i/>
        <sz val="11"/>
        <color rgb="FF808080"/>
        <rFont val="Calibri"/>
      </rPr>
      <t>The AGROVOC Multilingual Thesaurus provides a list of agricultural keywords that can be used.</t>
    </r>
  </si>
  <si>
    <t>The University of Sydney</t>
  </si>
  <si>
    <t xml:space="preserve">Field wheat data collected at three locations at two times of sowing both in season and post harvest. 
Weather data collected at each site, genotypes are available for all materials as are pedigrees. </t>
  </si>
  <si>
    <r>
      <t xml:space="preserve">17. What is the rights statement for the collection or dataset? 
</t>
    </r>
    <r>
      <rPr>
        <i/>
        <sz val="11"/>
        <color theme="0" tint="-0.499984740745262"/>
        <rFont val="Calibri"/>
        <family val="2"/>
        <scheme val="minor"/>
      </rPr>
      <t>Describe the access rights and access constraints, including who may access the collection or dataset and when access may occur (including any embargos). Refer to the GRDC contract and the IP and Project Outputs (IPPO) register.</t>
    </r>
  </si>
  <si>
    <t>Click here to use Creative Commons tools to help share your work.</t>
  </si>
  <si>
    <t>DOI:</t>
  </si>
  <si>
    <t>Handle:</t>
  </si>
  <si>
    <r>
      <t>Provide Fields of Research (FoR) codes for this collection or dataset.</t>
    </r>
    <r>
      <rPr>
        <b/>
        <i/>
        <sz val="11"/>
        <color theme="1"/>
        <rFont val="Calibri"/>
        <family val="2"/>
        <scheme val="minor"/>
      </rPr>
      <t xml:space="preserve"> Repeat this block as needed.</t>
    </r>
    <r>
      <rPr>
        <b/>
        <sz val="11"/>
        <color theme="1"/>
        <rFont val="Calibri"/>
        <family val="2"/>
        <scheme val="minor"/>
      </rPr>
      <t xml:space="preserve">
</t>
    </r>
    <r>
      <rPr>
        <i/>
        <sz val="11"/>
        <color theme="0" tint="-0.499984740745262"/>
        <rFont val="Calibri"/>
        <family val="2"/>
        <scheme val="minor"/>
      </rPr>
      <t>Provide at least one FoR code. FoR allows R&amp;D activity to be categorised according to common knowledge domains and/or methodologies used in the R&amp;D.</t>
    </r>
  </si>
  <si>
    <t>FOR subject terms</t>
  </si>
  <si>
    <t>2020 ANZSRC FoR codes</t>
  </si>
  <si>
    <t>Use 2020 FoR codes</t>
  </si>
  <si>
    <t>2008 ANZSC FoR codes</t>
  </si>
  <si>
    <t>For reference purposes only</t>
  </si>
  <si>
    <t>070101 Agricultural Land Management</t>
  </si>
  <si>
    <t>070103 Agricultural Production Systems Simulation</t>
  </si>
  <si>
    <t>070104 Agricultural Spatial Analysis and Modelling</t>
  </si>
  <si>
    <t>070105 Agricultural Systems Analysis and Modelling</t>
  </si>
  <si>
    <t>070106 Farm Management, Rural Management and Agribusiness</t>
  </si>
  <si>
    <t>070107 Farming Systems Research</t>
  </si>
  <si>
    <t>070199 Agriculture, Land and Farm Management not elsewhere classified</t>
  </si>
  <si>
    <t>070302 Agronomy</t>
  </si>
  <si>
    <t>070303 Crop and Pasture Biochemistry and Physiology</t>
  </si>
  <si>
    <t>070304 Crop and Pasture Biomass and Bioproducts</t>
  </si>
  <si>
    <t>070305 Crop and Pasture Improvement (Selection and Breeding)</t>
  </si>
  <si>
    <t>070306 Crop and Pasture Nutrition</t>
  </si>
  <si>
    <t>070307 Crop and Pasture Post Harvest Technologies (incl. Transportation and Storage)</t>
  </si>
  <si>
    <t>070308 Crop and Pasture Protection (Pests, Diseases and Weeds)</t>
  </si>
  <si>
    <t>070399 Crop and Pasture Production not elsewhere classified</t>
  </si>
  <si>
    <t>100105 Genetically Modified Field Crops and Pasture</t>
  </si>
  <si>
    <t>100202 Biological Control</t>
  </si>
  <si>
    <t>050301 Carbon Sequestration Science</t>
  </si>
  <si>
    <t>050302 Land Capability and Soil Degradation</t>
  </si>
  <si>
    <t>050303 Soil Biology</t>
  </si>
  <si>
    <t>050304 Soil Chemistry (excl. Carbon Sequestration Science)</t>
  </si>
  <si>
    <t xml:space="preserve">310802 Plant biochemistry </t>
  </si>
  <si>
    <t>050305 Soil Physics</t>
  </si>
  <si>
    <t>050399 Soil Sciences not elsewhere classified</t>
  </si>
  <si>
    <t xml:space="preserve">310806 Plant physiology </t>
  </si>
  <si>
    <t xml:space="preserve">410603 Soil biology </t>
  </si>
  <si>
    <t xml:space="preserve">410605 Soil physics </t>
  </si>
  <si>
    <t>419999 Other environmental sciences not elsewhere classified</t>
  </si>
  <si>
    <t>450301 Aboriginal and Torres Strait Islander agriculture and forestry</t>
  </si>
  <si>
    <t>450399 Aboriginal and Torres Strait Islander environmental knowledges and management not elsewhere classified</t>
  </si>
  <si>
    <t>451599 Pacific Peoples environmental knowledges not elsewhere classified</t>
  </si>
  <si>
    <t>451902 Global Indigenous studies environmental knowledges and management</t>
  </si>
  <si>
    <t>Click here to access the GRDC RD&amp;E Data Capture and Storage - Guidelines for Research Partners. The guideline for describing data storage commences on page 9.</t>
  </si>
  <si>
    <t>Question 5 and 6</t>
  </si>
  <si>
    <r>
      <t>20. Provide the names and identifiers of any other collections or datasets and specify how they are related to the collection or dataset.</t>
    </r>
    <r>
      <rPr>
        <b/>
        <i/>
        <sz val="11"/>
        <rFont val="Calibri"/>
        <family val="2"/>
        <scheme val="minor"/>
      </rPr>
      <t xml:space="preserve"> Repeat this table as needed.
</t>
    </r>
    <r>
      <rPr>
        <i/>
        <sz val="11"/>
        <color theme="0" tint="-0.499984740745262"/>
        <rFont val="Calibri"/>
        <family val="2"/>
        <scheme val="minor"/>
      </rPr>
      <t>Provide a DOI or a Handle as the identifier for the related collection or dataset.
Relationships: Has part (contains the related collection), Is part of (is contained within the related collection), Has derived collection (the related collection is derived from the collection or dataset e.g., through analysis), Is derived from (the collection or dataset is derived from the related collection e.g. through analysis), Has version (the collection or dataset is versioned by the related collection), Is version of (the collection or dataset is a version of the related collection), Associated (has an undefined relationship with the related collection).</t>
    </r>
  </si>
  <si>
    <t>Is supported by</t>
  </si>
  <si>
    <t>Is supplemented by</t>
  </si>
  <si>
    <t>Is cited by</t>
  </si>
  <si>
    <t>Is documented by</t>
  </si>
  <si>
    <t>Is reviewed by</t>
  </si>
  <si>
    <t>Is supplement to</t>
  </si>
  <si>
    <t>IGSN:</t>
  </si>
  <si>
    <t>Other identifier:</t>
  </si>
  <si>
    <r>
      <t>21. Provide the title and identifier for any publications and specify how they are related to the collection or dataset.</t>
    </r>
    <r>
      <rPr>
        <b/>
        <i/>
        <sz val="11"/>
        <rFont val="Calibri"/>
        <family val="2"/>
        <scheme val="minor"/>
      </rPr>
      <t xml:space="preserve"> Repeat this table as needed.</t>
    </r>
    <r>
      <rPr>
        <b/>
        <sz val="11"/>
        <rFont val="Calibri"/>
        <family val="2"/>
        <scheme val="minor"/>
      </rPr>
      <t xml:space="preserve">
</t>
    </r>
    <r>
      <rPr>
        <i/>
        <sz val="11"/>
        <color theme="0" tint="-0.499984740745262"/>
        <rFont val="Calibri"/>
        <family val="2"/>
        <scheme val="minor"/>
      </rPr>
      <t>Include details of related publications or outputs (including research papers, posters, websites, blog posts, GRDC Updates, GroundCover articles or media interviews) that reference the collection or dataset or the work done to generate it. Include DOIs or URLs where possible.</t>
    </r>
    <r>
      <rPr>
        <b/>
        <sz val="11"/>
        <rFont val="Calibri"/>
        <family val="2"/>
        <scheme val="minor"/>
      </rPr>
      <t xml:space="preserve">
</t>
    </r>
    <r>
      <rPr>
        <i/>
        <sz val="11"/>
        <color theme="0" tint="-0.499984740745262"/>
        <rFont val="Calibri"/>
        <family val="2"/>
        <scheme val="minor"/>
      </rPr>
      <t>Relationships: Is cited by (the publication includes the collection or dataset in a citation), Is referenced by (indicates the collection or dataset is used as a source of information by the publication), Is documented by (indicates the publication is documentation about/explaining the collection or dataset), Is supplemented by (indicates that the collection or dataset is a supplement to the publication), Is supplement to (indicates that the publication is a supplement to the collection or dataset), Is reviewed by (the collection or dataset presents statements, ideas or conclusions that are reviewed by the publication), Is supported by (the collection or dataset receives intellectual or factual support from the publication).</t>
    </r>
  </si>
  <si>
    <t>License upon request</t>
  </si>
  <si>
    <t>Conditional</t>
  </si>
  <si>
    <t>https://hdl.handle.net/2123/30252</t>
  </si>
  <si>
    <t>The University of Adelaide</t>
  </si>
  <si>
    <t>https://ror.org/00892tw58</t>
  </si>
  <si>
    <t>Associated</t>
  </si>
  <si>
    <t>DJP2206-010SAX</t>
  </si>
  <si>
    <t>Data Partnerships Initiative</t>
  </si>
  <si>
    <t>Output</t>
  </si>
  <si>
    <t>0000-0003-0105-875X</t>
  </si>
  <si>
    <t>Principal Investigator</t>
  </si>
  <si>
    <t>0000-0002-6710-1792</t>
  </si>
  <si>
    <t>0000-0002-9680-6644</t>
  </si>
  <si>
    <t>Is part of</t>
  </si>
  <si>
    <t>0.1007/s00122-021-03983-z</t>
  </si>
  <si>
    <t>yellow rust in wheat</t>
  </si>
  <si>
    <t xml:space="preserve">data.catalogue@grdc.com.au; datarequest-library@sydney.edu.au </t>
  </si>
  <si>
    <t>Notes</t>
  </si>
  <si>
    <t xml:space="preserve">Mandatory and free text based on helper text. </t>
  </si>
  <si>
    <t>This question is mandatory and the contract code must be a valid GRDC contract code. The project title will be entered by the researcher, but will be overridden in the case where the title from IMS can be retrieved. In the case where the title can't be retrieved, manual QC will ensure that the title is the same.</t>
  </si>
  <si>
    <t>The contract code is mandatory</t>
  </si>
  <si>
    <t xml:space="preserve">There will often not be any information required here. If there are clear contributors, it is highly desirable but not mandatory that they are included here. </t>
  </si>
  <si>
    <t>See note on contract code above</t>
  </si>
  <si>
    <t>See note on project title above</t>
  </si>
  <si>
    <t>This field is not mandatory and will default to 'associated' if not completed.</t>
  </si>
  <si>
    <t xml:space="preserve"> For digital records that are web-accessible, it is mandatory to include at least one of these.</t>
  </si>
  <si>
    <t>The project title is mandatory unless it can be retrieved from IMS</t>
  </si>
  <si>
    <t>This is mandatory and should be checked to see whether it is a number, and whether it falls between 1850 and 2050 (for example). Warning.</t>
  </si>
  <si>
    <t>Not mandatory, should do a year check. Information on DD-MM-YYYY of publication is often available, and should be imported if available. Warning.</t>
  </si>
  <si>
    <t>This is mandatory. If a standard is selected, then the entry much be valid according to that standard. If 'other' is entered, then free text is acceptable. 
If left empty: error
If invalid entry: error</t>
  </si>
  <si>
    <t>This is not mandatory because not all entries will have a DOI. If a DOI is entered, it should be checked to see whether it is valid. Error.</t>
  </si>
  <si>
    <t>This is not mandatory because not all entries will have a handle. If a handle is entered, it should be checked to see whether it is valid. Error.</t>
  </si>
  <si>
    <t xml:space="preserve">This is not mandatory because not all entries will have a URL for the landing page. If a URL is entered, it should be checked to see whether it is valid. Error.
Contact Jennifer to confirm why this is not mandatory. </t>
  </si>
  <si>
    <t>Not mandatory. If one is entered, it should be checked to see whether it is valid. Error.</t>
  </si>
  <si>
    <t xml:space="preserve">Free text and not mandatory. No error checking required. </t>
  </si>
  <si>
    <t>Mandatory free text. This has been made mandatory to set expectations with our partners that we require this info. If the source repository only has one description field, it will be mapped to this, and not to the #12 field, i.e., this is the default.</t>
  </si>
  <si>
    <t>At least one entry. First name and last names are mandatory. At least one "ID" field is mandatory. Order is important, as with journal publications. Role is not mandatory but will be sourced where possible.</t>
  </si>
  <si>
    <t>At least one is mandatory</t>
  </si>
  <si>
    <t>This will be present in every record, even if not mandatory, because the GRDC email will be there added by default. The second email will be provided by uploader, but will be optional. Email address format to be checked.</t>
  </si>
  <si>
    <t>Free text. GRDC will encourage the use of the AGROVOC Multilingual Thesaurus. Warning if entry is not found in thesaurus.</t>
  </si>
  <si>
    <t>Must be six digit number, must be an entry in the FoR classification. Regular updates of FoR database? No backwards comparisons? Too complicated?</t>
  </si>
  <si>
    <t>Free text</t>
  </si>
  <si>
    <t xml:space="preserve">Mandatory. Licence description is free text. Licence type default is 'other'. </t>
  </si>
  <si>
    <t>Default 'access rights type' is 'conditional'. 
'Access rights' field is a free text statement, a summary of what might appear in #17. Mandatory.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</si>
</sst>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1"/>
      <color theme="1"/>
      <name val="Calibri"/>
      <family val="2"/>
      <scheme val="minor"/>
    </font>
    <font>
      <sz val="11"/>
      <color rgb="FF3F3F76"/>
      <name val="Calibri"/>
      <family val="2"/>
      <scheme val="minor"/>
    </font>
    <font>
      <b/>
      <sz val="11"/>
      <color rgb="FFFF0000"/>
      <name val="Calibri"/>
      <family val="2"/>
      <scheme val="minor"/>
    </font>
    <font>
      <u/>
      <sz val="11"/>
      <color theme="10"/>
      <name val="Calibri"/>
      <family val="2"/>
      <scheme val="minor"/>
    </font>
    <font>
      <i/>
      <sz val="11"/>
      <color theme="1"/>
      <name val="Calibri"/>
      <family val="2"/>
      <scheme val="minor"/>
    </font>
    <font>
      <b/>
      <sz val="11"/>
      <name val="Calibri"/>
      <family val="2"/>
      <scheme val="minor"/>
    </font>
    <font>
      <b/>
      <i/>
      <sz val="1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8"/>
      <name val="Calibri"/>
      <family val="2"/>
      <scheme val="minor"/>
    </font>
    <font>
      <sz val="11"/>
      <color rgb="FFD4D4D4"/>
      <name val="Consolas"/>
      <family val="3"/>
    </font>
    <font>
      <sz val="11"/>
      <color rgb="FF808080"/>
      <name val="Consolas"/>
      <family val="3"/>
    </font>
    <font>
      <sz val="11"/>
      <color rgb="FF569CD6"/>
      <name val="Consolas"/>
      <family val="3"/>
    </font>
    <font>
      <sz val="11"/>
      <color rgb="FF9CDCFE"/>
      <name val="Consolas"/>
      <family val="3"/>
    </font>
    <font>
      <sz val="11"/>
      <color theme="5"/>
      <name val="Calibri"/>
      <family val="2"/>
      <scheme val="minor"/>
    </font>
    <font>
      <sz val="11"/>
      <color theme="0" tint="-0.499984740745262"/>
      <name val="Calibri"/>
      <family val="2"/>
      <scheme val="minor"/>
    </font>
    <font>
      <sz val="11"/>
      <color theme="1"/>
      <name val="Consolas"/>
      <family val="3"/>
    </font>
    <font>
      <sz val="11"/>
      <color rgb="FFFF0000"/>
      <name val="Calibri"/>
      <family val="2"/>
      <scheme val="minor"/>
    </font>
    <font>
      <i/>
      <sz val="11"/>
      <color theme="0" tint="-0.499984740745262"/>
      <name val="Calibri"/>
      <family val="2"/>
      <scheme val="minor"/>
    </font>
    <font>
      <b/>
      <sz val="18"/>
      <color theme="3"/>
      <name val="Calibri Light"/>
      <family val="2"/>
      <scheme val="major"/>
    </font>
    <font>
      <b/>
      <sz val="11"/>
      <color rgb="FF000000"/>
      <name val="Calibri"/>
    </font>
    <font>
      <i/>
      <sz val="11"/>
      <color rgb="FF808080"/>
      <name val="Calibri"/>
    </font>
    <font>
      <b/>
      <sz val="11"/>
      <color theme="1"/>
      <name val="Calibri"/>
      <family val="2"/>
      <scheme val="minor"/>
    </font>
    <font>
      <sz val="11"/>
      <color theme="1"/>
      <name val="Calibri"/>
      <family val="2"/>
      <scheme val="minor"/>
    </font>
    <font>
      <i/>
      <sz val="11"/>
      <color theme="1" tint="0.499984740745262"/>
      <name val="Calibri"/>
      <family val="2"/>
      <scheme val="minor"/>
    </font>
    <font>
      <i/>
      <sz val="11"/>
      <color theme="2" tint="-0.499984740745262"/>
      <name val="Calibri"/>
      <family val="2"/>
      <scheme val="minor"/>
    </font>
    <font>
      <b/>
      <sz val="11"/>
      <name val="Calibri"/>
    </font>
    <font>
      <b/>
      <i/>
      <sz val="11"/>
      <color rgb="FF000000"/>
      <name val="Calibri"/>
    </font>
    <font>
      <i/>
      <sz val="11"/>
      <color rgb="FF757171"/>
      <name val="Calibri"/>
    </font>
    <font>
      <b/>
      <i/>
      <sz val="11"/>
      <color rgb="FFFF0000"/>
      <name val="Calibri"/>
      <family val="2"/>
      <scheme val="minor"/>
    </font>
    <font>
      <sz val="10"/>
      <name val="Arial"/>
      <family val="2"/>
    </font>
    <font>
      <sz val="8"/>
      <color rgb="FFFF0000"/>
      <name val="Arial"/>
    </font>
    <font>
      <sz val="8"/>
      <name val="Arial"/>
    </font>
    <font>
      <sz val="8"/>
      <name val="Arial"/>
      <family val="2"/>
    </font>
    <font>
      <u/>
      <sz val="10"/>
      <color indexed="12"/>
      <name val="Arial"/>
      <family val="2"/>
    </font>
    <font>
      <sz val="11"/>
      <color indexed="8"/>
      <name val="Calibri"/>
      <family val="2"/>
      <scheme val="minor"/>
    </font>
    <font>
      <sz val="10"/>
      <name val="Arial"/>
    </font>
    <font>
      <b/>
      <i/>
      <sz val="11"/>
      <color theme="1"/>
      <name val="Calibri"/>
      <family val="2"/>
      <scheme val="minor"/>
    </font>
    <font>
      <i/>
      <sz val="11"/>
      <color rgb="FF7F7F7F"/>
      <name val="Calibri"/>
    </font>
    <font>
      <b/>
      <i/>
      <sz val="11"/>
      <color rgb="FF404040"/>
      <name val="Calibri"/>
    </font>
    <font>
      <sz val="11"/>
      <color rgb="FF000000"/>
      <name val="Calibri"/>
    </font>
    <font>
      <sz val="11"/>
      <name val="Calibri"/>
    </font>
    <font>
      <i/>
      <sz val="11"/>
      <color rgb="FF404040"/>
      <name val="Calibri"/>
    </font>
    <font>
      <sz val="8"/>
      <color rgb="FF000000"/>
      <name val="Arial"/>
    </font>
  </fonts>
  <fills count="8">
    <fill>
      <patternFill patternType="none"/>
    </fill>
    <fill>
      <patternFill patternType="gray125"/>
    </fill>
    <fill>
      <patternFill patternType="solid">
        <fgColor rgb="FFFFCC99"/>
      </patternFill>
    </fill>
    <fill>
      <patternFill patternType="solid">
        <fgColor theme="0" tint="-4.9989318521683403E-2"/>
        <bgColor indexed="64"/>
      </patternFill>
    </fill>
    <fill>
      <patternFill patternType="solid">
        <fgColor theme="5" tint="0.79998168889431442"/>
        <bgColor indexed="64"/>
      </patternFill>
    </fill>
    <fill>
      <patternFill patternType="solid">
        <fgColor rgb="FFFFCC99"/>
        <bgColor indexed="64"/>
      </patternFill>
    </fill>
    <fill>
      <patternFill patternType="solid">
        <fgColor rgb="FFEBD7ED"/>
        <bgColor indexed="64"/>
      </patternFill>
    </fill>
    <fill>
      <patternFill patternType="solid">
        <fgColor theme="5" tint="0.59999389629810485"/>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top style="thin">
        <color rgb="FF7F7F7F"/>
      </top>
      <bottom/>
      <diagonal/>
    </border>
    <border>
      <left/>
      <right/>
      <top/>
      <bottom style="thin">
        <color rgb="FF7F7F7F"/>
      </bottom>
      <diagonal/>
    </border>
    <border>
      <left/>
      <right style="thin">
        <color rgb="FF7F7F7F"/>
      </right>
      <top/>
      <bottom/>
      <diagonal/>
    </border>
  </borders>
  <cellStyleXfs count="17">
    <xf numFmtId="0" fontId="0" fillId="0" borderId="0"/>
    <xf numFmtId="0" fontId="1" fillId="2" borderId="1" applyNumberFormat="0" applyAlignment="0" applyProtection="0"/>
    <xf numFmtId="0" fontId="3" fillId="0" borderId="0" applyNumberFormat="0" applyFill="0" applyBorder="0" applyAlignment="0" applyProtection="0"/>
    <xf numFmtId="0" fontId="7" fillId="0" borderId="0" applyNumberFormat="0" applyFill="0" applyBorder="0" applyAlignment="0" applyProtection="0"/>
    <xf numFmtId="0" fontId="8" fillId="0" borderId="2" applyNumberFormat="0" applyFill="0" applyAlignment="0" applyProtection="0"/>
    <xf numFmtId="0" fontId="9" fillId="0" borderId="3" applyNumberFormat="0" applyFill="0" applyAlignment="0" applyProtection="0"/>
    <xf numFmtId="0" fontId="10" fillId="0" borderId="4" applyNumberFormat="0" applyFill="0" applyAlignment="0" applyProtection="0"/>
    <xf numFmtId="0" fontId="32" fillId="0" borderId="0"/>
    <xf numFmtId="0" fontId="35" fillId="0" borderId="0"/>
    <xf numFmtId="0" fontId="3" fillId="0" borderId="0" applyNumberFormat="0" applyFill="0" applyBorder="0" applyAlignment="0" applyProtection="0"/>
    <xf numFmtId="0" fontId="36" fillId="0" borderId="0" applyNumberFormat="0" applyFill="0" applyBorder="0" applyAlignment="0" applyProtection="0">
      <alignment vertical="top"/>
      <protection locked="0"/>
    </xf>
    <xf numFmtId="0" fontId="25" fillId="0" borderId="0"/>
    <xf numFmtId="0" fontId="35" fillId="0" borderId="0"/>
    <xf numFmtId="0" fontId="35" fillId="0" borderId="0"/>
    <xf numFmtId="0" fontId="37" fillId="0" borderId="0"/>
    <xf numFmtId="0" fontId="38" fillId="0" borderId="0"/>
    <xf numFmtId="0" fontId="25" fillId="0" borderId="0"/>
  </cellStyleXfs>
  <cellXfs count="98">
    <xf numFmtId="0" fontId="0" fillId="0" borderId="0" xfId="0"/>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1" fillId="2" borderId="1" xfId="1" applyAlignment="1">
      <alignment horizontal="left" vertical="top" wrapText="1"/>
    </xf>
    <xf numFmtId="0" fontId="0" fillId="0" borderId="0" xfId="0" applyAlignment="1">
      <alignment horizontal="left" wrapText="1"/>
    </xf>
    <xf numFmtId="0" fontId="16" fillId="4" borderId="7" xfId="0" applyFont="1" applyFill="1" applyBorder="1" applyAlignment="1">
      <alignment horizontal="left" wrapText="1"/>
    </xf>
    <xf numFmtId="0" fontId="17" fillId="3" borderId="7" xfId="0" applyFont="1" applyFill="1" applyBorder="1" applyAlignment="1">
      <alignment horizontal="left" wrapText="1"/>
    </xf>
    <xf numFmtId="0" fontId="0" fillId="0" borderId="0" xfId="0" applyAlignment="1">
      <alignment horizontal="left"/>
    </xf>
    <xf numFmtId="0" fontId="18" fillId="0" borderId="0" xfId="0" applyFont="1" applyAlignment="1">
      <alignment horizontal="left" vertical="top" indent="1"/>
    </xf>
    <xf numFmtId="0" fontId="15" fillId="0" borderId="0" xfId="0" applyFont="1" applyAlignment="1">
      <alignment horizontal="left" vertical="top" indent="1"/>
    </xf>
    <xf numFmtId="0" fontId="18" fillId="0" borderId="0" xfId="0" applyFont="1" applyAlignment="1">
      <alignment horizontal="left" vertical="top" indent="2"/>
    </xf>
    <xf numFmtId="0" fontId="15" fillId="0" borderId="0" xfId="0" applyFont="1" applyAlignment="1">
      <alignment horizontal="left" vertical="top" indent="2"/>
    </xf>
    <xf numFmtId="0" fontId="18" fillId="0" borderId="0" xfId="0" applyFont="1" applyAlignment="1">
      <alignment horizontal="left" vertical="top" indent="3"/>
    </xf>
    <xf numFmtId="0" fontId="15" fillId="0" borderId="0" xfId="0" applyFont="1" applyAlignment="1">
      <alignment horizontal="left" vertical="top" indent="3"/>
    </xf>
    <xf numFmtId="0" fontId="12" fillId="0" borderId="0" xfId="0" applyFont="1" applyAlignment="1">
      <alignment horizontal="left" vertical="center" indent="2"/>
    </xf>
    <xf numFmtId="0" fontId="15" fillId="0" borderId="0" xfId="0" applyFont="1" applyAlignment="1">
      <alignment horizontal="left" vertical="center" indent="2"/>
    </xf>
    <xf numFmtId="0" fontId="12" fillId="0" borderId="0" xfId="0" applyFont="1" applyAlignment="1">
      <alignment horizontal="left" vertical="center" indent="3"/>
    </xf>
    <xf numFmtId="0" fontId="15" fillId="0" borderId="0" xfId="0" applyFont="1" applyAlignment="1">
      <alignment horizontal="left" vertical="center" indent="3"/>
    </xf>
    <xf numFmtId="0" fontId="12" fillId="0" borderId="0" xfId="0" applyFont="1" applyAlignment="1">
      <alignment horizontal="left" vertical="center" indent="4"/>
    </xf>
    <xf numFmtId="0" fontId="15" fillId="0" borderId="0" xfId="0" applyFont="1" applyAlignment="1">
      <alignment horizontal="left" vertical="center" indent="4"/>
    </xf>
    <xf numFmtId="0" fontId="1" fillId="2" borderId="1" xfId="1" applyNumberFormat="1" applyAlignment="1">
      <alignment horizontal="left" vertical="top" wrapText="1"/>
    </xf>
    <xf numFmtId="49" fontId="1" fillId="2" borderId="1" xfId="1" applyNumberFormat="1" applyAlignment="1">
      <alignment horizontal="left" vertical="top" wrapText="1"/>
    </xf>
    <xf numFmtId="0" fontId="12" fillId="0" borderId="0" xfId="0" applyFont="1" applyAlignment="1">
      <alignment horizontal="left" vertical="center" indent="5"/>
    </xf>
    <xf numFmtId="0" fontId="15" fillId="0" borderId="0" xfId="0" applyFont="1" applyAlignment="1">
      <alignment horizontal="left" vertical="center" indent="5"/>
    </xf>
    <xf numFmtId="49" fontId="1" fillId="5" borderId="1" xfId="1" applyNumberFormat="1" applyFill="1" applyAlignment="1">
      <alignment horizontal="left" vertical="top" wrapText="1"/>
    </xf>
    <xf numFmtId="0" fontId="15" fillId="0" borderId="0" xfId="0" applyFont="1" applyAlignment="1">
      <alignment vertical="top"/>
    </xf>
    <xf numFmtId="0" fontId="18" fillId="0" borderId="0" xfId="0" applyFont="1" applyAlignment="1">
      <alignment horizontal="left" vertical="top" indent="4"/>
    </xf>
    <xf numFmtId="0" fontId="15" fillId="0" borderId="0" xfId="0" applyFont="1" applyAlignment="1">
      <alignment horizontal="left" vertical="top" indent="4"/>
    </xf>
    <xf numFmtId="0" fontId="18" fillId="0" borderId="0" xfId="0" applyFont="1" applyAlignment="1">
      <alignment horizontal="left" vertical="top" indent="5"/>
    </xf>
    <xf numFmtId="0" fontId="17" fillId="6" borderId="7" xfId="0" applyFont="1" applyFill="1" applyBorder="1" applyAlignment="1">
      <alignment horizontal="left" wrapText="1"/>
    </xf>
    <xf numFmtId="0" fontId="3" fillId="6" borderId="7" xfId="2" applyNumberFormat="1" applyFill="1" applyBorder="1" applyAlignment="1">
      <alignment horizontal="left" wrapText="1"/>
    </xf>
    <xf numFmtId="0" fontId="8" fillId="0" borderId="0" xfId="4" applyBorder="1" applyAlignment="1">
      <alignment vertical="center"/>
    </xf>
    <xf numFmtId="0" fontId="3" fillId="0" borderId="0" xfId="2" applyNumberFormat="1" applyFill="1" applyBorder="1"/>
    <xf numFmtId="0" fontId="3" fillId="2" borderId="1" xfId="2" applyFill="1" applyBorder="1" applyAlignment="1">
      <alignment horizontal="left" vertical="top" wrapText="1"/>
    </xf>
    <xf numFmtId="0" fontId="3" fillId="0" borderId="0" xfId="2"/>
    <xf numFmtId="0" fontId="24" fillId="0" borderId="0" xfId="0" applyFont="1"/>
    <xf numFmtId="0" fontId="1" fillId="2" borderId="1" xfId="1"/>
    <xf numFmtId="0" fontId="0" fillId="0" borderId="0" xfId="0" applyAlignment="1">
      <alignment wrapText="1"/>
    </xf>
    <xf numFmtId="0" fontId="3" fillId="0" borderId="0" xfId="2" applyAlignment="1">
      <alignment wrapText="1"/>
    </xf>
    <xf numFmtId="0" fontId="0" fillId="0" borderId="10" xfId="0" applyBorder="1" applyAlignment="1">
      <alignment vertical="top"/>
    </xf>
    <xf numFmtId="0" fontId="33" fillId="0" borderId="0" xfId="7" applyFont="1" applyAlignment="1">
      <alignment wrapText="1"/>
    </xf>
    <xf numFmtId="0" fontId="34" fillId="0" borderId="0" xfId="0" applyFont="1" applyAlignment="1">
      <alignment horizontal="left" wrapText="1"/>
    </xf>
    <xf numFmtId="0" fontId="34" fillId="0" borderId="0" xfId="7" applyFont="1" applyAlignment="1">
      <alignment wrapText="1"/>
    </xf>
    <xf numFmtId="0" fontId="33" fillId="0" borderId="0" xfId="7" applyFont="1" applyAlignment="1">
      <alignment horizontal="left" wrapText="1"/>
    </xf>
    <xf numFmtId="0" fontId="34" fillId="0" borderId="0" xfId="0" applyFont="1" applyAlignment="1">
      <alignment wrapText="1"/>
    </xf>
    <xf numFmtId="0" fontId="0" fillId="0" borderId="0" xfId="0" applyAlignment="1">
      <alignment horizontal="left" vertical="top" indent="1"/>
    </xf>
    <xf numFmtId="0" fontId="0" fillId="0" borderId="10" xfId="0" applyBorder="1" applyAlignment="1">
      <alignment horizontal="left" vertical="top" indent="1"/>
    </xf>
    <xf numFmtId="0" fontId="0" fillId="0" borderId="0" xfId="0" applyAlignment="1">
      <alignment horizontal="left" vertical="top" wrapText="1" indent="1"/>
    </xf>
    <xf numFmtId="0" fontId="32" fillId="0" borderId="0" xfId="7"/>
    <xf numFmtId="0" fontId="0" fillId="0" borderId="0" xfId="0" applyAlignment="1">
      <alignment horizontal="left" vertical="top"/>
    </xf>
    <xf numFmtId="0" fontId="22" fillId="0" borderId="0" xfId="0" applyFont="1"/>
    <xf numFmtId="0" fontId="40" fillId="0" borderId="0" xfId="0" applyFont="1" applyAlignment="1">
      <alignment wrapText="1"/>
    </xf>
    <xf numFmtId="0" fontId="41" fillId="0" borderId="0" xfId="0" applyFont="1"/>
    <xf numFmtId="0" fontId="40" fillId="0" borderId="0" xfId="0" applyFont="1"/>
    <xf numFmtId="0" fontId="42" fillId="0" borderId="0" xfId="0" applyFont="1"/>
    <xf numFmtId="0" fontId="43" fillId="0" borderId="0" xfId="0" applyFont="1"/>
    <xf numFmtId="0" fontId="44" fillId="0" borderId="0" xfId="0" applyFont="1"/>
    <xf numFmtId="0" fontId="42" fillId="0" borderId="0" xfId="0" quotePrefix="1" applyFont="1"/>
    <xf numFmtId="0" fontId="45" fillId="0" borderId="0" xfId="0" applyFont="1" applyAlignment="1">
      <alignment wrapText="1"/>
    </xf>
    <xf numFmtId="0" fontId="33" fillId="0" borderId="0" xfId="0" applyFont="1" applyAlignment="1">
      <alignment wrapText="1"/>
    </xf>
    <xf numFmtId="0" fontId="22" fillId="0" borderId="0" xfId="0" applyFont="1" applyAlignment="1">
      <alignment wrapText="1"/>
    </xf>
    <xf numFmtId="0" fontId="42" fillId="0" borderId="0" xfId="0" applyFont="1" applyAlignment="1">
      <alignment wrapText="1"/>
    </xf>
    <xf numFmtId="0" fontId="28" fillId="0" borderId="0" xfId="0" applyFont="1"/>
    <xf numFmtId="0" fontId="45" fillId="0" borderId="0" xfId="0" applyFont="1"/>
    <xf numFmtId="0" fontId="43" fillId="0" borderId="0" xfId="0" applyFont="1" applyAlignment="1">
      <alignment wrapText="1"/>
    </xf>
    <xf numFmtId="0" fontId="8" fillId="0" borderId="0" xfId="4" applyFill="1" applyBorder="1" applyAlignment="1">
      <alignment vertical="center"/>
    </xf>
    <xf numFmtId="0" fontId="3" fillId="0" borderId="0" xfId="2" applyNumberFormat="1" applyFill="1"/>
    <xf numFmtId="0" fontId="3" fillId="0" borderId="0" xfId="2" applyFill="1"/>
    <xf numFmtId="0" fontId="3" fillId="0" borderId="0" xfId="2" applyAlignment="1">
      <alignment horizontal="left" vertical="center" wrapText="1"/>
    </xf>
    <xf numFmtId="0" fontId="3" fillId="7" borderId="0" xfId="2" applyFill="1"/>
    <xf numFmtId="0" fontId="3" fillId="0" borderId="0" xfId="2" applyAlignment="1">
      <alignment vertical="top" wrapText="1"/>
    </xf>
    <xf numFmtId="0" fontId="0" fillId="0" borderId="0" xfId="0" applyAlignment="1">
      <alignment vertical="top" wrapText="1"/>
    </xf>
    <xf numFmtId="0" fontId="5" fillId="0" borderId="0" xfId="0" applyFont="1" applyAlignment="1">
      <alignment vertical="top" wrapText="1"/>
    </xf>
    <xf numFmtId="0" fontId="0" fillId="0" borderId="0" xfId="0"/>
    <xf numFmtId="0" fontId="0" fillId="0" borderId="8" xfId="0" applyBorder="1"/>
    <xf numFmtId="0" fontId="1" fillId="2" borderId="1" xfId="1" applyNumberFormat="1" applyAlignment="1">
      <alignment horizontal="left" vertical="top" wrapText="1"/>
    </xf>
    <xf numFmtId="0" fontId="3" fillId="2" borderId="1" xfId="2" applyFill="1" applyBorder="1" applyAlignment="1">
      <alignment vertical="top" wrapText="1"/>
    </xf>
    <xf numFmtId="0" fontId="1" fillId="2" borderId="1" xfId="1" applyAlignment="1">
      <alignment vertical="top" wrapText="1"/>
    </xf>
    <xf numFmtId="0" fontId="21" fillId="0" borderId="0" xfId="3" applyFont="1" applyAlignment="1">
      <alignment vertical="center"/>
    </xf>
    <xf numFmtId="49" fontId="1" fillId="5" borderId="5" xfId="1" applyNumberFormat="1" applyFill="1" applyBorder="1" applyAlignment="1">
      <alignment horizontal="left" vertical="top" wrapText="1"/>
    </xf>
    <xf numFmtId="49" fontId="1" fillId="5" borderId="6" xfId="1" applyNumberFormat="1" applyFill="1" applyBorder="1" applyAlignment="1">
      <alignment horizontal="left" vertical="top" wrapText="1"/>
    </xf>
    <xf numFmtId="0" fontId="3" fillId="2" borderId="1" xfId="2" applyNumberFormat="1" applyFill="1" applyBorder="1" applyAlignment="1">
      <alignment horizontal="left" vertical="top" wrapText="1"/>
    </xf>
    <xf numFmtId="0" fontId="5" fillId="0" borderId="9" xfId="0" applyFont="1" applyBorder="1" applyAlignment="1">
      <alignment vertical="top" wrapText="1"/>
    </xf>
    <xf numFmtId="0" fontId="1" fillId="2" borderId="1" xfId="1" applyNumberFormat="1" applyAlignment="1">
      <alignment vertical="top" wrapText="1"/>
    </xf>
    <xf numFmtId="0" fontId="3" fillId="0" borderId="0" xfId="2" applyAlignment="1">
      <alignment horizontal="left" vertical="top" wrapText="1" indent="1"/>
    </xf>
    <xf numFmtId="0" fontId="28" fillId="0" borderId="0" xfId="0" applyFont="1" applyAlignment="1">
      <alignment vertical="top" wrapText="1"/>
    </xf>
    <xf numFmtId="0" fontId="5" fillId="0" borderId="0" xfId="0" applyFont="1" applyAlignment="1">
      <alignment horizontal="left" vertical="top" wrapText="1" indent="1"/>
    </xf>
    <xf numFmtId="0" fontId="3" fillId="2" borderId="5" xfId="2" applyNumberFormat="1" applyFill="1" applyBorder="1" applyAlignment="1">
      <alignment horizontal="left" vertical="top" wrapText="1"/>
    </xf>
    <xf numFmtId="0" fontId="19" fillId="2" borderId="6" xfId="1" applyNumberFormat="1" applyFont="1" applyBorder="1" applyAlignment="1">
      <alignment horizontal="left" vertical="top" wrapText="1"/>
    </xf>
    <xf numFmtId="0" fontId="3" fillId="2" borderId="1" xfId="2" applyFill="1" applyBorder="1" applyAlignment="1">
      <alignment horizontal="left" vertical="top" wrapText="1"/>
    </xf>
    <xf numFmtId="0" fontId="1" fillId="2" borderId="1" xfId="1" applyAlignment="1">
      <alignment horizontal="left" vertical="top" wrapText="1"/>
    </xf>
    <xf numFmtId="0" fontId="24" fillId="0" borderId="0" xfId="0" applyFont="1" applyAlignment="1">
      <alignment horizontal="left" vertical="top" wrapText="1" indent="1"/>
    </xf>
    <xf numFmtId="0" fontId="0" fillId="0" borderId="0" xfId="0" applyAlignment="1">
      <alignment horizontal="center" vertical="center" wrapText="1"/>
    </xf>
    <xf numFmtId="0" fontId="10" fillId="0" borderId="4" xfId="6" applyAlignment="1">
      <alignment vertical="center"/>
    </xf>
    <xf numFmtId="0" fontId="8" fillId="0" borderId="0" xfId="4" applyBorder="1" applyAlignment="1">
      <alignment vertical="center"/>
    </xf>
    <xf numFmtId="0" fontId="9" fillId="0" borderId="3" xfId="5" applyAlignment="1">
      <alignment vertical="center"/>
    </xf>
    <xf numFmtId="0" fontId="7" fillId="0" borderId="0" xfId="3" applyFill="1"/>
  </cellXfs>
  <cellStyles count="17">
    <cellStyle name="Heading 1" xfId="4" builtinId="16"/>
    <cellStyle name="Heading 2" xfId="5" builtinId="17"/>
    <cellStyle name="Heading 3" xfId="6" builtinId="18"/>
    <cellStyle name="Hyperlink" xfId="2" builtinId="8"/>
    <cellStyle name="Hyperlink 2" xfId="9" xr:uid="{E5085566-D99F-4EA7-8FD7-38F2DAA6FFBD}"/>
    <cellStyle name="Hyperlink 3" xfId="10" xr:uid="{7759184C-BB6D-40B0-B070-ECC266971D96}"/>
    <cellStyle name="Input" xfId="1" builtinId="20"/>
    <cellStyle name="Normal" xfId="0" builtinId="0"/>
    <cellStyle name="Normal 2" xfId="11" xr:uid="{F53C93D5-4E45-4E55-8694-241AC4EAD00D}"/>
    <cellStyle name="Normal 2 2" xfId="16" xr:uid="{01287251-8042-4061-B9B2-17040BCA3023}"/>
    <cellStyle name="Normal 3" xfId="12" xr:uid="{3675F1B5-579B-4F47-BFF4-B8C36B0B0BE8}"/>
    <cellStyle name="Normal 4" xfId="13" xr:uid="{2E1A9ED9-133A-4BFA-AC1F-BD377CC92897}"/>
    <cellStyle name="Normal 4 2" xfId="8" xr:uid="{A7E48F6F-1791-4E7E-941D-693E2CF4620A}"/>
    <cellStyle name="Normal 5" xfId="7" xr:uid="{9F8378C8-AC76-4B52-BC0E-F7E3D88AA141}"/>
    <cellStyle name="Normal 6" xfId="14" xr:uid="{8551A158-47BB-4338-9973-B6CDDF7A92F3}"/>
    <cellStyle name="Normal 7" xfId="15" xr:uid="{4162311A-F76C-4E54-957C-3A39001390DA}"/>
    <cellStyle name="Title" xfId="3" builtinId="15"/>
  </cellStyles>
  <dxfs count="5">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colors>
    <mruColors>
      <color rgb="FFD48ABB"/>
      <color rgb="FFEBD7ED"/>
      <color rgb="FFE1C2E4"/>
      <color rgb="FFD8AEDC"/>
      <color rgb="FFFFEFAB"/>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F52C94-8979-4113-8084-8AA66E7BB5E7}" name="Table1" displayName="Table1" ref="A3:C39" totalsRowShown="0" headerRowDxfId="4" dataDxfId="3" headerRowCellStyle="Normal 5" dataCellStyle="Normal 5">
  <autoFilter ref="A3:C39" xr:uid="{F3F52C94-8979-4113-8084-8AA66E7BB5E7}"/>
  <tableColumns count="3">
    <tableColumn id="1" xr3:uid="{D804C119-4947-4021-9C2C-34DB4DC259CD}" name="DIVISION" dataDxfId="2" dataCellStyle="Normal 5"/>
    <tableColumn id="2" xr3:uid="{9A457E9F-F235-4C10-9F39-94BB88811AD5}" name="Group" dataDxfId="1" dataCellStyle="Normal 5"/>
    <tableColumn id="3" xr3:uid="{15EA3AD5-71FE-4F61-BFE0-3F332070E577}" name="Field" dataDxfId="0" dataCellStyle="Normal 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copus.com/freelookup/form/author.uri" TargetMode="External"/><Relationship Id="rId13" Type="http://schemas.openxmlformats.org/officeDocument/2006/relationships/hyperlink" Target="https://www.handle.net/index.html" TargetMode="External"/><Relationship Id="rId18" Type="http://schemas.openxmlformats.org/officeDocument/2006/relationships/hyperlink" Target="http://hdl.handle.net/2123/17339" TargetMode="External"/><Relationship Id="rId3" Type="http://schemas.openxmlformats.org/officeDocument/2006/relationships/hyperlink" Target="https://ror.org/search" TargetMode="External"/><Relationship Id="rId21" Type="http://schemas.openxmlformats.org/officeDocument/2006/relationships/hyperlink" Target="https://ror.org/00892tw58" TargetMode="External"/><Relationship Id="rId7" Type="http://schemas.openxmlformats.org/officeDocument/2006/relationships/hyperlink" Target="https://orcid.org/" TargetMode="External"/><Relationship Id="rId12" Type="http://schemas.openxmlformats.org/officeDocument/2006/relationships/hyperlink" Target="https://creativecommons.org/share-your-work/" TargetMode="External"/><Relationship Id="rId17" Type="http://schemas.openxmlformats.org/officeDocument/2006/relationships/hyperlink" Target="https://doi.org/10.1016/j.fcr.2020.107905" TargetMode="External"/><Relationship Id="rId25" Type="http://schemas.openxmlformats.org/officeDocument/2006/relationships/printerSettings" Target="../printerSettings/printerSettings1.bin"/><Relationship Id="rId2" Type="http://schemas.openxmlformats.org/officeDocument/2006/relationships/hyperlink" Target="https://ror.org/search" TargetMode="External"/><Relationship Id="rId16" Type="http://schemas.openxmlformats.org/officeDocument/2006/relationships/hyperlink" Target="https://doi.org/10.3389/fpls.2021.735285" TargetMode="External"/><Relationship Id="rId20" Type="http://schemas.openxmlformats.org/officeDocument/2006/relationships/hyperlink" Target="mailto:data.catalogue@grdc.com.au" TargetMode="External"/><Relationship Id="rId1" Type="http://schemas.openxmlformats.org/officeDocument/2006/relationships/hyperlink" Target="https://doi.org/10.1071/FP20187" TargetMode="External"/><Relationship Id="rId6" Type="http://schemas.openxmlformats.org/officeDocument/2006/relationships/hyperlink" Target="https://grdc.com.au/__data/assets/pdf_file/0033/584259/GRDC-RD-and-E-Data-Capture-and-Storage-Guidelines-for-Research-Partners.pdf" TargetMode="External"/><Relationship Id="rId11" Type="http://schemas.openxmlformats.org/officeDocument/2006/relationships/hyperlink" Target="https://agrovoc.fao.org/browse/agrovoc/en/" TargetMode="External"/><Relationship Id="rId24" Type="http://schemas.openxmlformats.org/officeDocument/2006/relationships/hyperlink" Target="https://orcid.org/0000-0002-9680-6644" TargetMode="External"/><Relationship Id="rId5" Type="http://schemas.openxmlformats.org/officeDocument/2006/relationships/hyperlink" Target="https://www.handle.net/index.html" TargetMode="External"/><Relationship Id="rId15" Type="http://schemas.openxmlformats.org/officeDocument/2006/relationships/hyperlink" Target="https://doi.org/10.1111/jac.12584" TargetMode="External"/><Relationship Id="rId23" Type="http://schemas.openxmlformats.org/officeDocument/2006/relationships/hyperlink" Target="https://orcid.org/0000-0002-6710-1792" TargetMode="External"/><Relationship Id="rId10" Type="http://schemas.openxmlformats.org/officeDocument/2006/relationships/hyperlink" Target="https://www.abs.gov.au/statistics/classifications/australian-and-new-zealand-standard-research-classification-anzsrc/latest-release" TargetMode="External"/><Relationship Id="rId19" Type="http://schemas.openxmlformats.org/officeDocument/2006/relationships/hyperlink" Target="https://hdl.handle.net/2123/30252" TargetMode="External"/><Relationship Id="rId4" Type="http://schemas.openxmlformats.org/officeDocument/2006/relationships/hyperlink" Target="https://ror.org/0384j8v12" TargetMode="External"/><Relationship Id="rId9" Type="http://schemas.openxmlformats.org/officeDocument/2006/relationships/hyperlink" Target="https://clarivate.com/products/scientific-and-academic-research/research-discovery-and-workflow-solutions/researcher-profiles/" TargetMode="External"/><Relationship Id="rId14" Type="http://schemas.openxmlformats.org/officeDocument/2006/relationships/hyperlink" Target="https://grdc.com.au/__data/assets/pdf_file/0033/584259/GRDC-RD-and-E-Data-Capture-and-Storage-Guidelines-for-Research-Partners.pdf" TargetMode="External"/><Relationship Id="rId22" Type="http://schemas.openxmlformats.org/officeDocument/2006/relationships/hyperlink" Target="https://orcid.org/0000-0003-0105-875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topografix.com/gpx.asp" TargetMode="External"/><Relationship Id="rId3" Type="http://schemas.openxmlformats.org/officeDocument/2006/relationships/hyperlink" Target="https://www.iso.org/iso-3166-country-codes.html" TargetMode="External"/><Relationship Id="rId7" Type="http://schemas.openxmlformats.org/officeDocument/2006/relationships/hyperlink" Target="https://mygeodata.cloud/converter/gml-to-kml" TargetMode="External"/><Relationship Id="rId2" Type="http://schemas.openxmlformats.org/officeDocument/2006/relationships/hyperlink" Target="https://www.dublincore.org/specifications/dublin-core/dcmi-box/2005-07-25/" TargetMode="External"/><Relationship Id="rId1" Type="http://schemas.openxmlformats.org/officeDocument/2006/relationships/hyperlink" Target="https://www.ogc.org/standard/kml/" TargetMode="External"/><Relationship Id="rId6" Type="http://schemas.openxmlformats.org/officeDocument/2006/relationships/hyperlink" Target="https://www.dublincore.org/specifications/dublin-core/dcmi-point/" TargetMode="External"/><Relationship Id="rId5" Type="http://schemas.openxmlformats.org/officeDocument/2006/relationships/hyperlink" Target="https://www.iso.org/iso-3166-country-codes.html" TargetMode="External"/><Relationship Id="rId4" Type="http://schemas.openxmlformats.org/officeDocument/2006/relationships/hyperlink" Target="https://www.iso.org/iso-3166-country-codes.html" TargetMode="Externa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9396-8BCE-42B0-99B4-EAD9AC47ACFA}">
  <sheetPr codeName="Sheet1">
    <pageSetUpPr autoPageBreaks="0"/>
  </sheetPr>
  <dimension ref="A1:D274"/>
  <sheetViews>
    <sheetView tabSelected="1" zoomScaleNormal="100" workbookViewId="0">
      <pane ySplit="1" topLeftCell="A40" activePane="bottomLeft" state="frozen"/>
      <selection pane="bottomLeft" activeCell="A52" sqref="A52:D60"/>
    </sheetView>
  </sheetViews>
  <sheetFormatPr defaultColWidth="9.140625" defaultRowHeight="15"/>
  <cols>
    <col min="1" max="1" width="73.140625" style="1" customWidth="1"/>
    <col min="2" max="2" width="82.28515625" style="2" customWidth="1"/>
    <col min="3" max="3" width="36.28515625" style="1" customWidth="1"/>
    <col min="4" max="4" width="31.42578125" style="1" customWidth="1"/>
    <col min="5" max="16384" width="9.140625" style="1"/>
  </cols>
  <sheetData>
    <row r="1" spans="1:3" ht="23.25">
      <c r="A1" s="79" t="s">
        <v>0</v>
      </c>
      <c r="B1" s="79"/>
      <c r="C1" s="1" t="s">
        <v>315</v>
      </c>
    </row>
    <row r="2" spans="1:3" ht="45" customHeight="1">
      <c r="A2" s="73" t="s">
        <v>157</v>
      </c>
      <c r="B2" s="73"/>
      <c r="C2" s="1" t="s">
        <v>316</v>
      </c>
    </row>
    <row r="3" spans="1:3">
      <c r="A3" s="76" t="s">
        <v>1</v>
      </c>
      <c r="B3" s="76"/>
    </row>
    <row r="4" spans="1:3" customFormat="1">
      <c r="A4" s="75"/>
      <c r="B4" s="75"/>
    </row>
    <row r="5" spans="1:3" ht="60" customHeight="1">
      <c r="A5" s="83" t="s">
        <v>158</v>
      </c>
      <c r="B5" s="83"/>
    </row>
    <row r="6" spans="1:3">
      <c r="A6" s="84" t="s">
        <v>2</v>
      </c>
      <c r="B6" s="84"/>
    </row>
    <row r="7" spans="1:3">
      <c r="A7" s="75"/>
      <c r="B7" s="75"/>
    </row>
    <row r="8" spans="1:3" ht="45" customHeight="1">
      <c r="A8" s="73" t="s">
        <v>159</v>
      </c>
      <c r="B8" s="73"/>
    </row>
    <row r="9" spans="1:3">
      <c r="A9" s="71" t="s">
        <v>160</v>
      </c>
      <c r="B9" s="71"/>
    </row>
    <row r="10" spans="1:3">
      <c r="A10" s="3" t="s">
        <v>161</v>
      </c>
      <c r="B10" s="4" t="s">
        <v>242</v>
      </c>
    </row>
    <row r="11" spans="1:3">
      <c r="A11" s="40" t="s">
        <v>162</v>
      </c>
      <c r="B11" s="34" t="s">
        <v>164</v>
      </c>
    </row>
    <row r="12" spans="1:3">
      <c r="A12" s="74"/>
      <c r="B12" s="75"/>
    </row>
    <row r="13" spans="1:3" ht="60" customHeight="1">
      <c r="A13" s="87" t="s">
        <v>167</v>
      </c>
      <c r="B13" s="87"/>
    </row>
    <row r="14" spans="1:3">
      <c r="A14" s="85" t="s">
        <v>160</v>
      </c>
      <c r="B14" s="85"/>
    </row>
    <row r="15" spans="1:3">
      <c r="A15" s="46" t="s">
        <v>161</v>
      </c>
      <c r="B15" s="4" t="s">
        <v>301</v>
      </c>
    </row>
    <row r="16" spans="1:3">
      <c r="A16" s="47" t="s">
        <v>162</v>
      </c>
      <c r="B16" s="69" t="s">
        <v>302</v>
      </c>
    </row>
    <row r="17" spans="1:3">
      <c r="A17" s="47" t="s">
        <v>165</v>
      </c>
      <c r="B17" s="4" t="s">
        <v>303</v>
      </c>
    </row>
    <row r="18" spans="1:3">
      <c r="A18" s="74"/>
      <c r="B18" s="75"/>
    </row>
    <row r="19" spans="1:3">
      <c r="A19" s="46" t="s">
        <v>161</v>
      </c>
      <c r="B19" s="4"/>
    </row>
    <row r="20" spans="1:3">
      <c r="A20" s="47" t="s">
        <v>162</v>
      </c>
      <c r="B20" s="34"/>
    </row>
    <row r="21" spans="1:3">
      <c r="A21" s="47" t="s">
        <v>165</v>
      </c>
      <c r="B21" s="4"/>
    </row>
    <row r="22" spans="1:3">
      <c r="A22" s="74"/>
      <c r="B22" s="75"/>
    </row>
    <row r="23" spans="1:3">
      <c r="A23" s="46" t="s">
        <v>161</v>
      </c>
      <c r="B23" s="4"/>
    </row>
    <row r="24" spans="1:3">
      <c r="A24" s="47" t="s">
        <v>162</v>
      </c>
      <c r="B24" s="34"/>
    </row>
    <row r="25" spans="1:3">
      <c r="A25" s="47" t="s">
        <v>165</v>
      </c>
      <c r="B25" s="4"/>
    </row>
    <row r="26" spans="1:3">
      <c r="A26" s="74"/>
      <c r="B26" s="75"/>
    </row>
    <row r="27" spans="1:3">
      <c r="A27" s="46" t="s">
        <v>161</v>
      </c>
      <c r="B27" s="4"/>
    </row>
    <row r="28" spans="1:3">
      <c r="A28" s="47" t="s">
        <v>162</v>
      </c>
      <c r="B28" s="34"/>
    </row>
    <row r="29" spans="1:3">
      <c r="A29" s="47" t="s">
        <v>165</v>
      </c>
      <c r="B29" s="4"/>
    </row>
    <row r="30" spans="1:3">
      <c r="A30" s="74"/>
      <c r="B30" s="75"/>
    </row>
    <row r="31" spans="1:3" ht="135">
      <c r="A31" s="73" t="s">
        <v>166</v>
      </c>
      <c r="B31" s="73"/>
      <c r="C31" s="1" t="s">
        <v>317</v>
      </c>
    </row>
    <row r="32" spans="1:3">
      <c r="A32" s="3" t="s">
        <v>3</v>
      </c>
      <c r="B32" s="4" t="s">
        <v>4</v>
      </c>
      <c r="C32" s="1" t="s">
        <v>318</v>
      </c>
    </row>
    <row r="33" spans="1:3" ht="30">
      <c r="A33" s="3" t="s">
        <v>5</v>
      </c>
      <c r="B33" s="4" t="s">
        <v>6</v>
      </c>
      <c r="C33" s="1" t="s">
        <v>324</v>
      </c>
    </row>
    <row r="34" spans="1:3">
      <c r="A34" s="74"/>
      <c r="B34" s="75"/>
    </row>
    <row r="35" spans="1:3" ht="75">
      <c r="A35" s="87" t="s">
        <v>168</v>
      </c>
      <c r="B35" s="87"/>
      <c r="C35" s="1" t="s">
        <v>319</v>
      </c>
    </row>
    <row r="36" spans="1:3">
      <c r="A36" s="46" t="s">
        <v>3</v>
      </c>
      <c r="B36" s="4" t="s">
        <v>304</v>
      </c>
      <c r="C36" s="1" t="s">
        <v>320</v>
      </c>
    </row>
    <row r="37" spans="1:3">
      <c r="A37" s="46" t="s">
        <v>5</v>
      </c>
      <c r="B37" s="4" t="s">
        <v>305</v>
      </c>
      <c r="C37" s="1" t="s">
        <v>321</v>
      </c>
    </row>
    <row r="38" spans="1:3" ht="45">
      <c r="A38" s="46" t="s">
        <v>43</v>
      </c>
      <c r="B38" s="4" t="s">
        <v>306</v>
      </c>
      <c r="C38" s="1" t="s">
        <v>322</v>
      </c>
    </row>
    <row r="39" spans="1:3">
      <c r="A39" s="74"/>
      <c r="B39" s="75"/>
    </row>
    <row r="40" spans="1:3">
      <c r="A40" s="46" t="s">
        <v>3</v>
      </c>
      <c r="B40" s="4"/>
    </row>
    <row r="41" spans="1:3">
      <c r="A41" s="46" t="s">
        <v>5</v>
      </c>
      <c r="B41" s="4"/>
    </row>
    <row r="42" spans="1:3">
      <c r="A42" s="46" t="s">
        <v>43</v>
      </c>
      <c r="B42" s="4"/>
    </row>
    <row r="43" spans="1:3">
      <c r="A43" s="74"/>
      <c r="B43" s="75"/>
    </row>
    <row r="44" spans="1:3">
      <c r="A44" s="46" t="s">
        <v>3</v>
      </c>
      <c r="B44" s="4"/>
    </row>
    <row r="45" spans="1:3">
      <c r="A45" s="46" t="s">
        <v>5</v>
      </c>
      <c r="B45" s="4"/>
    </row>
    <row r="46" spans="1:3">
      <c r="A46" s="46" t="s">
        <v>43</v>
      </c>
      <c r="B46" s="4"/>
    </row>
    <row r="47" spans="1:3">
      <c r="A47" s="74"/>
      <c r="B47" s="75"/>
    </row>
    <row r="48" spans="1:3">
      <c r="A48" s="46" t="s">
        <v>3</v>
      </c>
      <c r="B48" s="4"/>
    </row>
    <row r="49" spans="1:4">
      <c r="A49" s="46" t="s">
        <v>5</v>
      </c>
      <c r="B49" s="4"/>
    </row>
    <row r="50" spans="1:4">
      <c r="A50" s="46" t="s">
        <v>43</v>
      </c>
      <c r="B50" s="4"/>
    </row>
    <row r="51" spans="1:4">
      <c r="A51" s="74"/>
      <c r="B51" s="75"/>
    </row>
    <row r="52" spans="1:4" ht="60">
      <c r="A52" s="73" t="s">
        <v>169</v>
      </c>
      <c r="B52" s="73"/>
      <c r="C52" s="1" t="s">
        <v>328</v>
      </c>
      <c r="D52" s="93" t="s">
        <v>323</v>
      </c>
    </row>
    <row r="53" spans="1:4">
      <c r="A53" s="82"/>
      <c r="B53" s="76"/>
      <c r="D53" s="93"/>
    </row>
    <row r="54" spans="1:4">
      <c r="A54" s="75"/>
      <c r="B54" s="75"/>
      <c r="D54" s="93"/>
    </row>
    <row r="55" spans="1:4" ht="60">
      <c r="A55" s="73" t="s">
        <v>171</v>
      </c>
      <c r="B55" s="73"/>
      <c r="C55" s="1" t="s">
        <v>329</v>
      </c>
      <c r="D55" s="93"/>
    </row>
    <row r="56" spans="1:4">
      <c r="A56" s="71" t="s">
        <v>170</v>
      </c>
      <c r="B56" s="71"/>
      <c r="D56" s="93"/>
    </row>
    <row r="57" spans="1:4">
      <c r="A57" s="88" t="s">
        <v>300</v>
      </c>
      <c r="B57" s="89"/>
      <c r="D57" s="93"/>
    </row>
    <row r="58" spans="1:4">
      <c r="A58" s="75"/>
      <c r="B58" s="75"/>
      <c r="D58" s="93"/>
    </row>
    <row r="59" spans="1:4" ht="120">
      <c r="A59" s="73" t="s">
        <v>215</v>
      </c>
      <c r="B59" s="73"/>
      <c r="C59" s="1" t="s">
        <v>330</v>
      </c>
      <c r="D59" s="93"/>
    </row>
    <row r="60" spans="1:4">
      <c r="A60" s="77"/>
      <c r="B60" s="78"/>
    </row>
    <row r="61" spans="1:4">
      <c r="A61" s="75"/>
      <c r="B61" s="75"/>
    </row>
    <row r="62" spans="1:4" ht="45">
      <c r="A62" s="73" t="s">
        <v>172</v>
      </c>
      <c r="B62" s="73"/>
      <c r="C62" s="1" t="s">
        <v>331</v>
      </c>
    </row>
    <row r="63" spans="1:4">
      <c r="A63" s="90"/>
      <c r="B63" s="91"/>
    </row>
    <row r="64" spans="1:4">
      <c r="A64" s="72"/>
      <c r="B64" s="72"/>
    </row>
    <row r="65" spans="1:3" ht="60">
      <c r="A65" s="73" t="s">
        <v>173</v>
      </c>
      <c r="B65" s="73"/>
      <c r="C65" s="1" t="s">
        <v>325</v>
      </c>
    </row>
    <row r="66" spans="1:3">
      <c r="A66" s="3" t="s">
        <v>7</v>
      </c>
      <c r="B66" s="25" t="s">
        <v>8</v>
      </c>
    </row>
    <row r="67" spans="1:3">
      <c r="A67" s="3" t="s">
        <v>9</v>
      </c>
      <c r="B67" s="25" t="s">
        <v>10</v>
      </c>
    </row>
    <row r="68" spans="1:3">
      <c r="A68" s="72"/>
      <c r="B68" s="72"/>
    </row>
    <row r="69" spans="1:3" ht="75">
      <c r="A69" s="73" t="s">
        <v>216</v>
      </c>
      <c r="B69" s="73"/>
      <c r="C69" s="1" t="s">
        <v>326</v>
      </c>
    </row>
    <row r="70" spans="1:3">
      <c r="A70" s="80" t="s">
        <v>11</v>
      </c>
      <c r="B70" s="81"/>
    </row>
    <row r="71" spans="1:3">
      <c r="A71" s="72"/>
      <c r="B71" s="72"/>
    </row>
    <row r="72" spans="1:3" ht="105" customHeight="1">
      <c r="A72" s="73" t="s">
        <v>12</v>
      </c>
      <c r="B72" s="73"/>
      <c r="C72" s="1" t="s">
        <v>327</v>
      </c>
    </row>
    <row r="73" spans="1:3">
      <c r="A73" s="71" t="s">
        <v>174</v>
      </c>
      <c r="B73" s="71"/>
    </row>
    <row r="74" spans="1:3" ht="135">
      <c r="A74" s="1" t="s">
        <v>13</v>
      </c>
      <c r="B74" s="21" t="s">
        <v>14</v>
      </c>
    </row>
    <row r="75" spans="1:3">
      <c r="A75" s="1" t="s">
        <v>15</v>
      </c>
      <c r="B75" s="21" t="s">
        <v>16</v>
      </c>
    </row>
    <row r="76" spans="1:3">
      <c r="A76" s="72"/>
      <c r="B76" s="72"/>
    </row>
    <row r="77" spans="1:3" ht="45" customHeight="1">
      <c r="A77" s="73" t="s">
        <v>181</v>
      </c>
      <c r="B77" s="73"/>
      <c r="C77" s="1" t="s">
        <v>332</v>
      </c>
    </row>
    <row r="78" spans="1:3" ht="30" customHeight="1">
      <c r="A78" s="76" t="s">
        <v>243</v>
      </c>
      <c r="B78" s="76"/>
    </row>
    <row r="79" spans="1:3">
      <c r="A79" s="72"/>
      <c r="B79" s="72"/>
    </row>
    <row r="80" spans="1:3" ht="120" customHeight="1">
      <c r="A80" s="73" t="s">
        <v>182</v>
      </c>
      <c r="B80" s="73"/>
    </row>
    <row r="81" spans="1:3">
      <c r="A81" s="71" t="s">
        <v>183</v>
      </c>
      <c r="B81" s="71"/>
    </row>
    <row r="82" spans="1:3" ht="285" customHeight="1">
      <c r="A82" s="76" t="s">
        <v>17</v>
      </c>
      <c r="B82" s="76"/>
      <c r="C82" s="1" t="s">
        <v>333</v>
      </c>
    </row>
    <row r="83" spans="1:3">
      <c r="A83" s="73"/>
      <c r="B83" s="73"/>
    </row>
    <row r="84" spans="1:3" ht="90">
      <c r="A84" s="73" t="s">
        <v>217</v>
      </c>
      <c r="B84" s="73"/>
      <c r="C84" s="1" t="s">
        <v>334</v>
      </c>
    </row>
    <row r="85" spans="1:3">
      <c r="A85" s="71" t="s">
        <v>176</v>
      </c>
      <c r="B85" s="71"/>
    </row>
    <row r="86" spans="1:3">
      <c r="A86" s="71" t="s">
        <v>177</v>
      </c>
      <c r="B86" s="71"/>
    </row>
    <row r="87" spans="1:3">
      <c r="A87" s="71" t="s">
        <v>178</v>
      </c>
      <c r="B87" s="71"/>
    </row>
    <row r="88" spans="1:3">
      <c r="A88" t="s">
        <v>18</v>
      </c>
      <c r="B88" s="4" t="s">
        <v>19</v>
      </c>
    </row>
    <row r="89" spans="1:3">
      <c r="A89" t="s">
        <v>20</v>
      </c>
      <c r="B89" s="4" t="s">
        <v>21</v>
      </c>
    </row>
    <row r="90" spans="1:3">
      <c r="A90" t="s">
        <v>175</v>
      </c>
      <c r="B90" s="70" t="s">
        <v>307</v>
      </c>
      <c r="C90" s="93" t="s">
        <v>335</v>
      </c>
    </row>
    <row r="91" spans="1:3">
      <c r="A91" t="s">
        <v>179</v>
      </c>
      <c r="B91" s="4"/>
      <c r="C91" s="93"/>
    </row>
    <row r="92" spans="1:3">
      <c r="A92" t="s">
        <v>180</v>
      </c>
      <c r="B92" s="4"/>
      <c r="C92" s="93"/>
    </row>
    <row r="93" spans="1:3">
      <c r="A93" t="s">
        <v>163</v>
      </c>
      <c r="B93" s="4" t="s">
        <v>308</v>
      </c>
    </row>
    <row r="94" spans="1:3">
      <c r="A94" s="72"/>
      <c r="B94" s="72"/>
    </row>
    <row r="95" spans="1:3">
      <c r="A95" t="s">
        <v>18</v>
      </c>
      <c r="B95" s="4" t="s">
        <v>22</v>
      </c>
    </row>
    <row r="96" spans="1:3">
      <c r="A96" t="s">
        <v>20</v>
      </c>
      <c r="B96" s="4" t="s">
        <v>23</v>
      </c>
    </row>
    <row r="97" spans="1:2">
      <c r="A97" t="s">
        <v>175</v>
      </c>
      <c r="B97" s="70" t="s">
        <v>309</v>
      </c>
    </row>
    <row r="98" spans="1:2">
      <c r="A98" t="s">
        <v>179</v>
      </c>
      <c r="B98" s="4"/>
    </row>
    <row r="99" spans="1:2">
      <c r="A99" t="s">
        <v>180</v>
      </c>
      <c r="B99" s="4"/>
    </row>
    <row r="100" spans="1:2">
      <c r="A100" t="s">
        <v>163</v>
      </c>
      <c r="B100" s="4"/>
    </row>
    <row r="101" spans="1:2">
      <c r="A101" s="72"/>
      <c r="B101" s="72"/>
    </row>
    <row r="102" spans="1:2">
      <c r="A102" t="s">
        <v>18</v>
      </c>
      <c r="B102" s="4" t="s">
        <v>24</v>
      </c>
    </row>
    <row r="103" spans="1:2">
      <c r="A103" t="s">
        <v>20</v>
      </c>
      <c r="B103" s="4" t="s">
        <v>25</v>
      </c>
    </row>
    <row r="104" spans="1:2">
      <c r="A104" t="s">
        <v>175</v>
      </c>
      <c r="B104" s="70" t="s">
        <v>310</v>
      </c>
    </row>
    <row r="105" spans="1:2">
      <c r="A105" t="s">
        <v>179</v>
      </c>
      <c r="B105" s="4"/>
    </row>
    <row r="106" spans="1:2">
      <c r="A106" t="s">
        <v>180</v>
      </c>
      <c r="B106" s="4"/>
    </row>
    <row r="107" spans="1:2">
      <c r="A107" t="s">
        <v>163</v>
      </c>
      <c r="B107" s="4"/>
    </row>
    <row r="108" spans="1:2">
      <c r="A108" s="72"/>
      <c r="B108" s="72"/>
    </row>
    <row r="109" spans="1:2">
      <c r="A109" t="s">
        <v>18</v>
      </c>
      <c r="B109" s="4"/>
    </row>
    <row r="110" spans="1:2">
      <c r="A110" t="s">
        <v>20</v>
      </c>
      <c r="B110" s="4"/>
    </row>
    <row r="111" spans="1:2">
      <c r="A111" t="s">
        <v>175</v>
      </c>
      <c r="B111" s="4"/>
    </row>
    <row r="112" spans="1:2">
      <c r="A112" t="s">
        <v>179</v>
      </c>
      <c r="B112" s="4"/>
    </row>
    <row r="113" spans="1:2">
      <c r="A113" t="s">
        <v>180</v>
      </c>
      <c r="B113" s="4"/>
    </row>
    <row r="114" spans="1:2">
      <c r="A114" t="s">
        <v>163</v>
      </c>
      <c r="B114" s="4"/>
    </row>
    <row r="115" spans="1:2">
      <c r="A115" s="72"/>
      <c r="B115" s="72"/>
    </row>
    <row r="116" spans="1:2">
      <c r="A116" t="s">
        <v>18</v>
      </c>
      <c r="B116" s="4"/>
    </row>
    <row r="117" spans="1:2">
      <c r="A117" t="s">
        <v>20</v>
      </c>
      <c r="B117" s="4"/>
    </row>
    <row r="118" spans="1:2">
      <c r="A118" t="s">
        <v>175</v>
      </c>
      <c r="B118" s="4"/>
    </row>
    <row r="119" spans="1:2">
      <c r="A119" t="s">
        <v>179</v>
      </c>
      <c r="B119" s="4"/>
    </row>
    <row r="120" spans="1:2">
      <c r="A120" t="s">
        <v>180</v>
      </c>
      <c r="B120" s="4"/>
    </row>
    <row r="121" spans="1:2">
      <c r="A121" t="s">
        <v>163</v>
      </c>
      <c r="B121" s="4"/>
    </row>
    <row r="122" spans="1:2">
      <c r="A122" s="72"/>
      <c r="B122" s="72"/>
    </row>
    <row r="123" spans="1:2">
      <c r="A123" t="s">
        <v>18</v>
      </c>
      <c r="B123" s="4"/>
    </row>
    <row r="124" spans="1:2">
      <c r="A124" t="s">
        <v>20</v>
      </c>
      <c r="B124" s="4"/>
    </row>
    <row r="125" spans="1:2">
      <c r="A125" t="s">
        <v>175</v>
      </c>
      <c r="B125" s="4"/>
    </row>
    <row r="126" spans="1:2">
      <c r="A126" t="s">
        <v>179</v>
      </c>
      <c r="B126" s="4"/>
    </row>
    <row r="127" spans="1:2">
      <c r="A127" t="s">
        <v>180</v>
      </c>
      <c r="B127" s="4"/>
    </row>
    <row r="128" spans="1:2">
      <c r="A128" t="s">
        <v>163</v>
      </c>
      <c r="B128" s="4"/>
    </row>
    <row r="129" spans="1:2">
      <c r="A129" s="72"/>
      <c r="B129" s="72"/>
    </row>
    <row r="130" spans="1:2">
      <c r="A130" t="s">
        <v>18</v>
      </c>
      <c r="B130" s="4"/>
    </row>
    <row r="131" spans="1:2">
      <c r="A131" t="s">
        <v>20</v>
      </c>
      <c r="B131" s="4"/>
    </row>
    <row r="132" spans="1:2">
      <c r="A132" t="s">
        <v>175</v>
      </c>
      <c r="B132" s="4"/>
    </row>
    <row r="133" spans="1:2">
      <c r="A133" t="s">
        <v>179</v>
      </c>
      <c r="B133" s="4"/>
    </row>
    <row r="134" spans="1:2">
      <c r="A134" t="s">
        <v>180</v>
      </c>
      <c r="B134" s="4"/>
    </row>
    <row r="135" spans="1:2">
      <c r="A135" t="s">
        <v>163</v>
      </c>
      <c r="B135" s="4"/>
    </row>
    <row r="136" spans="1:2">
      <c r="A136" s="72"/>
      <c r="B136" s="72"/>
    </row>
    <row r="137" spans="1:2">
      <c r="A137" t="s">
        <v>18</v>
      </c>
      <c r="B137" s="4"/>
    </row>
    <row r="138" spans="1:2">
      <c r="A138" t="s">
        <v>20</v>
      </c>
      <c r="B138" s="4"/>
    </row>
    <row r="139" spans="1:2">
      <c r="A139" t="s">
        <v>175</v>
      </c>
      <c r="B139" s="4"/>
    </row>
    <row r="140" spans="1:2">
      <c r="A140" t="s">
        <v>179</v>
      </c>
      <c r="B140" s="4"/>
    </row>
    <row r="141" spans="1:2">
      <c r="A141" t="s">
        <v>180</v>
      </c>
      <c r="B141" s="4"/>
    </row>
    <row r="142" spans="1:2">
      <c r="A142" t="s">
        <v>163</v>
      </c>
      <c r="B142" s="4"/>
    </row>
    <row r="143" spans="1:2">
      <c r="A143" s="72"/>
      <c r="B143" s="72"/>
    </row>
    <row r="144" spans="1:2">
      <c r="A144" t="s">
        <v>18</v>
      </c>
      <c r="B144" s="4"/>
    </row>
    <row r="145" spans="1:3">
      <c r="A145" t="s">
        <v>20</v>
      </c>
      <c r="B145" s="4"/>
    </row>
    <row r="146" spans="1:3">
      <c r="A146" t="s">
        <v>175</v>
      </c>
      <c r="B146" s="4"/>
    </row>
    <row r="147" spans="1:3">
      <c r="A147" t="s">
        <v>179</v>
      </c>
      <c r="B147" s="4"/>
    </row>
    <row r="148" spans="1:3">
      <c r="A148" t="s">
        <v>180</v>
      </c>
      <c r="B148" s="4"/>
    </row>
    <row r="149" spans="1:3">
      <c r="A149" t="s">
        <v>163</v>
      </c>
      <c r="B149" s="4"/>
    </row>
    <row r="150" spans="1:3">
      <c r="A150" s="72"/>
      <c r="B150" s="72"/>
    </row>
    <row r="151" spans="1:3" ht="105">
      <c r="A151" s="86" t="s">
        <v>184</v>
      </c>
      <c r="B151" s="73"/>
      <c r="C151" s="1" t="s">
        <v>336</v>
      </c>
    </row>
    <row r="152" spans="1:3">
      <c r="A152" s="82" t="s">
        <v>314</v>
      </c>
      <c r="B152" s="76"/>
    </row>
    <row r="153" spans="1:3">
      <c r="A153" s="72"/>
      <c r="B153" s="72"/>
    </row>
    <row r="154" spans="1:3" ht="60">
      <c r="A154" s="86" t="s">
        <v>241</v>
      </c>
      <c r="B154" s="73"/>
      <c r="C154" s="1" t="s">
        <v>337</v>
      </c>
    </row>
    <row r="155" spans="1:3">
      <c r="A155" s="71" t="s">
        <v>239</v>
      </c>
      <c r="B155" s="71"/>
    </row>
    <row r="156" spans="1:3">
      <c r="A156" s="2" t="s">
        <v>240</v>
      </c>
      <c r="B156" s="22" t="s">
        <v>27</v>
      </c>
    </row>
    <row r="157" spans="1:3">
      <c r="A157" s="2" t="s">
        <v>240</v>
      </c>
      <c r="B157" s="22" t="s">
        <v>28</v>
      </c>
    </row>
    <row r="158" spans="1:3">
      <c r="A158" s="2" t="s">
        <v>240</v>
      </c>
      <c r="B158" s="22" t="s">
        <v>29</v>
      </c>
    </row>
    <row r="159" spans="1:3">
      <c r="A159" s="2" t="s">
        <v>240</v>
      </c>
      <c r="B159" s="22" t="s">
        <v>30</v>
      </c>
    </row>
    <row r="160" spans="1:3">
      <c r="A160" s="2" t="s">
        <v>240</v>
      </c>
      <c r="B160" s="22"/>
    </row>
    <row r="161" spans="1:3">
      <c r="A161" s="2" t="s">
        <v>240</v>
      </c>
      <c r="B161" s="22"/>
    </row>
    <row r="162" spans="1:3">
      <c r="A162" s="2" t="s">
        <v>240</v>
      </c>
      <c r="B162" s="22"/>
    </row>
    <row r="163" spans="1:3">
      <c r="A163" s="2" t="s">
        <v>240</v>
      </c>
      <c r="B163" s="22"/>
    </row>
    <row r="164" spans="1:3">
      <c r="A164" s="2" t="s">
        <v>240</v>
      </c>
      <c r="B164" s="22"/>
    </row>
    <row r="165" spans="1:3">
      <c r="A165" s="72"/>
      <c r="B165" s="72"/>
    </row>
    <row r="166" spans="1:3" ht="75">
      <c r="A166" s="92" t="s">
        <v>248</v>
      </c>
      <c r="B166" s="92"/>
      <c r="C166" s="1" t="s">
        <v>338</v>
      </c>
    </row>
    <row r="167" spans="1:3">
      <c r="A167" s="85" t="s">
        <v>218</v>
      </c>
      <c r="B167" s="85"/>
    </row>
    <row r="168" spans="1:3">
      <c r="A168" s="48" t="s">
        <v>221</v>
      </c>
      <c r="B168" s="22" t="s">
        <v>26</v>
      </c>
    </row>
    <row r="169" spans="1:3">
      <c r="A169" s="48" t="s">
        <v>221</v>
      </c>
      <c r="B169" s="22" t="s">
        <v>188</v>
      </c>
    </row>
    <row r="170" spans="1:3">
      <c r="A170" s="48" t="s">
        <v>221</v>
      </c>
      <c r="B170" s="22"/>
    </row>
    <row r="171" spans="1:3">
      <c r="A171" s="72"/>
      <c r="B171" s="72"/>
    </row>
    <row r="172" spans="1:3" ht="45" customHeight="1">
      <c r="A172" s="73" t="s">
        <v>244</v>
      </c>
      <c r="B172" s="73"/>
      <c r="C172" s="1" t="s">
        <v>339</v>
      </c>
    </row>
    <row r="173" spans="1:3">
      <c r="A173" s="76" t="s">
        <v>31</v>
      </c>
      <c r="B173" s="76"/>
    </row>
    <row r="174" spans="1:3">
      <c r="A174" s="74"/>
      <c r="B174" s="74"/>
    </row>
    <row r="175" spans="1:3" ht="45" customHeight="1">
      <c r="A175" s="73" t="s">
        <v>32</v>
      </c>
      <c r="B175" s="73"/>
      <c r="C175" s="1" t="s">
        <v>340</v>
      </c>
    </row>
    <row r="176" spans="1:3">
      <c r="A176" s="71" t="s">
        <v>245</v>
      </c>
      <c r="B176" s="71"/>
    </row>
    <row r="177" spans="1:3">
      <c r="A177" s="1" t="s">
        <v>33</v>
      </c>
      <c r="B177" s="21" t="s">
        <v>298</v>
      </c>
    </row>
    <row r="178" spans="1:3">
      <c r="A178" s="1" t="s">
        <v>34</v>
      </c>
      <c r="B178" s="21" t="s">
        <v>16</v>
      </c>
    </row>
    <row r="179" spans="1:3">
      <c r="A179" s="72"/>
      <c r="B179" s="72"/>
    </row>
    <row r="180" spans="1:3" ht="90">
      <c r="A180" s="73" t="s">
        <v>35</v>
      </c>
      <c r="B180" s="73"/>
      <c r="C180" s="1" t="s">
        <v>341</v>
      </c>
    </row>
    <row r="181" spans="1:3">
      <c r="A181" s="71" t="s">
        <v>286</v>
      </c>
      <c r="B181" s="71"/>
    </row>
    <row r="182" spans="1:3">
      <c r="A182" s="1" t="s">
        <v>36</v>
      </c>
      <c r="B182" s="21" t="s">
        <v>299</v>
      </c>
    </row>
    <row r="183" spans="1:3">
      <c r="A183" s="1" t="s">
        <v>37</v>
      </c>
      <c r="B183" s="21" t="s">
        <v>299</v>
      </c>
    </row>
    <row r="184" spans="1:3">
      <c r="A184" s="72"/>
      <c r="B184" s="72"/>
    </row>
    <row r="185" spans="1:3" ht="90" customHeight="1">
      <c r="A185" s="73" t="s">
        <v>288</v>
      </c>
      <c r="B185" s="73"/>
    </row>
    <row r="186" spans="1:3">
      <c r="A186" s="71" t="s">
        <v>170</v>
      </c>
      <c r="B186" s="71"/>
    </row>
    <row r="187" spans="1:3">
      <c r="A187" s="50" t="s">
        <v>161</v>
      </c>
      <c r="B187" s="4" t="s">
        <v>313</v>
      </c>
    </row>
    <row r="188" spans="1:3">
      <c r="A188" s="50" t="s">
        <v>246</v>
      </c>
      <c r="B188" s="34" t="s">
        <v>312</v>
      </c>
    </row>
    <row r="189" spans="1:3">
      <c r="A189" s="50" t="s">
        <v>247</v>
      </c>
      <c r="B189" s="4"/>
    </row>
    <row r="190" spans="1:3">
      <c r="A190" s="50" t="s">
        <v>43</v>
      </c>
      <c r="B190" s="4" t="s">
        <v>311</v>
      </c>
    </row>
    <row r="191" spans="1:3">
      <c r="A191" s="72"/>
      <c r="B191" s="72"/>
    </row>
    <row r="192" spans="1:3">
      <c r="A192" s="50" t="s">
        <v>161</v>
      </c>
      <c r="B192" s="4"/>
    </row>
    <row r="193" spans="1:2">
      <c r="A193" s="50" t="s">
        <v>246</v>
      </c>
      <c r="B193" s="34"/>
    </row>
    <row r="194" spans="1:2">
      <c r="A194" s="50" t="s">
        <v>247</v>
      </c>
      <c r="B194" s="4"/>
    </row>
    <row r="195" spans="1:2">
      <c r="A195" s="50" t="s">
        <v>43</v>
      </c>
      <c r="B195" s="4"/>
    </row>
    <row r="196" spans="1:2">
      <c r="A196" s="72"/>
      <c r="B196" s="72"/>
    </row>
    <row r="197" spans="1:2">
      <c r="A197" s="50" t="s">
        <v>161</v>
      </c>
      <c r="B197" s="4"/>
    </row>
    <row r="198" spans="1:2">
      <c r="A198" s="50" t="s">
        <v>246</v>
      </c>
      <c r="B198" s="34"/>
    </row>
    <row r="199" spans="1:2">
      <c r="A199" s="50" t="s">
        <v>247</v>
      </c>
      <c r="B199" s="4"/>
    </row>
    <row r="200" spans="1:2">
      <c r="A200" s="50" t="s">
        <v>43</v>
      </c>
      <c r="B200" s="4"/>
    </row>
    <row r="201" spans="1:2">
      <c r="A201" s="72"/>
      <c r="B201" s="72"/>
    </row>
    <row r="202" spans="1:2">
      <c r="A202" s="50" t="s">
        <v>161</v>
      </c>
      <c r="B202" s="4"/>
    </row>
    <row r="203" spans="1:2">
      <c r="A203" s="50" t="s">
        <v>246</v>
      </c>
      <c r="B203" s="34"/>
    </row>
    <row r="204" spans="1:2">
      <c r="A204" s="50" t="s">
        <v>247</v>
      </c>
      <c r="B204" s="4"/>
    </row>
    <row r="205" spans="1:2">
      <c r="A205" s="50" t="s">
        <v>43</v>
      </c>
      <c r="B205" s="4"/>
    </row>
    <row r="206" spans="1:2">
      <c r="A206" s="72"/>
      <c r="B206" s="72"/>
    </row>
    <row r="207" spans="1:2">
      <c r="A207" s="50" t="s">
        <v>161</v>
      </c>
      <c r="B207" s="4"/>
    </row>
    <row r="208" spans="1:2">
      <c r="A208" s="50" t="s">
        <v>246</v>
      </c>
      <c r="B208" s="34"/>
    </row>
    <row r="209" spans="1:2">
      <c r="A209" s="50" t="s">
        <v>247</v>
      </c>
      <c r="B209" s="4"/>
    </row>
    <row r="210" spans="1:2">
      <c r="A210" s="50" t="s">
        <v>43</v>
      </c>
      <c r="B210" s="4"/>
    </row>
    <row r="211" spans="1:2">
      <c r="A211" s="72"/>
      <c r="B211" s="72"/>
    </row>
    <row r="212" spans="1:2" ht="120" customHeight="1">
      <c r="A212" s="73" t="s">
        <v>297</v>
      </c>
      <c r="B212" s="73"/>
    </row>
    <row r="213" spans="1:2" ht="30">
      <c r="A213" s="1" t="s">
        <v>38</v>
      </c>
      <c r="B213" s="4" t="s">
        <v>39</v>
      </c>
    </row>
    <row r="214" spans="1:2">
      <c r="A214" s="50" t="s">
        <v>246</v>
      </c>
      <c r="B214" s="34" t="s">
        <v>40</v>
      </c>
    </row>
    <row r="215" spans="1:2">
      <c r="A215" s="50" t="s">
        <v>247</v>
      </c>
      <c r="B215" s="4"/>
    </row>
    <row r="216" spans="1:2">
      <c r="A216" s="1" t="s">
        <v>295</v>
      </c>
      <c r="B216" s="4"/>
    </row>
    <row r="217" spans="1:2">
      <c r="A217" s="1" t="s">
        <v>296</v>
      </c>
      <c r="B217" s="4"/>
    </row>
    <row r="218" spans="1:2">
      <c r="A218" s="1" t="s">
        <v>43</v>
      </c>
      <c r="B218" s="4" t="s">
        <v>289</v>
      </c>
    </row>
    <row r="219" spans="1:2">
      <c r="A219" s="72"/>
      <c r="B219" s="72"/>
    </row>
    <row r="220" spans="1:2" ht="30">
      <c r="A220" s="1" t="s">
        <v>38</v>
      </c>
      <c r="B220" s="4" t="s">
        <v>41</v>
      </c>
    </row>
    <row r="221" spans="1:2">
      <c r="A221" s="50" t="s">
        <v>246</v>
      </c>
      <c r="B221" s="34" t="s">
        <v>42</v>
      </c>
    </row>
    <row r="222" spans="1:2">
      <c r="A222" s="50" t="s">
        <v>247</v>
      </c>
      <c r="B222" s="4"/>
    </row>
    <row r="223" spans="1:2">
      <c r="A223" s="1" t="s">
        <v>295</v>
      </c>
      <c r="B223" s="4"/>
    </row>
    <row r="224" spans="1:2">
      <c r="A224" s="1" t="s">
        <v>296</v>
      </c>
      <c r="B224" s="4"/>
    </row>
    <row r="225" spans="1:2">
      <c r="A225" s="1" t="s">
        <v>43</v>
      </c>
      <c r="B225" s="4" t="s">
        <v>290</v>
      </c>
    </row>
    <row r="226" spans="1:2">
      <c r="A226" s="72"/>
      <c r="B226" s="72"/>
    </row>
    <row r="227" spans="1:2" ht="30">
      <c r="A227" s="1" t="s">
        <v>38</v>
      </c>
      <c r="B227" s="4" t="s">
        <v>44</v>
      </c>
    </row>
    <row r="228" spans="1:2">
      <c r="A228" s="50" t="s">
        <v>246</v>
      </c>
      <c r="B228" s="34" t="s">
        <v>45</v>
      </c>
    </row>
    <row r="229" spans="1:2">
      <c r="A229" s="50" t="s">
        <v>247</v>
      </c>
      <c r="B229" s="4"/>
    </row>
    <row r="230" spans="1:2">
      <c r="A230" s="1" t="s">
        <v>295</v>
      </c>
      <c r="B230" s="4"/>
    </row>
    <row r="231" spans="1:2">
      <c r="A231" s="1" t="s">
        <v>296</v>
      </c>
      <c r="B231" s="4"/>
    </row>
    <row r="232" spans="1:2">
      <c r="A232" s="1" t="s">
        <v>43</v>
      </c>
      <c r="B232" s="4" t="s">
        <v>291</v>
      </c>
    </row>
    <row r="233" spans="1:2">
      <c r="A233" s="72"/>
      <c r="B233" s="72"/>
    </row>
    <row r="234" spans="1:2" ht="30">
      <c r="A234" s="1" t="s">
        <v>38</v>
      </c>
      <c r="B234" s="4" t="s">
        <v>46</v>
      </c>
    </row>
    <row r="235" spans="1:2">
      <c r="A235" s="50" t="s">
        <v>246</v>
      </c>
      <c r="B235" s="34" t="s">
        <v>47</v>
      </c>
    </row>
    <row r="236" spans="1:2">
      <c r="A236" s="50" t="s">
        <v>247</v>
      </c>
      <c r="B236" s="4"/>
    </row>
    <row r="237" spans="1:2">
      <c r="A237" s="1" t="s">
        <v>295</v>
      </c>
      <c r="B237" s="4"/>
    </row>
    <row r="238" spans="1:2">
      <c r="A238" s="1" t="s">
        <v>296</v>
      </c>
      <c r="B238" s="4"/>
    </row>
    <row r="239" spans="1:2">
      <c r="A239" s="1" t="s">
        <v>43</v>
      </c>
      <c r="B239" s="4" t="s">
        <v>290</v>
      </c>
    </row>
    <row r="240" spans="1:2">
      <c r="A240" s="72"/>
      <c r="B240" s="72"/>
    </row>
    <row r="241" spans="1:2">
      <c r="A241" s="1" t="s">
        <v>38</v>
      </c>
      <c r="B241" s="4" t="s">
        <v>48</v>
      </c>
    </row>
    <row r="242" spans="1:2">
      <c r="A242" s="50" t="s">
        <v>246</v>
      </c>
      <c r="B242" s="34" t="s">
        <v>49</v>
      </c>
    </row>
    <row r="243" spans="1:2">
      <c r="A243" s="50" t="s">
        <v>247</v>
      </c>
      <c r="B243" s="4"/>
    </row>
    <row r="244" spans="1:2">
      <c r="A244" s="1" t="s">
        <v>295</v>
      </c>
      <c r="B244" s="4"/>
    </row>
    <row r="245" spans="1:2">
      <c r="A245" s="1" t="s">
        <v>296</v>
      </c>
      <c r="B245" s="4"/>
    </row>
    <row r="246" spans="1:2">
      <c r="A246" s="1" t="s">
        <v>43</v>
      </c>
      <c r="B246" s="4" t="s">
        <v>292</v>
      </c>
    </row>
    <row r="247" spans="1:2">
      <c r="A247" s="72"/>
      <c r="B247" s="72"/>
    </row>
    <row r="248" spans="1:2" ht="30">
      <c r="A248" s="1" t="s">
        <v>38</v>
      </c>
      <c r="B248" s="4" t="s">
        <v>50</v>
      </c>
    </row>
    <row r="249" spans="1:2">
      <c r="A249" s="50" t="s">
        <v>246</v>
      </c>
      <c r="B249" s="34" t="s">
        <v>51</v>
      </c>
    </row>
    <row r="250" spans="1:2">
      <c r="A250" s="50" t="s">
        <v>247</v>
      </c>
      <c r="B250" s="4"/>
    </row>
    <row r="251" spans="1:2">
      <c r="A251" s="1" t="s">
        <v>295</v>
      </c>
      <c r="B251" s="4"/>
    </row>
    <row r="252" spans="1:2">
      <c r="A252" s="1" t="s">
        <v>296</v>
      </c>
      <c r="B252" s="4"/>
    </row>
    <row r="253" spans="1:2">
      <c r="A253" s="1" t="s">
        <v>43</v>
      </c>
      <c r="B253" s="4" t="s">
        <v>290</v>
      </c>
    </row>
    <row r="254" spans="1:2">
      <c r="A254" s="72"/>
      <c r="B254" s="72"/>
    </row>
    <row r="255" spans="1:2">
      <c r="A255" s="1" t="s">
        <v>38</v>
      </c>
      <c r="B255" s="4" t="s">
        <v>52</v>
      </c>
    </row>
    <row r="256" spans="1:2">
      <c r="A256" s="50" t="s">
        <v>246</v>
      </c>
      <c r="B256" s="34" t="s">
        <v>53</v>
      </c>
    </row>
    <row r="257" spans="1:2">
      <c r="A257" s="50" t="s">
        <v>247</v>
      </c>
      <c r="B257" s="4"/>
    </row>
    <row r="258" spans="1:2">
      <c r="A258" s="1" t="s">
        <v>295</v>
      </c>
      <c r="B258" s="4"/>
    </row>
    <row r="259" spans="1:2">
      <c r="A259" s="1" t="s">
        <v>296</v>
      </c>
      <c r="B259" s="4"/>
    </row>
    <row r="260" spans="1:2">
      <c r="A260" s="1" t="s">
        <v>43</v>
      </c>
      <c r="B260" s="4" t="s">
        <v>293</v>
      </c>
    </row>
    <row r="261" spans="1:2">
      <c r="A261" s="72"/>
      <c r="B261" s="72"/>
    </row>
    <row r="262" spans="1:2" ht="30">
      <c r="A262" s="1" t="s">
        <v>38</v>
      </c>
      <c r="B262" s="4" t="s">
        <v>54</v>
      </c>
    </row>
    <row r="263" spans="1:2">
      <c r="A263" s="50" t="s">
        <v>246</v>
      </c>
      <c r="B263" s="34" t="s">
        <v>55</v>
      </c>
    </row>
    <row r="264" spans="1:2">
      <c r="A264" s="50" t="s">
        <v>247</v>
      </c>
      <c r="B264" s="4"/>
    </row>
    <row r="265" spans="1:2">
      <c r="A265" s="1" t="s">
        <v>295</v>
      </c>
      <c r="B265" s="4"/>
    </row>
    <row r="266" spans="1:2">
      <c r="A266" s="1" t="s">
        <v>296</v>
      </c>
      <c r="B266" s="4"/>
    </row>
    <row r="267" spans="1:2">
      <c r="A267" s="1" t="s">
        <v>43</v>
      </c>
      <c r="B267" s="4" t="s">
        <v>290</v>
      </c>
    </row>
    <row r="268" spans="1:2">
      <c r="A268" s="72"/>
      <c r="B268" s="72"/>
    </row>
    <row r="269" spans="1:2" ht="30">
      <c r="A269" s="1" t="s">
        <v>38</v>
      </c>
      <c r="B269" s="4" t="s">
        <v>56</v>
      </c>
    </row>
    <row r="270" spans="1:2">
      <c r="A270" s="50" t="s">
        <v>246</v>
      </c>
      <c r="B270" s="4"/>
    </row>
    <row r="271" spans="1:2">
      <c r="A271" s="50" t="s">
        <v>247</v>
      </c>
      <c r="B271" s="34" t="s">
        <v>57</v>
      </c>
    </row>
    <row r="272" spans="1:2">
      <c r="A272" s="1" t="s">
        <v>295</v>
      </c>
      <c r="B272" s="4"/>
    </row>
    <row r="273" spans="1:2">
      <c r="A273" s="1" t="s">
        <v>296</v>
      </c>
      <c r="B273" s="4"/>
    </row>
    <row r="274" spans="1:2">
      <c r="A274" s="1" t="s">
        <v>43</v>
      </c>
      <c r="B274" s="4" t="s">
        <v>294</v>
      </c>
    </row>
  </sheetData>
  <mergeCells count="100">
    <mergeCell ref="D52:D59"/>
    <mergeCell ref="C90:C92"/>
    <mergeCell ref="A85:B85"/>
    <mergeCell ref="A86:B86"/>
    <mergeCell ref="A87:B87"/>
    <mergeCell ref="A101:B101"/>
    <mergeCell ref="A108:B108"/>
    <mergeCell ref="A172:B172"/>
    <mergeCell ref="A153:B153"/>
    <mergeCell ref="A174:B174"/>
    <mergeCell ref="A136:B136"/>
    <mergeCell ref="A143:B143"/>
    <mergeCell ref="A150:B150"/>
    <mergeCell ref="A115:B115"/>
    <mergeCell ref="A122:B122"/>
    <mergeCell ref="A129:B129"/>
    <mergeCell ref="A185:B185"/>
    <mergeCell ref="A179:B179"/>
    <mergeCell ref="A180:B180"/>
    <mergeCell ref="A184:B184"/>
    <mergeCell ref="A155:B155"/>
    <mergeCell ref="A176:B176"/>
    <mergeCell ref="A181:B181"/>
    <mergeCell ref="A166:B166"/>
    <mergeCell ref="A4:B4"/>
    <mergeCell ref="A76:B76"/>
    <mergeCell ref="A154:B154"/>
    <mergeCell ref="A71:B71"/>
    <mergeCell ref="A64:B64"/>
    <mergeCell ref="A13:B13"/>
    <mergeCell ref="A57:B57"/>
    <mergeCell ref="A63:B63"/>
    <mergeCell ref="A65:B65"/>
    <mergeCell ref="A14:B14"/>
    <mergeCell ref="A152:B152"/>
    <mergeCell ref="A9:B9"/>
    <mergeCell ref="A12:B12"/>
    <mergeCell ref="A22:B22"/>
    <mergeCell ref="A26:B26"/>
    <mergeCell ref="A35:B35"/>
    <mergeCell ref="A6:B6"/>
    <mergeCell ref="A54:B54"/>
    <mergeCell ref="A58:B58"/>
    <mergeCell ref="A77:B77"/>
    <mergeCell ref="A167:B167"/>
    <mergeCell ref="A39:B39"/>
    <mergeCell ref="A30:B30"/>
    <mergeCell ref="A43:B43"/>
    <mergeCell ref="A47:B47"/>
    <mergeCell ref="A56:B56"/>
    <mergeCell ref="A61:B61"/>
    <mergeCell ref="A68:B68"/>
    <mergeCell ref="A73:B73"/>
    <mergeCell ref="A81:B81"/>
    <mergeCell ref="A84:B84"/>
    <mergeCell ref="A151:B151"/>
    <mergeCell ref="A1:B1"/>
    <mergeCell ref="A8:B8"/>
    <mergeCell ref="A7:B7"/>
    <mergeCell ref="A18:B18"/>
    <mergeCell ref="A70:B70"/>
    <mergeCell ref="A2:B2"/>
    <mergeCell ref="A69:B69"/>
    <mergeCell ref="A59:B59"/>
    <mergeCell ref="A3:B3"/>
    <mergeCell ref="A53:B53"/>
    <mergeCell ref="A55:B55"/>
    <mergeCell ref="A52:B52"/>
    <mergeCell ref="A34:B34"/>
    <mergeCell ref="A5:B5"/>
    <mergeCell ref="A31:B31"/>
    <mergeCell ref="A62:B62"/>
    <mergeCell ref="A219:B219"/>
    <mergeCell ref="A226:B226"/>
    <mergeCell ref="A212:B212"/>
    <mergeCell ref="A51:B51"/>
    <mergeCell ref="A80:B80"/>
    <mergeCell ref="A79:B79"/>
    <mergeCell ref="A82:B82"/>
    <mergeCell ref="A83:B83"/>
    <mergeCell ref="A94:B94"/>
    <mergeCell ref="A175:B175"/>
    <mergeCell ref="A60:B60"/>
    <mergeCell ref="A173:B173"/>
    <mergeCell ref="A165:B165"/>
    <mergeCell ref="A78:B78"/>
    <mergeCell ref="A171:B171"/>
    <mergeCell ref="A72:B72"/>
    <mergeCell ref="A268:B268"/>
    <mergeCell ref="A254:B254"/>
    <mergeCell ref="A261:B261"/>
    <mergeCell ref="A233:B233"/>
    <mergeCell ref="A240:B240"/>
    <mergeCell ref="A247:B247"/>
    <mergeCell ref="A186:B186"/>
    <mergeCell ref="A196:B196"/>
    <mergeCell ref="A211:B211"/>
    <mergeCell ref="A201:B201"/>
    <mergeCell ref="A206:B206"/>
    <mergeCell ref="A191:B191"/>
  </mergeCells>
  <phoneticPr fontId="11" type="noConversion"/>
  <dataValidations count="9">
    <dataValidation type="list" allowBlank="1" showInputMessage="1" showErrorMessage="1" sqref="A6:B6" xr:uid="{A659C5B7-96A5-4D8F-900C-3DA301B533A2}">
      <formula1>"Collection, Dataset"</formula1>
    </dataValidation>
    <dataValidation type="list" allowBlank="1" showInputMessage="1" showErrorMessage="1" sqref="B178" xr:uid="{A92224FF-B233-414C-9475-E3B3BC813AFF}">
      <formula1>"CC-BY, CC-BY-SA, CC-BY-ND, CC-BY-NC, CC-BY-NC-SA, CC-BY-NC-ND, CC0, Other"</formula1>
    </dataValidation>
    <dataValidation type="list" allowBlank="1" showInputMessage="1" showErrorMessage="1" sqref="B183" xr:uid="{02CD1A6E-8D0C-4397-927A-3592DAE664FE}">
      <formula1>"Open, Conditional, Restricted, Embargoed"</formula1>
    </dataValidation>
    <dataValidation type="list" allowBlank="1" showInputMessage="1" showErrorMessage="1" sqref="B75" xr:uid="{9E7FF699-D8E1-463F-B146-C33E50BD0412}">
      <formula1>"DCMI Point, GML KML coordinates, GPX, ISO 3166-1, ISO 3166-2, ISO 3166-3, DCMI Box, KML coordinates, Other"</formula1>
    </dataValidation>
    <dataValidation type="list" allowBlank="1" showInputMessage="1" showErrorMessage="1" sqref="B274 B225 B232 B239 B246 B253 B260 B267 B218" xr:uid="{404B88C6-3E37-4352-A179-7562540C4B76}">
      <formula1>"Is cited by, Is referenced by, Is documented by, Is supplemented by, Is supplement to, Is reviewed by, Is supported by"</formula1>
    </dataValidation>
    <dataValidation type="list" allowBlank="1" showInputMessage="1" showErrorMessage="1" sqref="B17 B21 B25 B29" xr:uid="{12E33599-11D0-49FB-B291-44366368E3C4}">
      <formula1>"Owner, Manager, Collector, Enricher, Associated"</formula1>
    </dataValidation>
    <dataValidation type="list" allowBlank="1" showInputMessage="1" showErrorMessage="1" sqref="B38 B42 B46 B50" xr:uid="{7BFAC816-DD71-442F-8A08-680952692082}">
      <formula1>"Output, Associated"</formula1>
    </dataValidation>
    <dataValidation type="list" allowBlank="1" showInputMessage="1" showErrorMessage="1" sqref="B93 B142 B100 B107 B114 B121 B128 B135 B149" xr:uid="{6EAC7ABF-004B-4F18-8607-0BF19B87E3C4}">
      <formula1>"Principal Investigator, Collector, Enricher, Associated"</formula1>
    </dataValidation>
    <dataValidation type="list" allowBlank="1" showInputMessage="1" showErrorMessage="1" sqref="B190 B205 B195 B200 B210" xr:uid="{1C3F4062-B999-428C-9D6E-5595B09923AB}">
      <formula1>"Has part, Is part of, Has derived collection, Is derived from, Has version, Is version of, Associated"</formula1>
    </dataValidation>
  </dataValidations>
  <hyperlinks>
    <hyperlink ref="B214" r:id="rId1" xr:uid="{E74F6146-FBBB-431B-8E92-834494CF4279}"/>
    <hyperlink ref="A9:B9" r:id="rId2" display="Click here to search the Research Organization Registry (ROR)." xr:uid="{94E0597E-41CA-4A6F-A392-E761BBF14C0B}"/>
    <hyperlink ref="A14:B14" r:id="rId3" display="Click here to search the Research Organization Registry (ROR)." xr:uid="{4443C1F3-BD2D-48A1-9BF0-770D8A1B778C}"/>
    <hyperlink ref="B11" r:id="rId4" xr:uid="{784E7DE5-63F8-4807-BA70-CAABA58314C2}"/>
    <hyperlink ref="A56:B56" r:id="rId5" display="Click here to learn more about the Handle.Net Registry." xr:uid="{D97CE782-22BA-4296-AE05-2C981CDC82C4}"/>
    <hyperlink ref="A73:B73" location="Explanations!A1" display="Click here to learn more about the 'Spatial coverage types' on the Explanations sheet." xr:uid="{BBAC51A1-BDD2-4B33-863D-F982EEC4ED56}"/>
    <hyperlink ref="A81:B81" r:id="rId6" display="Click here to learn more about the spatial coverage types on the Explanations worksheet." xr:uid="{0579FDD5-4A73-4EF0-8721-ECC1FD2F8441}"/>
    <hyperlink ref="A85:B85" r:id="rId7" display="Click here to learn more about GRDC RD&amp;E Data Capture and Storage - Guidelines for Research Partners." xr:uid="{DCF81A8B-ED5A-4B1F-92EA-44B0243B194E}"/>
    <hyperlink ref="A86:B86" r:id="rId8" display="Click here to search for a Scopus Author ID." xr:uid="{89246F06-C1FB-4DFA-B688-F0A0B8F3DD7C}"/>
    <hyperlink ref="A87:B87" r:id="rId9" display="Click here to search for a Thomson Reuters Researcher ID." xr:uid="{A1F8A623-2915-4C87-BB7F-E0DC2B845485}"/>
    <hyperlink ref="A167:B167" r:id="rId10" location="data-downloads" display="Click here to access the 2020 ANZSRC FoR classification allows R&amp;D activity to be categorised according to the field of research. In this respect, it is the methodology used in the R&amp;D that is being considered.." xr:uid="{5D4F0707-20B4-4466-AD70-7CC7780BDCFF}"/>
    <hyperlink ref="A155:B155" r:id="rId11" display="Click here to search ." xr:uid="{638C7C02-5FD3-4CB4-8AD8-E83F8F1B2190}"/>
    <hyperlink ref="A176:B176" r:id="rId12" display="Click here to use Creative Commons tools to help share your work." xr:uid="{8AB62610-2542-47F3-93BE-6B4E4A8840F6}"/>
    <hyperlink ref="A186:B186" r:id="rId13" display="Click here to learn more about the Handle.Net Registry." xr:uid="{F6342C29-A2C2-42FE-80E1-FA70F5E32BE8}"/>
    <hyperlink ref="A181:B181" r:id="rId14" display="Click here to learn more about the spatial coverage types on the Explanations worksheet." xr:uid="{77CF80A0-6DC9-49C5-BE91-2394C1D7E7E9}"/>
    <hyperlink ref="B221" r:id="rId15" xr:uid="{F4882F4D-5142-4EC5-BF65-B63AB2DBE8C3}"/>
    <hyperlink ref="B228" r:id="rId16" xr:uid="{A504153E-D008-49AA-A4E9-705C7DBD811B}"/>
    <hyperlink ref="B256" r:id="rId17" xr:uid="{6D3DFD37-D924-4657-A62E-DFE19B545557}"/>
    <hyperlink ref="B271" r:id="rId18" xr:uid="{1C63F50A-5A83-4CDD-B69A-55A4084F7B55}"/>
    <hyperlink ref="A57" r:id="rId19" xr:uid="{C18E5D47-3E06-41D3-8E7F-6D0864490553}"/>
    <hyperlink ref="A152" r:id="rId20" display="data.catalogue@grdc.com.au" xr:uid="{D42BAFC2-7070-4A50-8B2F-E9367CD86F2F}"/>
    <hyperlink ref="B16" r:id="rId21" xr:uid="{5DE45276-33D7-497B-AA61-16F600AB77DF}"/>
    <hyperlink ref="B90" r:id="rId22" display="https://orcid.org/0000-0003-0105-875X" xr:uid="{23431384-63C7-421C-A891-D90F32AB9901}"/>
    <hyperlink ref="B97" r:id="rId23" display="https://orcid.org/0000-0002-6710-1792" xr:uid="{8C74AB06-1A74-4123-AB38-18817E186F94}"/>
    <hyperlink ref="B104" r:id="rId24" display="https://orcid.org/0000-0002-9680-6644" xr:uid="{20C52E19-2516-401C-B5FD-A406042930A5}"/>
  </hyperlinks>
  <pageMargins left="0.7" right="0.7" top="0.75" bottom="0.75" header="0.3" footer="0.3"/>
  <pageSetup paperSize="9" orientation="portrait" r:id="rId25"/>
  <extLst>
    <ext xmlns:x14="http://schemas.microsoft.com/office/spreadsheetml/2009/9/main" uri="{CCE6A557-97BC-4b89-ADB6-D9C93CAAB3DF}">
      <x14:dataValidations xmlns:xm="http://schemas.microsoft.com/office/excel/2006/main" count="1">
        <x14:dataValidation type="list" allowBlank="1" showInputMessage="1" xr:uid="{970D829D-6E5D-4C64-B8D4-14F0E6FE7BB5}">
          <x14:formula1>
            <xm:f>'FoR codes'!$C$4:$C$39</xm:f>
          </x14:formula1>
          <xm:sqref>B168:B170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D55EA-92A6-455B-8E02-A6C4B0A6C460}">
  <dimension ref="A1:D769"/>
  <sheetViews>
    <sheetView zoomScaleNormal="100" workbookViewId="0">
      <selection sqref="A1:B1"/>
    </sheetView>
  </sheetViews>
  <sheetFormatPr defaultRowHeight="15"/>
  <cols>
    <col min="1" max="1" width="26" style="3" bestFit="1" customWidth="1"/>
    <col min="2" max="2" width="62.28515625" style="5" bestFit="1" customWidth="1"/>
    <col min="3" max="3" width="15.85546875" bestFit="1" customWidth="1"/>
    <col min="4" max="4" width="69.42578125" customWidth="1"/>
  </cols>
  <sheetData>
    <row r="1" spans="1:4" s="1" customFormat="1" ht="19.5">
      <c r="A1" s="95" t="s">
        <v>58</v>
      </c>
      <c r="B1" s="95"/>
      <c r="C1" s="66"/>
      <c r="D1" s="32"/>
    </row>
    <row r="2" spans="1:4">
      <c r="A2" s="3" t="s">
        <v>59</v>
      </c>
      <c r="D2" t="str">
        <f>LEFT(A2,FIND("&gt;",A2)-1)&amp;IF(B3&lt;&gt;""," "&amp;A3&amp;"="&amp;""""&amp;B3&amp;"""","")&amp;MID(A2,FIND("&gt;",A2),FIND("&gt;",A2))</f>
        <v>&lt;registryObject group="The University of Sydney"&gt;</v>
      </c>
    </row>
    <row r="3" spans="1:4">
      <c r="A3" s="26" t="s">
        <v>60</v>
      </c>
      <c r="B3" s="6" t="str">
        <f>IF(Form!B10&lt;&gt;"",Form!B10,"")</f>
        <v>The University of Sydney</v>
      </c>
      <c r="C3" s="67" t="s">
        <v>61</v>
      </c>
    </row>
    <row r="4" spans="1:4">
      <c r="A4"/>
      <c r="B4"/>
    </row>
    <row r="5" spans="1:4" s="1" customFormat="1" ht="18" thickBot="1">
      <c r="A5" s="96" t="s">
        <v>62</v>
      </c>
      <c r="B5" s="96"/>
      <c r="D5" s="3"/>
    </row>
    <row r="6" spans="1:4" ht="15.75" thickTop="1">
      <c r="A6" s="9" t="s">
        <v>63</v>
      </c>
      <c r="B6" s="30"/>
      <c r="C6" t="s">
        <v>64</v>
      </c>
      <c r="D6" t="str">
        <f>"    "&amp;A6&amp;IF(B6&lt;&gt;"",B6,"")&amp;LEFT(A6,FIND("&lt;",A6))&amp;"/"&amp;MID(A6,FIND("&lt;",A6)+1,FIND("&gt;",A6))</f>
        <v xml:space="preserve">    &lt;key&gt;&lt;/key&gt;</v>
      </c>
    </row>
    <row r="7" spans="1:4">
      <c r="A7"/>
      <c r="B7"/>
    </row>
    <row r="8" spans="1:4" s="1" customFormat="1" ht="18" thickBot="1">
      <c r="A8" s="96" t="s">
        <v>65</v>
      </c>
      <c r="B8" s="96"/>
      <c r="C8"/>
      <c r="D8" s="3"/>
    </row>
    <row r="9" spans="1:4" ht="15.75" thickTop="1">
      <c r="A9" s="9" t="s">
        <v>66</v>
      </c>
      <c r="B9" s="31"/>
      <c r="C9" t="s">
        <v>67</v>
      </c>
      <c r="D9" t="str">
        <f>"    "&amp;LEFT(A9,FIND("&gt;",A9)-1)&amp;IF(B10&lt;&gt;""," "&amp;A10&amp;"="&amp;""""&amp;B10&amp;"""","")&amp;MID(A9,FIND("&gt;",A9),FIND("&gt;",A9))&amp;IF(B9&lt;&gt;"",B9,"")&amp;LEFT(A9,FIND("&lt;",A9))&amp;"/"&amp;MID(A9,FIND("&lt;",A9)+1,FIND("&gt;",A9))</f>
        <v xml:space="preserve">    &lt;originatingSource&gt;&lt;/originatingSource&gt;</v>
      </c>
    </row>
    <row r="10" spans="1:4">
      <c r="A10" s="10" t="s">
        <v>68</v>
      </c>
      <c r="B10" s="30"/>
      <c r="C10" t="s">
        <v>69</v>
      </c>
    </row>
    <row r="11" spans="1:4">
      <c r="A11"/>
      <c r="B11"/>
    </row>
    <row r="12" spans="1:4" s="1" customFormat="1" ht="18" thickBot="1">
      <c r="A12" s="96" t="s">
        <v>2</v>
      </c>
      <c r="B12" s="96"/>
      <c r="C12"/>
      <c r="D12" s="3"/>
    </row>
    <row r="13" spans="1:4" ht="15.75" thickTop="1">
      <c r="A13" s="9" t="s">
        <v>70</v>
      </c>
      <c r="D13" t="str">
        <f>"    "&amp;LEFT(A13,FIND("&gt;",A13)-1)&amp;IF(B14&lt;&gt;""," "&amp;A14&amp;"="&amp;""""&amp;B14&amp;"""","")&amp;IF(B15&lt;&gt;""," "&amp;A15&amp;"="&amp;""""&amp;B15&amp;"""","")&amp;IF(B16&lt;&gt;""," "&amp;A16&amp;"="&amp;""""&amp;B16&amp;"""","")&amp;MID(A13,FIND("&gt;",A13),FIND("&gt;",A13))</f>
        <v xml:space="preserve">    &lt;collection type="collection"&gt;</v>
      </c>
    </row>
    <row r="14" spans="1:4">
      <c r="A14" s="10" t="s">
        <v>68</v>
      </c>
      <c r="B14" s="6" t="str">
        <f>IF(Form!A6&lt;&gt;"",LOWER(Form!A6),"")</f>
        <v>collection</v>
      </c>
      <c r="C14" s="67" t="s">
        <v>71</v>
      </c>
    </row>
    <row r="15" spans="1:4">
      <c r="A15" s="10" t="s">
        <v>72</v>
      </c>
      <c r="B15" s="30"/>
      <c r="C15" t="s">
        <v>73</v>
      </c>
    </row>
    <row r="16" spans="1:4">
      <c r="A16" s="10" t="s">
        <v>74</v>
      </c>
      <c r="B16" s="30"/>
      <c r="C16" t="s">
        <v>75</v>
      </c>
    </row>
    <row r="17" spans="1:4">
      <c r="A17"/>
      <c r="B17"/>
    </row>
    <row r="18" spans="1:4" s="1" customFormat="1" ht="15.75" thickBot="1">
      <c r="A18" s="94" t="s">
        <v>76</v>
      </c>
      <c r="B18" s="94"/>
      <c r="D18" s="3"/>
    </row>
    <row r="19" spans="1:4">
      <c r="A19" s="11" t="s">
        <v>77</v>
      </c>
      <c r="D19" t="str">
        <f>IF(B21&lt;&gt;"","    "&amp;"    "&amp;LEFT(A19,FIND("&gt;",A19)-1)&amp;IF(B20&lt;&gt;""," "&amp;A20&amp;"="&amp;""""&amp;B20&amp;"""","")&amp;MID(A19,FIND("&gt;",A19),FIND("&gt;",A19)),"")</f>
        <v xml:space="preserve">        &lt;name type="primary"&gt;</v>
      </c>
    </row>
    <row r="20" spans="1:4">
      <c r="A20" s="12" t="s">
        <v>68</v>
      </c>
      <c r="B20" s="6" t="str">
        <f>IF(Form!A3&lt;&gt;"","primary","")</f>
        <v>primary</v>
      </c>
      <c r="C20" s="67" t="s">
        <v>78</v>
      </c>
    </row>
    <row r="21" spans="1:4">
      <c r="A21" s="13" t="s">
        <v>79</v>
      </c>
      <c r="B21" s="7" t="str">
        <f>IF(Form!A3&lt;&gt;"",Form!A3,"")</f>
        <v>Assessment of heat tolerance on wheat</v>
      </c>
      <c r="C21" s="67" t="s">
        <v>78</v>
      </c>
      <c r="D21" t="str">
        <f>IF(B21&lt;&gt;"","    "&amp;"    "&amp;"    "&amp;A21&amp;B21&amp;LEFT(A21,FIND("&lt;",A21))&amp;"/"&amp;MID(A21,FIND("&lt;",A21)+1,FIND("&gt;",A21)),"")</f>
        <v xml:space="preserve">            &lt;namePart&gt;Assessment of heat tolerance on wheat&lt;/namePart&gt;</v>
      </c>
    </row>
    <row r="22" spans="1:4">
      <c r="A22"/>
      <c r="B22"/>
      <c r="D22" t="str">
        <f>IF(B21&lt;&gt;"","    "&amp;"    "&amp;LEFT(A19,FIND("&lt;",A19))&amp;"/"&amp;MID(A19,FIND("&lt;",A19)+1,FIND("&gt;",A19)),"")</f>
        <v xml:space="preserve">        &lt;/name&gt;</v>
      </c>
    </row>
    <row r="23" spans="1:4" s="1" customFormat="1" ht="15.75" thickBot="1">
      <c r="A23" s="94" t="s">
        <v>80</v>
      </c>
      <c r="B23" s="94"/>
      <c r="D23"/>
    </row>
    <row r="24" spans="1:4" ht="15" customHeight="1">
      <c r="A24" s="11" t="s">
        <v>81</v>
      </c>
      <c r="B24" s="7" t="str">
        <f>IF(Form!A78&lt;&gt;"",SUBSTITUTE(Form!A78,CHAR(10)," "),"")</f>
        <v xml:space="preserve">Field wheat data collected at three locations at two times of sowing both in season and post harvest.  Weather data collected at each site, genotypes are available for all materials as are pedigrees. </v>
      </c>
      <c r="C24" s="67" t="s">
        <v>82</v>
      </c>
      <c r="D24" t="str">
        <f>IF(B24&lt;&gt;"","    "&amp;"    "&amp;LEFT(A24,FIND("&gt;",A24)-1)&amp;IF(B25&lt;&gt;""," "&amp;A25&amp;"="&amp;""""&amp;B25&amp;"""","")&amp;MID(A24,FIND("&gt;",A24),FIND("&gt;",A24))&amp;B24&amp;LEFT(A24,FIND("&lt;",A24))&amp;"/"&amp;MID(A24,FIND("&lt;",A24)+1,FIND("&gt;",A24)),"")</f>
        <v xml:space="preserve">        &lt;description type="brief"&gt;Field wheat data collected at three locations at two times of sowing both in season and post harvest.  Weather data collected at each site, genotypes are available for all materials as are pedigrees. &lt;/description&gt;</v>
      </c>
    </row>
    <row r="25" spans="1:4">
      <c r="A25" s="12" t="s">
        <v>68</v>
      </c>
      <c r="B25" s="6" t="str">
        <f>IF(Form!A78&lt;&gt;"","brief","")</f>
        <v>brief</v>
      </c>
      <c r="C25" s="67" t="s">
        <v>82</v>
      </c>
    </row>
    <row r="26" spans="1:4" ht="15" customHeight="1">
      <c r="A26" s="11" t="s">
        <v>81</v>
      </c>
      <c r="B26" s="7" t="str">
        <f>IF(Form!A82&lt;&gt;"",SUBSTITUTE(Form!A82,CHAR(10)," "),"")</f>
        <v>Wheat phenotype traits, genotype based on 90K SNP Chip and site environmental data collected at Narrabri, Merredin and Horsham at 2 different time of sowing (TOS1 and TOS2) from 2016 to 2020.  Phenotypic traits included  Days to Heading (DTH) measured in days Days to Maturity (DTM) measured in days Yield as t/ha Protein measured as a percentage Plant Height in cm Test weight in kg/hL Screenings in percentage Thousand Kernel Weight in grams  Experimental design was an RCB with two replications arranged in a regular grid for each time of sowing. Different numbers of lines and traits were tested at each site and year and details can be found in individual data sets files.  Average maximum and minimum temperature and rainfall for all years were accessed from the Narrabri Airport (4.5 km SSE of experimental site) permanent weather station and climatic data extracted from the Bureau of Meteorology (http://www.bom.gov.au/climate/data/) online database. Weather data for 2016-2020 was collected via a portable weather station located on-farm within 500 m of the experimental sites. Long-term average maximum and minimum temperature and rainfall for the experimental site was collected from the Bureau of Meteorology Climate data online facility (http://www.bom.gov.au/climate/data/).</v>
      </c>
      <c r="C26" s="33" t="s">
        <v>83</v>
      </c>
      <c r="D26" t="str">
        <f>IF(B26&lt;&gt;"","    "&amp;"    "&amp;LEFT(A26,FIND("&gt;",A26)-1)&amp;IF(B27&lt;&gt;""," "&amp;A27&amp;"="&amp;""""&amp;B27&amp;"""","")&amp;MID(A26,FIND("&gt;",A26),FIND("&gt;",A26))&amp;B26&amp;LEFT(A26,FIND("&lt;",A26))&amp;"/"&amp;MID(A26,FIND("&lt;",A26)+1,FIND("&gt;",A26)),"")</f>
        <v xml:space="preserve">        &lt;description type="full"&gt;Wheat phenotype traits, genotype based on 90K SNP Chip and site environmental data collected at Narrabri, Merredin and Horsham at 2 different time of sowing (TOS1 and TOS2) from 2016 to 2020.  Phenotypic traits included  Days to Heading (DTH) measured in days Days to Maturity (DTM) measured in days Yield as t/ha Protein measured as a percentage Plant Height in cm Test weight in kg/hL Screenings in percentage Thousand Kernel Weight in grams  Experimental design was an RCB with two replications arranged in a regular grid for each time of sowing. Different numbers of lines and traits were tested at each site and year and details can be found in individual data sets files.  Average maximum and minimum temperature and rainfall for all years were accessed from the Narrabri Airport (4.5 km SSE of experimental site) permanent weather station and climatic data extracted from the Bureau of Meteorology (http://www.bom.gov.au/climate/data/) online database. Weather data for 2016-2020 was collected via a portable weather station located on-farm within 500 m of the experimental sites. Long-term average maximum and minimum temperature and rainfall for the experimental site was collected from the Bureau of Meteorology Climate data online facility (http://www.bom.gov.au/climate/data/).&lt;/description&gt;</v>
      </c>
    </row>
    <row r="27" spans="1:4">
      <c r="A27" s="12" t="s">
        <v>68</v>
      </c>
      <c r="B27" s="6" t="str">
        <f>IF(Form!A82&lt;&gt;"","full","")</f>
        <v>full</v>
      </c>
      <c r="C27" s="33" t="s">
        <v>83</v>
      </c>
    </row>
    <row r="28" spans="1:4">
      <c r="A28"/>
      <c r="B28"/>
    </row>
    <row r="29" spans="1:4" s="1" customFormat="1" ht="15.75" thickBot="1">
      <c r="A29" s="94" t="s">
        <v>84</v>
      </c>
      <c r="B29" s="94"/>
      <c r="D29" s="3"/>
    </row>
    <row r="30" spans="1:4">
      <c r="A30" s="11" t="s">
        <v>85</v>
      </c>
      <c r="D30" t="str">
        <f>IF(B31&lt;&gt;"","    "&amp;"    "&amp;A30,IF(B32&lt;&gt;"","    "&amp;"    "&amp;A30,IF(B34&lt;&gt;"","    "&amp;"    "&amp;A30,"")))</f>
        <v xml:space="preserve">        &lt;rights&gt;</v>
      </c>
    </row>
    <row r="31" spans="1:4" ht="15" customHeight="1">
      <c r="A31" s="13" t="s">
        <v>86</v>
      </c>
      <c r="B31" s="7" t="str">
        <f>IF(Form!A173&lt;&gt;"",Form!A173,"")</f>
        <v>Available to third parties under terms and conditions to be agreed by co-owners and or under a data supply and licence agreement</v>
      </c>
      <c r="C31" s="33" t="s">
        <v>87</v>
      </c>
      <c r="D31" t="str">
        <f>IF(B31&lt;&gt;"","    "&amp;"    "&amp;"    "&amp;A31&amp;B31&amp;LEFT(A31,FIND("&lt;",A31))&amp;"/"&amp;MID(A31,FIND("&lt;",A31)+1,FIND("&gt;",A31)),"")</f>
        <v xml:space="preserve">            &lt;rightsStatement&gt;Available to third parties under terms and conditions to be agreed by co-owners and or under a data supply and licence agreement&lt;/rightsStatement&gt;</v>
      </c>
    </row>
    <row r="32" spans="1:4">
      <c r="A32" s="13" t="s">
        <v>88</v>
      </c>
      <c r="B32" s="7" t="str">
        <f>IF(Form!B177&lt;&gt;"",Form!B177,"")</f>
        <v>License upon request</v>
      </c>
      <c r="C32" s="33" t="s">
        <v>89</v>
      </c>
      <c r="D32" t="str">
        <f>IF(B32&lt;&gt;"","    "&amp;"    "&amp;"    "&amp;LEFT(A32,FIND("&gt;",A32)-1)&amp;IF(B33&lt;&gt;""," "&amp;A33&amp;"="&amp;""""&amp;B33&amp;"""","")&amp;MID(A32,FIND("&gt;",A32),FIND("&gt;",A32))&amp;B32&amp;LEFT(A32,FIND("&lt;",A32))&amp;"/"&amp;MID(A32,FIND("&lt;",A32)+1,FIND("&gt;",A32)),IF(B33&lt;&gt;"","    "&amp;"    "&amp;"    "&amp;LEFT(A32,FIND("&gt;",A32)-1)&amp;IF(B33&lt;&gt;""," "&amp;A33&amp;"="&amp;""""&amp;B33&amp;"""","")&amp;MID(A32,FIND("&gt;",A32),FIND("&gt;",A32))&amp;B32&amp;LEFT(A32,FIND("&lt;",A32))&amp;"/"&amp;MID(A32,FIND("&lt;",A32)+1,FIND("&gt;",A32)),""))</f>
        <v xml:space="preserve">            &lt;licence type="Other"&gt;License upon request&lt;/licence&gt;</v>
      </c>
    </row>
    <row r="33" spans="1:4">
      <c r="A33" s="14" t="s">
        <v>68</v>
      </c>
      <c r="B33" s="6" t="str">
        <f>IF(Form!B178&lt;&gt;"",SUBSTITUTE(Form!B178," ",""),"")</f>
        <v>Other</v>
      </c>
      <c r="C33" s="33" t="s">
        <v>89</v>
      </c>
    </row>
    <row r="34" spans="1:4">
      <c r="A34" s="13" t="s">
        <v>90</v>
      </c>
      <c r="B34" s="7" t="str">
        <f>IF(Form!B182&lt;&gt;"",Form!B182,"")</f>
        <v>Conditional</v>
      </c>
      <c r="C34" s="33" t="s">
        <v>91</v>
      </c>
      <c r="D34" t="str">
        <f>IF(B34&lt;&gt;"","    "&amp;"    "&amp;"    "&amp;LEFT(A34,FIND("&gt;",A34)-1)&amp;IF(B35&lt;&gt;""," "&amp;A35&amp;"="&amp;""""&amp;B35&amp;"""","")&amp;MID(A34,FIND("&gt;",A34),FIND("&gt;",A34))&amp;B34&amp;LEFT(A34,FIND("&lt;",A34))&amp;"/"&amp;MID(A34,FIND("&lt;",A34)+1,FIND("&gt;",A34)),IF(B35&lt;&gt;"","    "&amp;"    "&amp;"    "&amp;LEFT(A34,FIND("&gt;",A34)-1)&amp;IF(B35&lt;&gt;""," "&amp;A35&amp;"="&amp;""""&amp;B35&amp;"""","")&amp;MID(A34,FIND("&gt;",A34),FIND("&gt;",A34))&amp;B34&amp;LEFT(A34,FIND("&lt;",A34))&amp;"/"&amp;MID(A34,FIND("&lt;",A34)+1,FIND("&gt;",A34)),""))</f>
        <v xml:space="preserve">            &lt;accessRights type="Conditional"&gt;Conditional&lt;/accessRights&gt;</v>
      </c>
    </row>
    <row r="35" spans="1:4">
      <c r="A35" s="14" t="s">
        <v>68</v>
      </c>
      <c r="B35" s="6" t="str">
        <f>IF(Form!B183="Open",Form!B183,IF(Form!B183="Conditional",Form!B183,IF(Form!B183="Restricted",Form!B183,IF(Form!B183="Embargoed","Restricted",""))))</f>
        <v>Conditional</v>
      </c>
      <c r="C35" s="33" t="s">
        <v>91</v>
      </c>
      <c r="D35" t="str">
        <f>IF(B31&lt;&gt;"","    "&amp;"    "&amp;LEFT(A30,FIND("&lt;",A30))&amp;"/"&amp;MID(A30,FIND("&lt;",A30)+1,FIND("&gt;",A30)),IF(B32&lt;&gt;"","    "&amp;"    "&amp;LEFT(A30,FIND("&lt;",A30))&amp;"/"&amp;MID(A30,FIND("&lt;",A30)+1,FIND("&gt;",A30)),IF(B34&lt;&gt;"","    "&amp;"    "&amp;LEFT(A30,FIND("&lt;",A30))&amp;"/"&amp;MID(A30,FIND("&lt;",A30)+1,FIND("&gt;",A30)),"")))</f>
        <v xml:space="preserve">        &lt;/rights&gt;</v>
      </c>
    </row>
    <row r="36" spans="1:4">
      <c r="A36"/>
      <c r="B36"/>
    </row>
    <row r="37" spans="1:4" s="1" customFormat="1" ht="15.75" thickBot="1">
      <c r="A37" s="94" t="s">
        <v>92</v>
      </c>
      <c r="B37" s="94"/>
      <c r="D37"/>
    </row>
    <row r="38" spans="1:4">
      <c r="A38" s="11" t="s">
        <v>93</v>
      </c>
      <c r="B38" s="7" t="str">
        <f>IF(Form!A53&lt;&gt;"",Form!A53,"")</f>
        <v/>
      </c>
      <c r="C38" s="33" t="s">
        <v>94</v>
      </c>
      <c r="D38" t="str">
        <f>IF(B38&lt;&gt;"","    "&amp;"    "&amp;LEFT(A38,FIND("&gt;",A38)-1)&amp;IF(B39&lt;&gt;""," "&amp;A39&amp;"="&amp;""""&amp;B39&amp;"""","")&amp;MID(A38,FIND("&gt;",A38),FIND("&gt;",A38))&amp;B38&amp;LEFT(A38,FIND("&lt;",A38))&amp;"/"&amp;MID(A38,FIND("&lt;",A38)+1,FIND("&gt;",A38)),"")</f>
        <v/>
      </c>
    </row>
    <row r="39" spans="1:4">
      <c r="A39" s="12" t="s">
        <v>68</v>
      </c>
      <c r="B39" s="6" t="str">
        <f>IF(Form!A53&lt;&gt;"","doi","")</f>
        <v/>
      </c>
      <c r="C39" s="33" t="s">
        <v>94</v>
      </c>
    </row>
    <row r="40" spans="1:4">
      <c r="A40" s="11" t="s">
        <v>93</v>
      </c>
      <c r="B40" s="7" t="str">
        <f>IF(Form!A57&lt;&gt;"",Form!A57,"")</f>
        <v>https://hdl.handle.net/2123/30252</v>
      </c>
      <c r="C40" s="33" t="s">
        <v>95</v>
      </c>
      <c r="D40" t="str">
        <f>IF(B40&lt;&gt;"","    "&amp;"    "&amp;LEFT(A40,FIND("&gt;",A40)-1)&amp;IF(B41&lt;&gt;""," "&amp;A41&amp;"="&amp;""""&amp;B41&amp;"""","")&amp;MID(A40,FIND("&gt;",A40),FIND("&gt;",A40))&amp;B40&amp;LEFT(A40,FIND("&lt;",A40))&amp;"/"&amp;MID(A40,FIND("&lt;",A40)+1,FIND("&gt;",A40)),"")</f>
        <v xml:space="preserve">        &lt;identifier type="handle"&gt;https://hdl.handle.net/2123/30252&lt;/identifier&gt;</v>
      </c>
    </row>
    <row r="41" spans="1:4">
      <c r="A41" s="12" t="s">
        <v>68</v>
      </c>
      <c r="B41" s="6" t="str">
        <f>IF(Form!A57&lt;&gt;"","handle","")</f>
        <v>handle</v>
      </c>
      <c r="C41" s="33" t="s">
        <v>95</v>
      </c>
    </row>
    <row r="42" spans="1:4">
      <c r="A42"/>
      <c r="B42"/>
    </row>
    <row r="43" spans="1:4" s="1" customFormat="1" ht="15.75" thickBot="1">
      <c r="A43" s="94" t="s">
        <v>96</v>
      </c>
      <c r="B43" s="94"/>
      <c r="D43" s="3"/>
    </row>
    <row r="44" spans="1:4">
      <c r="A44" s="11" t="s">
        <v>97</v>
      </c>
      <c r="B44" s="8"/>
      <c r="D44" t="str">
        <f>IF(B46&lt;&gt;"","    "&amp;"    "&amp;LEFT(A44,FIND("&gt;",A44)-1)&amp;IF(B45&lt;&gt;""," "&amp;A45&amp;"="&amp;""""&amp;B45&amp;"""","")&amp;MID(A44,FIND("&gt;",A44),FIND("&gt;",A44)),"")</f>
        <v xml:space="preserve">        &lt;dates type="dc.issued"&gt;</v>
      </c>
    </row>
    <row r="45" spans="1:4">
      <c r="A45" s="12" t="s">
        <v>68</v>
      </c>
      <c r="B45" s="6" t="str">
        <f>IF(Form!A70&lt;&gt;"","dc.issued","")</f>
        <v>dc.issued</v>
      </c>
      <c r="C45" s="33" t="s">
        <v>98</v>
      </c>
    </row>
    <row r="46" spans="1:4">
      <c r="A46" s="13" t="s">
        <v>99</v>
      </c>
      <c r="B46" s="7" t="str">
        <f>IF(Form!A70&lt;&gt;"",Form!A70,"")</f>
        <v>2023</v>
      </c>
      <c r="C46" s="33" t="s">
        <v>98</v>
      </c>
      <c r="D46" t="str">
        <f>IF(B46&lt;&gt;"","    "&amp;"    "&amp;"    "&amp;LEFT(A46,FIND("&gt;",A46)-1)&amp;IF(B47&lt;&gt;""," "&amp;A47&amp;"="&amp;""""&amp;B47&amp;"""","")&amp;IF(B48&lt;&gt;""," "&amp;A48&amp;"="&amp;""""&amp;B48&amp;"""","")&amp;MID(A46,FIND("&gt;",A46),FIND("&gt;",A46))&amp;IF(B46&lt;&gt;"",B46,"")&amp;LEFT(A46,FIND("&lt;",A46))&amp;"/"&amp;MID(A46,FIND("&lt;",A46)+1,FIND("&gt;",A46)),"")</f>
        <v xml:space="preserve">            &lt;date type="dateFrom" dateFormat="W3CDTF"&gt;2023&lt;/date&gt;</v>
      </c>
    </row>
    <row r="47" spans="1:4">
      <c r="A47" s="14" t="s">
        <v>68</v>
      </c>
      <c r="B47" s="6" t="str">
        <f>IF(Form!A70&lt;&gt;"","dateFrom","")</f>
        <v>dateFrom</v>
      </c>
      <c r="C47" s="33" t="s">
        <v>98</v>
      </c>
      <c r="D47" t="str">
        <f>IF(B46&lt;&gt;"","    "&amp;"    "&amp;LEFT(A44,FIND("&lt;",A44))&amp;"/"&amp;MID(A44,FIND("&lt;",A44)+1,FIND("&gt;",A44)),"")</f>
        <v xml:space="preserve">        &lt;/dates&gt;</v>
      </c>
    </row>
    <row r="48" spans="1:4">
      <c r="A48" s="14" t="s">
        <v>100</v>
      </c>
      <c r="B48" s="6" t="str">
        <f>IF(Form!A70&lt;&gt;"","W3CDTF","")</f>
        <v>W3CDTF</v>
      </c>
      <c r="C48" s="33" t="s">
        <v>98</v>
      </c>
    </row>
    <row r="49" spans="1:4">
      <c r="A49"/>
      <c r="B49"/>
    </row>
    <row r="50" spans="1:4" s="1" customFormat="1" ht="15.75" thickBot="1">
      <c r="A50" s="94" t="s">
        <v>101</v>
      </c>
      <c r="B50" s="94"/>
      <c r="D50" s="3"/>
    </row>
    <row r="51" spans="1:4">
      <c r="A51" s="11" t="s">
        <v>102</v>
      </c>
      <c r="D51" t="str">
        <f>IF(B56&lt;&gt;"","    "&amp;"    "&amp;A51,IF(B61&lt;&gt;"","    "&amp;"    "&amp;A51,IF(B65&lt;&gt;"","    "&amp;"    "&amp;A51,"")))</f>
        <v xml:space="preserve">        &lt;location&gt;</v>
      </c>
    </row>
    <row r="52" spans="1:4">
      <c r="A52" s="13" t="s">
        <v>103</v>
      </c>
      <c r="D52" t="str">
        <f>IF(B56&lt;&gt;"","    "&amp;"    "&amp;"    "&amp;A52,IF(B61&lt;&gt;"","    "&amp;"    "&amp;"    "&amp;A52,IF(B65&lt;&gt;"","    "&amp;"    "&amp;"    "&amp;A52,"")))</f>
        <v xml:space="preserve">            &lt;address&gt;</v>
      </c>
    </row>
    <row r="53" spans="1:4">
      <c r="A53" s="27" t="s">
        <v>104</v>
      </c>
      <c r="D53" t="str">
        <f>IF(B56&lt;&gt;"","    "&amp;"    "&amp;"    "&amp;"    "&amp;LEFT(A53,FIND("&gt;",A53)-1)&amp;IF(B54&lt;&gt;""," "&amp;A54&amp;"="&amp;""""&amp;B54&amp;"""","")&amp;IF(B55&lt;&gt;""," "&amp;A55&amp;"="&amp;""""&amp;B55&amp;"""","")&amp;MID(A53,FIND("&gt;",A53),FIND("&gt;",A53)),"")</f>
        <v/>
      </c>
    </row>
    <row r="54" spans="1:4">
      <c r="A54" s="28" t="s">
        <v>68</v>
      </c>
      <c r="B54" s="6" t="str">
        <f>IF(Form!A60&lt;&gt;"","url","")</f>
        <v/>
      </c>
      <c r="C54" s="67" t="s">
        <v>105</v>
      </c>
    </row>
    <row r="55" spans="1:4">
      <c r="A55" s="28" t="s">
        <v>106</v>
      </c>
      <c r="B55" s="6" t="str">
        <f>IF(Form!A60&lt;&gt;"","landingPage","")</f>
        <v/>
      </c>
      <c r="C55" s="67" t="s">
        <v>105</v>
      </c>
    </row>
    <row r="56" spans="1:4" ht="15" customHeight="1">
      <c r="A56" s="29" t="s">
        <v>107</v>
      </c>
      <c r="B56" s="7" t="str">
        <f>IF(Form!A60&lt;&gt;"",Form!A60,"")</f>
        <v/>
      </c>
      <c r="C56" s="67" t="s">
        <v>105</v>
      </c>
      <c r="D56" t="str">
        <f>IF(B56&lt;&gt;"","    "&amp;"    "&amp;"    "&amp;"    "&amp;"    "&amp;A56&amp;B56&amp;LEFT(A56,FIND("&lt;",A56))&amp;"/"&amp;MID(A56,FIND("&lt;",A56)+1,FIND("&gt;",A56)),"")</f>
        <v/>
      </c>
    </row>
    <row r="57" spans="1:4">
      <c r="A57"/>
      <c r="B57"/>
      <c r="D57" t="str">
        <f>IF(B56&lt;&gt;"","    "&amp;"    "&amp;"    "&amp;"    "&amp;LEFT(A53,FIND("&lt;",A53))&amp;"/"&amp;MID(A53,FIND("&lt;",A53)+1,FIND("&gt;",A53)),"")</f>
        <v/>
      </c>
    </row>
    <row r="58" spans="1:4">
      <c r="A58" s="27" t="s">
        <v>104</v>
      </c>
      <c r="D58" t="str">
        <f>IF(B61&lt;&gt;"","    "&amp;"    "&amp;"    "&amp;"    "&amp;LEFT(A58,FIND("&gt;",A58)-1)&amp;IF(B59&lt;&gt;""," "&amp;A59&amp;"="&amp;""""&amp;B59&amp;"""","")&amp;IF(B60&lt;&gt;""," "&amp;A60&amp;"="&amp;""""&amp;B60&amp;"""","")&amp;MID(A58,FIND("&gt;",A58),FIND("&gt;",A58)),"")</f>
        <v/>
      </c>
    </row>
    <row r="59" spans="1:4">
      <c r="A59" s="28" t="s">
        <v>68</v>
      </c>
      <c r="B59" s="6" t="str">
        <f>IF(Form!A63&lt;&gt;"","url","")</f>
        <v/>
      </c>
      <c r="C59" s="67" t="s">
        <v>108</v>
      </c>
    </row>
    <row r="60" spans="1:4">
      <c r="A60" s="28" t="s">
        <v>106</v>
      </c>
      <c r="B60" s="6" t="str">
        <f>IF(Form!A63&lt;&gt;"","directDownload","")</f>
        <v/>
      </c>
      <c r="C60" s="67" t="s">
        <v>108</v>
      </c>
    </row>
    <row r="61" spans="1:4">
      <c r="A61" s="29" t="s">
        <v>107</v>
      </c>
      <c r="B61" s="7" t="str">
        <f>IF(Form!A63&lt;&gt;"",Form!A63,"")</f>
        <v/>
      </c>
      <c r="C61" s="67" t="s">
        <v>108</v>
      </c>
      <c r="D61" t="str">
        <f>IF(B61&lt;&gt;"","    "&amp;"    "&amp;"    "&amp;"    "&amp;"    "&amp;A61&amp;B61&amp;LEFT(A61,FIND("&lt;",A61))&amp;"/"&amp;MID(A61,FIND("&lt;",A61)+1,FIND("&gt;",A61)),"")</f>
        <v/>
      </c>
    </row>
    <row r="62" spans="1:4">
      <c r="A62"/>
      <c r="B62"/>
      <c r="D62" t="str">
        <f>IF(B61&lt;&gt;"","    "&amp;"    "&amp;"    "&amp;"    "&amp;LEFT(A58,FIND("&lt;",A58))&amp;"/"&amp;MID(A58,FIND("&lt;",A58)+1,FIND("&gt;",A58)),"")</f>
        <v/>
      </c>
    </row>
    <row r="63" spans="1:4">
      <c r="A63" s="27" t="s">
        <v>104</v>
      </c>
      <c r="D63" t="str">
        <f>IF(B65&lt;&gt;"","    "&amp;"    "&amp;"    "&amp;"    "&amp;LEFT(A63,FIND("&gt;",A63)-1)&amp;IF(B64&lt;&gt;""," "&amp;A64&amp;"="&amp;""""&amp;B64&amp;"""","")&amp;MID(A63,FIND("&gt;",A63),FIND("&gt;",A63)),"")</f>
        <v xml:space="preserve">                &lt;electronic type="email"&gt;</v>
      </c>
    </row>
    <row r="64" spans="1:4">
      <c r="A64" s="28" t="s">
        <v>68</v>
      </c>
      <c r="B64" s="6" t="str">
        <f>IF(Form!A152&lt;&gt;"","email","email")</f>
        <v>email</v>
      </c>
      <c r="C64" s="67" t="s">
        <v>109</v>
      </c>
    </row>
    <row r="65" spans="1:4" ht="30">
      <c r="A65" s="29" t="s">
        <v>107</v>
      </c>
      <c r="B65" s="7" t="str">
        <f>IF(Form!A152&lt;&gt;"",Form!A152&amp;"; request.data@grdc.com.au","request.data@grdc.com.au")</f>
        <v>data.catalogue@grdc.com.au; datarequest-library@sydney.edu.au ; request.data@grdc.com.au</v>
      </c>
      <c r="C65" s="67" t="s">
        <v>109</v>
      </c>
      <c r="D65" t="str">
        <f>IF(B65&lt;&gt;"","    "&amp;"    "&amp;"    "&amp;"    "&amp;"    "&amp;A65&amp;B65&amp;LEFT(A65,FIND("&lt;",A65))&amp;"/"&amp;MID(A65,FIND("&lt;",A65)+1,FIND("&gt;",A65)),"")</f>
        <v xml:space="preserve">                    &lt;value&gt;data.catalogue@grdc.com.au; datarequest-library@sydney.edu.au ; request.data@grdc.com.au&lt;/value&gt;</v>
      </c>
    </row>
    <row r="66" spans="1:4">
      <c r="A66"/>
      <c r="B66"/>
      <c r="D66" t="str">
        <f>IF(B65&lt;&gt;"","    "&amp;"    "&amp;"    "&amp;"    "&amp;LEFT(A63,FIND("&lt;",A63))&amp;"/"&amp;MID(A63,FIND("&lt;",A63)+1,FIND("&gt;",A63)),"")</f>
        <v xml:space="preserve">                &lt;/electronic&gt;</v>
      </c>
    </row>
    <row r="67" spans="1:4">
      <c r="A67"/>
      <c r="B67"/>
      <c r="D67" t="str">
        <f>IF(B56&lt;&gt;"","    "&amp;"    "&amp;"    "&amp;LEFT(A52,FIND("&lt;",A52))&amp;"/"&amp;MID(A52,FIND("&lt;",A52)+1,FIND("&gt;",A52)),IF(B61&lt;&gt;"","    "&amp;"    "&amp;"    "&amp;LEFT(A52,FIND("&lt;",A52))&amp;"/"&amp;MID(A52,FIND("&lt;",A52)+1,FIND("&gt;",A52)),IF(B65&lt;&gt;"","    "&amp;"    "&amp;"    "&amp;LEFT(A52,FIND("&lt;",A52))&amp;"/"&amp;MID(A52,FIND("&lt;",A52)+1,FIND("&gt;",A52)),"")))</f>
        <v xml:space="preserve">            &lt;/address&gt;</v>
      </c>
    </row>
    <row r="68" spans="1:4">
      <c r="A68"/>
      <c r="B68"/>
      <c r="D68" t="str">
        <f>IF(B56&lt;&gt;"","    "&amp;"    "&amp;LEFT(A51,FIND("&lt;",A51))&amp;"/"&amp;MID(A51,FIND("&lt;",A51)+1,FIND("&gt;",A51)),IF(B61&lt;&gt;"","    "&amp;"    "&amp;LEFT(A51,FIND("&lt;",A51))&amp;"/"&amp;MID(A51,FIND("&lt;",A51)+1,FIND("&gt;",A51)),IF(B65&lt;&gt;"","    "&amp;"    "&amp;LEFT(A51,FIND("&lt;",A51))&amp;"/"&amp;MID(A51,FIND("&lt;",A51)+1,FIND("&gt;",A51)),"")))</f>
        <v xml:space="preserve">        &lt;/location&gt;</v>
      </c>
    </row>
    <row r="69" spans="1:4" s="1" customFormat="1" ht="15.75" thickBot="1">
      <c r="A69" s="94" t="s">
        <v>110</v>
      </c>
      <c r="B69" s="94"/>
      <c r="D69" s="3"/>
    </row>
    <row r="70" spans="1:4">
      <c r="A70" s="15" t="s">
        <v>111</v>
      </c>
      <c r="D70" t="str">
        <f>IF(B71&lt;&gt;"","    "&amp;"    "&amp;A70,IF(B74&lt;&gt;"","    "&amp;"    "&amp;A70,IF(B77&lt;&gt;"","    "&amp;"    "&amp;A70,"")))</f>
        <v xml:space="preserve">        &lt;coverage&gt;</v>
      </c>
    </row>
    <row r="71" spans="1:4" ht="15" customHeight="1">
      <c r="A71" s="17" t="s">
        <v>112</v>
      </c>
      <c r="B71" s="7" t="str">
        <f>IF(Form!B74&lt;&gt;"",SUBSTITUTE(Form!B74,CHAR(10)," "),"")</f>
        <v>The University of Sydney, Plant Breeding Institute, 12656 Newell Highway Narrabri, NSW 2390 (30°16'13.9"S 149°48'17.7"E)  Agriculture Victoria, The Grains Innovation Park, 110 Natimuk Road Horsham, VIC 3400 (36°43'16.2"S 142°10'19.7"E)  Department of Agriculture, 8752 Great Eastern Hwy, Merredin WA 6415 (31°54'05.4"S 116°05'54.2"E) Remote site – Cadoux, WA (30°42'21.6"S 117°09'17.6"E)</v>
      </c>
      <c r="C71" s="67" t="s">
        <v>113</v>
      </c>
      <c r="D71" t="str">
        <f>IF(B71&lt;&gt;"","    "&amp;"    "&amp;"    "&amp;LEFT(A71,FIND("&gt;",A71)-1)&amp;IF(B72&lt;&gt;""," "&amp;A72&amp;"="&amp;""""&amp;B72&amp;"""","")&amp;MID(A71,FIND("&gt;",A71),FIND("&gt;",A71))&amp;B71&amp;LEFT(A71,FIND("&lt;",A71))&amp;"/"&amp;MID(A71,FIND("&lt;",A71)+1,FIND("&gt;",A71)),"")</f>
        <v xml:space="preserve">            &lt;spatial type="text"&gt;The University of Sydney, Plant Breeding Institute, 12656 Newell Highway Narrabri, NSW 2390 (30°16'13.9"S 149°48'17.7"E)  Agriculture Victoria, The Grains Innovation Park, 110 Natimuk Road Horsham, VIC 3400 (36°43'16.2"S 142°10'19.7"E)  Department of Agriculture, 8752 Great Eastern Hwy, Merredin WA 6415 (31°54'05.4"S 116°05'54.2"E) Remote site – Cadoux, WA (30°42'21.6"S 117°09'17.6"E)&lt;/spatial&gt;</v>
      </c>
    </row>
    <row r="72" spans="1:4">
      <c r="A72" s="18" t="s">
        <v>68</v>
      </c>
      <c r="B72" s="6" t="str">
        <f>IF(Form!B75="DCMI Point","dcmiPoint",IF(Form!B75="GML KML coordinates","gmlKmlPolyCoords",IF(Form!B75="GPX","gpx",IF(Form!B75="ISO 3166-1","iso31661",IF(Form!B75="ISO 3166-2","iso31662",IF(Form!B75="ISO 3166-3","iso31663",IF(Form!B75="DCMI Box","iso19139dcmiBox",IF(Form!B75="KML coordinates","kmlPolyCoords",IF(Form!B75="Other","text","")))))))))</f>
        <v>text</v>
      </c>
      <c r="C72" s="33" t="s">
        <v>113</v>
      </c>
    </row>
    <row r="73" spans="1:4">
      <c r="A73" s="17" t="s">
        <v>114</v>
      </c>
      <c r="B73"/>
      <c r="D73" t="str">
        <f>IF(B74&lt;&gt;"","    "&amp;"    "&amp;"    "&amp;A73,IF(B77&lt;&gt;"","    "&amp;"    "&amp;"    "&amp;A73,""))</f>
        <v xml:space="preserve">            &lt;temporal&gt;</v>
      </c>
    </row>
    <row r="74" spans="1:4">
      <c r="A74" s="19" t="s">
        <v>99</v>
      </c>
      <c r="B74" s="7" t="str">
        <f>IF(Form!B66&lt;&gt;"",Form!B66,"")</f>
        <v>2016</v>
      </c>
      <c r="C74" s="67" t="s">
        <v>115</v>
      </c>
      <c r="D74" t="str">
        <f>IF(B74&lt;&gt;"","    "&amp;"    "&amp;"    "&amp;"    "&amp;LEFT(A74,FIND("&gt;",A74)-1)&amp;IF(B75&lt;&gt;""," "&amp;A75&amp;"="&amp;""""&amp;B75&amp;"""","")&amp;IF(B76&lt;&gt;""," "&amp;A76&amp;"="&amp;""""&amp;B76&amp;"""","")&amp;MID(A74,FIND("&gt;",A74),FIND("&gt;",A74))&amp;IF(B74&lt;&gt;"",B74,"")&amp;LEFT(A74,FIND("&lt;",A74))&amp;"/"&amp;MID(A74,FIND("&lt;",A74)+1,FIND("&gt;",A74)),"")</f>
        <v xml:space="preserve">                &lt;date type="dateFrom" dateFormat="W3CDTF"&gt;2016&lt;/date&gt;</v>
      </c>
    </row>
    <row r="75" spans="1:4">
      <c r="A75" s="20" t="s">
        <v>68</v>
      </c>
      <c r="B75" s="6" t="str">
        <f>IF(Form!B66&lt;&gt;"","dateFrom","")</f>
        <v>dateFrom</v>
      </c>
      <c r="C75" s="67" t="s">
        <v>115</v>
      </c>
    </row>
    <row r="76" spans="1:4">
      <c r="A76" s="20" t="s">
        <v>100</v>
      </c>
      <c r="B76" s="6" t="str">
        <f>IF(Form!B66&lt;&gt;"","W3CDTF","")</f>
        <v>W3CDTF</v>
      </c>
      <c r="C76" s="67" t="s">
        <v>115</v>
      </c>
    </row>
    <row r="77" spans="1:4">
      <c r="A77" s="19" t="s">
        <v>99</v>
      </c>
      <c r="B77" s="7" t="str">
        <f>IF(Form!B67&lt;&gt;"",Form!B67,"")</f>
        <v>2021</v>
      </c>
      <c r="C77" s="67" t="s">
        <v>115</v>
      </c>
      <c r="D77" t="str">
        <f>IF(B77&lt;&gt;"","    "&amp;"    "&amp;"    "&amp;"    "&amp;LEFT(A77,FIND("&gt;",A77)-1)&amp;IF(B78&lt;&gt;""," "&amp;A78&amp;"="&amp;""""&amp;B78&amp;"""","")&amp;IF(B79&lt;&gt;""," "&amp;A79&amp;"="&amp;""""&amp;B79&amp;"""","")&amp;MID(A77,FIND("&gt;",A77),FIND("&gt;",A77))&amp;IF(B77&lt;&gt;"",B77,"")&amp;LEFT(A77,FIND("&lt;",A77))&amp;"/"&amp;MID(A77,FIND("&lt;",A77)+1,FIND("&gt;",A77)),"")</f>
        <v xml:space="preserve">                &lt;date type="dateTo" dateFormat="W3CDTF"&gt;2021&lt;/date&gt;</v>
      </c>
    </row>
    <row r="78" spans="1:4">
      <c r="A78" s="20" t="s">
        <v>68</v>
      </c>
      <c r="B78" s="6" t="str">
        <f>IF(Form!B67&lt;&gt;"","dateTo","")</f>
        <v>dateTo</v>
      </c>
      <c r="C78" s="67" t="s">
        <v>115</v>
      </c>
      <c r="D78" t="str">
        <f>IF(B74&lt;&gt;"","    "&amp;"    "&amp;"    "&amp;LEFT(A73,FIND("&lt;",A73))&amp;"/"&amp;MID(A73,FIND("&lt;",A73)+1,FIND("&gt;",A73)),IF(B77&lt;&gt;"","    "&amp;"    "&amp;"    "&amp;LEFT(A73,FIND("&lt;",A73))&amp;"/"&amp;MID(A73,FIND("&lt;",A73)+1,FIND("&gt;",A73)),""))</f>
        <v xml:space="preserve">            &lt;/temporal&gt;</v>
      </c>
    </row>
    <row r="79" spans="1:4">
      <c r="A79" s="20" t="s">
        <v>100</v>
      </c>
      <c r="B79" s="6" t="str">
        <f>IF(Form!B67&lt;&gt;"","W3CDTF","")</f>
        <v>W3CDTF</v>
      </c>
      <c r="C79" s="67" t="s">
        <v>115</v>
      </c>
      <c r="D79" t="str">
        <f>IF(B71&lt;&gt;"","    "&amp;"    "&amp;LEFT(A70,FIND("&lt;",A70))&amp;"/"&amp;MID(A70,FIND("&lt;",A70)+1,FIND("&gt;",A70)),IF(B74&lt;&gt;"","    "&amp;"    "&amp;LEFT(A70,FIND("&lt;",A70))&amp;"/"&amp;MID(A70,FIND("&lt;",A70)+1,FIND("&gt;",A70)),IF(B77&lt;&gt;"","    "&amp;"    "&amp;LEFT(A70,FIND("&lt;",A70))&amp;"/"&amp;MID(A70,FIND("&lt;",A70)+1,FIND("&gt;",A70)),"")))</f>
        <v xml:space="preserve">        &lt;/coverage&gt;</v>
      </c>
    </row>
    <row r="80" spans="1:4">
      <c r="A80"/>
      <c r="B80"/>
    </row>
    <row r="81" spans="1:4" s="1" customFormat="1" ht="15.75" thickBot="1">
      <c r="A81" s="94" t="s">
        <v>116</v>
      </c>
      <c r="B81" s="94"/>
      <c r="D81" s="3"/>
    </row>
    <row r="82" spans="1:4">
      <c r="A82" s="15" t="s">
        <v>117</v>
      </c>
      <c r="B82" s="7" t="str">
        <f>IF(Form!B156&lt;&gt;"",Form!B156,"")</f>
        <v>Wheat</v>
      </c>
      <c r="C82" s="33" t="s">
        <v>118</v>
      </c>
      <c r="D82" t="str">
        <f>IF(B82&lt;&gt;"","    "&amp;"    "&amp;LEFT(A82,FIND("&gt;",A82)-1)&amp;IF(B83&lt;&gt;""," "&amp;A83&amp;"="&amp;""""&amp;B83&amp;"""","")&amp;MID(A82,FIND("&gt;",A82),FIND("&gt;",A82))&amp;B82&amp;LEFT(A82,FIND("&lt;",A82))&amp;"/"&amp;MID(A82,FIND("&lt;",A82)+1,FIND("&gt;",A82)),"")</f>
        <v xml:space="preserve">        &lt;subject type="local"&gt;Wheat&lt;/subject&gt;</v>
      </c>
    </row>
    <row r="83" spans="1:4">
      <c r="A83" s="16" t="s">
        <v>68</v>
      </c>
      <c r="B83" s="6" t="str">
        <f>IF(Form!B156&lt;&gt;"","local","")</f>
        <v>local</v>
      </c>
      <c r="C83" s="33" t="s">
        <v>118</v>
      </c>
    </row>
    <row r="84" spans="1:4">
      <c r="A84" s="15" t="s">
        <v>117</v>
      </c>
      <c r="B84" s="7" t="str">
        <f>IF(Form!B157&lt;&gt;"",Form!B157,"")</f>
        <v>Heat tolerance</v>
      </c>
      <c r="C84" s="33" t="s">
        <v>118</v>
      </c>
      <c r="D84" t="str">
        <f>IF(B84&lt;&gt;"","    "&amp;"    "&amp;LEFT(A84,FIND("&gt;",A84)-1)&amp;IF(B85&lt;&gt;""," "&amp;A85&amp;"="&amp;""""&amp;B85&amp;"""","")&amp;MID(A84,FIND("&gt;",A84),FIND("&gt;",A84))&amp;B84&amp;LEFT(A84,FIND("&lt;",A84))&amp;"/"&amp;MID(A84,FIND("&lt;",A84)+1,FIND("&gt;",A84)),"")</f>
        <v xml:space="preserve">        &lt;subject type="local"&gt;Heat tolerance&lt;/subject&gt;</v>
      </c>
    </row>
    <row r="85" spans="1:4">
      <c r="A85" s="16" t="s">
        <v>68</v>
      </c>
      <c r="B85" s="6" t="str">
        <f>IF(Form!B157&lt;&gt;"","local","")</f>
        <v>local</v>
      </c>
      <c r="C85" s="33" t="s">
        <v>118</v>
      </c>
    </row>
    <row r="86" spans="1:4">
      <c r="A86" s="15" t="s">
        <v>117</v>
      </c>
      <c r="B86" s="7" t="str">
        <f>IF(Form!B158&lt;&gt;"",Form!B158,"")</f>
        <v>Genomic selection</v>
      </c>
      <c r="C86" s="33" t="s">
        <v>118</v>
      </c>
      <c r="D86" t="str">
        <f>IF(B86&lt;&gt;"","    "&amp;"    "&amp;LEFT(A86,FIND("&gt;",A86)-1)&amp;IF(B87&lt;&gt;""," "&amp;A87&amp;"="&amp;""""&amp;B87&amp;"""","")&amp;MID(A86,FIND("&gt;",A86),FIND("&gt;",A86))&amp;B86&amp;LEFT(A86,FIND("&lt;",A86))&amp;"/"&amp;MID(A86,FIND("&lt;",A86)+1,FIND("&gt;",A86)),"")</f>
        <v xml:space="preserve">        &lt;subject type="local"&gt;Genomic selection&lt;/subject&gt;</v>
      </c>
    </row>
    <row r="87" spans="1:4">
      <c r="A87" s="16" t="s">
        <v>68</v>
      </c>
      <c r="B87" s="6" t="str">
        <f>IF(Form!B158&lt;&gt;"","local","")</f>
        <v>local</v>
      </c>
      <c r="C87" s="33" t="s">
        <v>118</v>
      </c>
    </row>
    <row r="88" spans="1:4">
      <c r="A88" s="15" t="s">
        <v>117</v>
      </c>
      <c r="B88" s="7" t="str">
        <f>IF(Form!B159&lt;&gt;"",Form!B159,"")</f>
        <v>pre-breeding</v>
      </c>
      <c r="C88" s="33" t="s">
        <v>118</v>
      </c>
      <c r="D88" t="str">
        <f>IF(B88&lt;&gt;"","    "&amp;"    "&amp;LEFT(A88,FIND("&gt;",A88)-1)&amp;IF(B89&lt;&gt;""," "&amp;A89&amp;"="&amp;""""&amp;B89&amp;"""","")&amp;MID(A88,FIND("&gt;",A88),FIND("&gt;",A88))&amp;B88&amp;LEFT(A88,FIND("&lt;",A88))&amp;"/"&amp;MID(A88,FIND("&lt;",A88)+1,FIND("&gt;",A88)),"")</f>
        <v xml:space="preserve">        &lt;subject type="local"&gt;pre-breeding&lt;/subject&gt;</v>
      </c>
    </row>
    <row r="89" spans="1:4">
      <c r="A89" s="16" t="s">
        <v>68</v>
      </c>
      <c r="B89" s="6" t="str">
        <f>IF(Form!B159&lt;&gt;"","local","")</f>
        <v>local</v>
      </c>
      <c r="C89" s="33" t="s">
        <v>118</v>
      </c>
    </row>
    <row r="90" spans="1:4">
      <c r="A90" s="15" t="s">
        <v>117</v>
      </c>
      <c r="B90" s="7" t="str">
        <f>IF(Form!B160&lt;&gt;"",Form!B160,"")</f>
        <v/>
      </c>
      <c r="C90" s="33" t="s">
        <v>118</v>
      </c>
      <c r="D90" t="str">
        <f>IF(B90&lt;&gt;"","    "&amp;"    "&amp;LEFT(A90,FIND("&gt;",A90)-1)&amp;IF(B91&lt;&gt;""," "&amp;A91&amp;"="&amp;""""&amp;B91&amp;"""","")&amp;MID(A90,FIND("&gt;",A90),FIND("&gt;",A90))&amp;B90&amp;LEFT(A90,FIND("&lt;",A90))&amp;"/"&amp;MID(A90,FIND("&lt;",A90)+1,FIND("&gt;",A90)),"")</f>
        <v/>
      </c>
    </row>
    <row r="91" spans="1:4">
      <c r="A91" s="16" t="s">
        <v>68</v>
      </c>
      <c r="B91" s="6" t="str">
        <f>IF(Form!B160&lt;&gt;"","local","")</f>
        <v/>
      </c>
      <c r="C91" s="33" t="s">
        <v>118</v>
      </c>
    </row>
    <row r="92" spans="1:4">
      <c r="A92" s="15" t="s">
        <v>117</v>
      </c>
      <c r="B92" s="7" t="str">
        <f>IF(Form!B161&lt;&gt;"",Form!B161,"")</f>
        <v/>
      </c>
      <c r="C92" s="33" t="s">
        <v>118</v>
      </c>
      <c r="D92" t="str">
        <f>IF(B92&lt;&gt;"","    "&amp;"    "&amp;LEFT(A92,FIND("&gt;",A92)-1)&amp;IF(B93&lt;&gt;""," "&amp;A93&amp;"="&amp;""""&amp;B93&amp;"""","")&amp;MID(A92,FIND("&gt;",A92),FIND("&gt;",A92))&amp;B92&amp;LEFT(A92,FIND("&lt;",A92))&amp;"/"&amp;MID(A92,FIND("&lt;",A92)+1,FIND("&gt;",A92)),"")</f>
        <v/>
      </c>
    </row>
    <row r="93" spans="1:4">
      <c r="A93" s="16" t="s">
        <v>68</v>
      </c>
      <c r="B93" s="6" t="str">
        <f>IF(Form!B161&lt;&gt;"","local","")</f>
        <v/>
      </c>
      <c r="C93" s="33" t="s">
        <v>118</v>
      </c>
    </row>
    <row r="94" spans="1:4">
      <c r="A94" s="15" t="s">
        <v>117</v>
      </c>
      <c r="B94" s="7" t="str">
        <f>IF(Form!B162&lt;&gt;"",Form!B162,"")</f>
        <v/>
      </c>
      <c r="C94" s="33" t="s">
        <v>118</v>
      </c>
      <c r="D94" t="str">
        <f>IF(B94&lt;&gt;"","    "&amp;"    "&amp;LEFT(A94,FIND("&gt;",A94)-1)&amp;IF(B95&lt;&gt;""," "&amp;A95&amp;"="&amp;""""&amp;B95&amp;"""","")&amp;MID(A94,FIND("&gt;",A94),FIND("&gt;",A94))&amp;B94&amp;LEFT(A94,FIND("&lt;",A94))&amp;"/"&amp;MID(A94,FIND("&lt;",A94)+1,FIND("&gt;",A94)),"")</f>
        <v/>
      </c>
    </row>
    <row r="95" spans="1:4">
      <c r="A95" s="16" t="s">
        <v>68</v>
      </c>
      <c r="B95" s="6" t="str">
        <f>IF(Form!B162&lt;&gt;"","local","")</f>
        <v/>
      </c>
      <c r="C95" s="33" t="s">
        <v>118</v>
      </c>
    </row>
    <row r="96" spans="1:4">
      <c r="A96" s="15" t="s">
        <v>117</v>
      </c>
      <c r="B96" s="7" t="str">
        <f>IF(Form!B163&lt;&gt;"",Form!B163,"")</f>
        <v/>
      </c>
      <c r="C96" s="33" t="s">
        <v>118</v>
      </c>
      <c r="D96" t="str">
        <f>IF(B96&lt;&gt;"","    "&amp;"    "&amp;LEFT(A96,FIND("&gt;",A96)-1)&amp;IF(B97&lt;&gt;""," "&amp;A97&amp;"="&amp;""""&amp;B97&amp;"""","")&amp;MID(A96,FIND("&gt;",A96),FIND("&gt;",A96))&amp;B96&amp;LEFT(A96,FIND("&lt;",A96))&amp;"/"&amp;MID(A96,FIND("&lt;",A96)+1,FIND("&gt;",A96)),"")</f>
        <v/>
      </c>
    </row>
    <row r="97" spans="1:4">
      <c r="A97" s="16" t="s">
        <v>68</v>
      </c>
      <c r="B97" s="6" t="str">
        <f>IF(Form!B163&lt;&gt;"","local","")</f>
        <v/>
      </c>
      <c r="C97" s="33" t="s">
        <v>118</v>
      </c>
    </row>
    <row r="98" spans="1:4">
      <c r="A98" s="15" t="s">
        <v>117</v>
      </c>
      <c r="B98" s="7" t="str">
        <f>IF(Form!B164&lt;&gt;"",Form!B164,"")</f>
        <v/>
      </c>
      <c r="C98" s="33" t="s">
        <v>118</v>
      </c>
      <c r="D98" t="str">
        <f>IF(B98&lt;&gt;"","    "&amp;"    "&amp;LEFT(A98,FIND("&gt;",A98)-1)&amp;IF(B99&lt;&gt;""," "&amp;A99&amp;"="&amp;""""&amp;B99&amp;"""","")&amp;MID(A98,FIND("&gt;",A98),FIND("&gt;",A98))&amp;B98&amp;LEFT(A98,FIND("&lt;",A98))&amp;"/"&amp;MID(A98,FIND("&lt;",A98)+1,FIND("&gt;",A98)),"")</f>
        <v/>
      </c>
    </row>
    <row r="99" spans="1:4">
      <c r="A99" s="16" t="s">
        <v>68</v>
      </c>
      <c r="B99" s="6" t="str">
        <f>IF(Form!B164&lt;&gt;"","local","")</f>
        <v/>
      </c>
      <c r="C99" s="33" t="s">
        <v>118</v>
      </c>
    </row>
    <row r="100" spans="1:4">
      <c r="A100" s="15" t="s">
        <v>117</v>
      </c>
      <c r="B100" s="7" t="str">
        <f>IF(Form!B168&lt;&gt;"",LEFT(Form!B168,6),"")</f>
        <v>070305</v>
      </c>
      <c r="C100" s="33" t="s">
        <v>118</v>
      </c>
      <c r="D100" t="str">
        <f>IF(B100&lt;&gt;"","    "&amp;"    "&amp;LEFT(A100,FIND("&gt;",A100)-1)&amp;IF(B101&lt;&gt;""," "&amp;A101&amp;"="&amp;""""&amp;B101&amp;"""","")&amp;MID(A100,FIND("&gt;",A100),FIND("&gt;",A100))&amp;B100&amp;LEFT(A100,FIND("&lt;",A100))&amp;"/"&amp;MID(A100,FIND("&lt;",A100)+1,FIND("&gt;",A100)),"")</f>
        <v xml:space="preserve">        &lt;subject type="anzsrc-for"&gt;070305&lt;/subject&gt;</v>
      </c>
    </row>
    <row r="101" spans="1:4">
      <c r="A101" s="16" t="s">
        <v>68</v>
      </c>
      <c r="B101" s="6" t="str">
        <f>IF(Form!B168&lt;&gt;"","anzsrc-for","")</f>
        <v>anzsrc-for</v>
      </c>
      <c r="C101" s="33" t="s">
        <v>118</v>
      </c>
    </row>
    <row r="102" spans="1:4">
      <c r="A102" s="15" t="s">
        <v>117</v>
      </c>
      <c r="B102" s="7" t="str">
        <f>IF(Form!B169&lt;&gt;"",LEFT(Form!B169,6),"")</f>
        <v>300207</v>
      </c>
      <c r="C102" s="33" t="s">
        <v>118</v>
      </c>
      <c r="D102" t="str">
        <f>IF(B102&lt;&gt;"","    "&amp;"    "&amp;LEFT(A102,FIND("&gt;",A102)-1)&amp;IF(B103&lt;&gt;""," "&amp;A103&amp;"="&amp;""""&amp;B103&amp;"""","")&amp;MID(A102,FIND("&gt;",A102),FIND("&gt;",A102))&amp;B102&amp;LEFT(A102,FIND("&lt;",A102))&amp;"/"&amp;MID(A102,FIND("&lt;",A102)+1,FIND("&gt;",A102)),"")</f>
        <v xml:space="preserve">        &lt;subject type="anzsrc-for"&gt;300207&lt;/subject&gt;</v>
      </c>
    </row>
    <row r="103" spans="1:4">
      <c r="A103" s="16" t="s">
        <v>68</v>
      </c>
      <c r="B103" s="6" t="str">
        <f>IF(Form!B169&lt;&gt;"","anzsrc-for","")</f>
        <v>anzsrc-for</v>
      </c>
      <c r="C103" s="33" t="s">
        <v>118</v>
      </c>
    </row>
    <row r="104" spans="1:4">
      <c r="A104" s="15" t="s">
        <v>117</v>
      </c>
      <c r="B104" s="7" t="str">
        <f>IF(Form!B170&lt;&gt;"",LEFT(Form!B170,6),"")</f>
        <v/>
      </c>
      <c r="C104" s="33" t="s">
        <v>118</v>
      </c>
      <c r="D104" t="str">
        <f>IF(B104&lt;&gt;"","    "&amp;"    "&amp;LEFT(A104,FIND("&gt;",A104)-1)&amp;IF(B105&lt;&gt;""," "&amp;A105&amp;"="&amp;""""&amp;B105&amp;"""","")&amp;MID(A104,FIND("&gt;",A104),FIND("&gt;",A104))&amp;B104&amp;LEFT(A104,FIND("&lt;",A104))&amp;"/"&amp;MID(A104,FIND("&lt;",A104)+1,FIND("&gt;",A104)),"")</f>
        <v/>
      </c>
    </row>
    <row r="105" spans="1:4">
      <c r="A105" s="16" t="s">
        <v>68</v>
      </c>
      <c r="B105" s="6" t="str">
        <f>IF(Form!B170&lt;&gt;"","anzsrc-for","")</f>
        <v/>
      </c>
      <c r="C105" s="33" t="s">
        <v>118</v>
      </c>
    </row>
    <row r="106" spans="1:4">
      <c r="A106"/>
      <c r="B106"/>
    </row>
    <row r="107" spans="1:4" s="1" customFormat="1" ht="15.75" thickBot="1">
      <c r="A107" s="94" t="s">
        <v>119</v>
      </c>
      <c r="B107" s="94"/>
      <c r="D107" s="3"/>
    </row>
    <row r="108" spans="1:4">
      <c r="A108" s="15" t="s">
        <v>120</v>
      </c>
      <c r="D108" t="str">
        <f>IF(B110&lt;&gt;"","    "&amp;"    "&amp;LEFT(A108,FIND("&gt;",A108)-1)&amp;IF(B109&lt;&gt;""," "&amp;A109&amp;"="&amp;""""&amp;B109&amp;"""","")&amp;MID(A108,FIND("&gt;",A108),FIND("&gt;",A108)),IF(B111&lt;&gt;"","    "&amp;"    "&amp;LEFT(A108,FIND("&gt;",A108)-1)&amp;IF(B109&lt;&gt;""," "&amp;A109&amp;"="&amp;""""&amp;B109&amp;"""","")&amp;MID(A108,FIND("&gt;",A108),FIND("&gt;",A108)),""))</f>
        <v xml:space="preserve">        &lt;relatedInfo type="party"&gt;</v>
      </c>
    </row>
    <row r="109" spans="1:4">
      <c r="A109" s="16" t="s">
        <v>68</v>
      </c>
      <c r="B109" s="6" t="str">
        <f>IF(Form!B10&lt;&gt;"","party","")</f>
        <v>party</v>
      </c>
      <c r="C109" s="67" t="s">
        <v>61</v>
      </c>
    </row>
    <row r="110" spans="1:4" ht="15" customHeight="1">
      <c r="A110" s="17" t="s">
        <v>122</v>
      </c>
      <c r="B110" s="7" t="str">
        <f>IF(Form!B10&lt;&gt;"","Grains Research and Development Corporation","")</f>
        <v>Grains Research and Development Corporation</v>
      </c>
      <c r="C110" s="67" t="s">
        <v>61</v>
      </c>
      <c r="D110" t="str">
        <f>IF(B110&lt;&gt;"","    "&amp;"    "&amp;"    "&amp;A110&amp;B110&amp;LEFT(A110,FIND("&lt;",A110))&amp;"/"&amp;MID(A110,FIND("&lt;",A110)+1,FIND("&gt;",A110)),"")</f>
        <v xml:space="preserve">            &lt;title&gt;Grains Research and Development Corporation&lt;/title&gt;</v>
      </c>
    </row>
    <row r="111" spans="1:4">
      <c r="A111" s="17" t="s">
        <v>93</v>
      </c>
      <c r="B111" s="7" t="str">
        <f>IF(Form!B10&lt;&gt;"","https://ror.org/02xwr1996","")</f>
        <v>https://ror.org/02xwr1996</v>
      </c>
      <c r="C111" s="67" t="s">
        <v>61</v>
      </c>
      <c r="D111" t="str">
        <f>IF(B111&lt;&gt;"","    "&amp;"    "&amp;"    "&amp;LEFT(A111,FIND("&gt;",A111)-1)&amp;IF(B112&lt;&gt;""," "&amp;A112&amp;"="&amp;""""&amp;B112&amp;"""","")&amp;MID(A111,FIND("&gt;",A111),FIND("&gt;",A111))&amp;B111&amp;LEFT(A111,FIND("&lt;",A111))&amp;"/"&amp;MID(A111,FIND("&lt;",A111)+1,FIND("&gt;",A111)),"")</f>
        <v xml:space="preserve">            &lt;identifier type="ror"&gt;https://ror.org/02xwr1996&lt;/identifier&gt;</v>
      </c>
    </row>
    <row r="112" spans="1:4">
      <c r="A112" s="18" t="s">
        <v>68</v>
      </c>
      <c r="B112" s="6" t="str">
        <f>IF(Form!B10&lt;&gt;"","ror","")</f>
        <v>ror</v>
      </c>
      <c r="C112" s="67" t="s">
        <v>61</v>
      </c>
    </row>
    <row r="113" spans="1:4">
      <c r="A113" s="17" t="s">
        <v>123</v>
      </c>
      <c r="D113" t="str">
        <f>IF(B110&lt;&gt;"","    "&amp;"    "&amp;"    "&amp;LEFT(A113,FIND("&gt;",A113)-1)&amp;IF(B114&lt;&gt;""," "&amp;A114&amp;"="&amp;""""&amp;B114&amp;"""","")&amp;MID(A113,FIND("&gt;",A113),FIND("&gt;",A113))&amp;LEFT(A113,FIND("&lt;",A113))&amp;"/"&amp;MID(A113,FIND("&lt;",A113)+1,FIND("&gt;",A113)),IF(B111&lt;&gt;"","    "&amp;"    "&amp;"    "&amp;LEFT(A113,FIND("&gt;",A113)-1)&amp;IF(B114&lt;&gt;""," "&amp;A114&amp;"="&amp;""""&amp;B114&amp;"""","")&amp;MID(A113,FIND("&gt;",A113),FIND("&gt;",A113))&amp;LEFT(A113,FIND("&lt;",A113))&amp;"/"&amp;MID(A113,FIND("&lt;",A113)+1,FIND("&gt;",A113)),""))</f>
        <v xml:space="preserve">            &lt;relation type="isOwnedBy"&gt;&lt;/relation&gt;</v>
      </c>
    </row>
    <row r="114" spans="1:4">
      <c r="A114" s="18" t="s">
        <v>68</v>
      </c>
      <c r="B114" s="6" t="str">
        <f>IF(Form!B10&lt;&gt;"","isOwnedBy","")</f>
        <v>isOwnedBy</v>
      </c>
      <c r="C114" s="67" t="s">
        <v>61</v>
      </c>
      <c r="D114" t="str">
        <f>IF(B110&lt;&gt;"","    "&amp;"    "&amp;LEFT(A108,FIND("&lt;",A108))&amp;"/"&amp;MID(A108,FIND("&lt;",A108)+1,FIND("&gt;",A108)),IF(B111&lt;&gt;"","    "&amp;"    "&amp;LEFT(A108,FIND("&lt;",A108))&amp;"/"&amp;MID(A108,FIND("&lt;",A108)+1,FIND("&gt;",A108)),""))</f>
        <v xml:space="preserve">        &lt;/relatedInfo&gt;</v>
      </c>
    </row>
    <row r="115" spans="1:4">
      <c r="A115" s="15" t="s">
        <v>120</v>
      </c>
      <c r="D115" t="str">
        <f>IF(B117&lt;&gt;"","    "&amp;"    "&amp;LEFT(A115,FIND("&gt;",A115)-1)&amp;IF(B116&lt;&gt;""," "&amp;A116&amp;"="&amp;""""&amp;B116&amp;"""","")&amp;MID(A115,FIND("&gt;",A115),FIND("&gt;",A115)),IF(B118&lt;&gt;"","    "&amp;"    "&amp;LEFT(A115,FIND("&gt;",A115)-1)&amp;IF(B116&lt;&gt;""," "&amp;A116&amp;"="&amp;""""&amp;B116&amp;"""","")&amp;MID(A115,FIND("&gt;",A115),FIND("&gt;",A115)),""))</f>
        <v xml:space="preserve">        &lt;relatedInfo type="party"&gt;</v>
      </c>
    </row>
    <row r="116" spans="1:4">
      <c r="A116" s="16" t="s">
        <v>68</v>
      </c>
      <c r="B116" s="6" t="str">
        <f>IF(Form!B10&lt;&gt;"","party","")</f>
        <v>party</v>
      </c>
      <c r="C116" s="67" t="s">
        <v>61</v>
      </c>
    </row>
    <row r="117" spans="1:4" ht="15" customHeight="1">
      <c r="A117" s="17" t="s">
        <v>122</v>
      </c>
      <c r="B117" s="7" t="str">
        <f>IF(Form!B10&lt;&gt;"",Form!B10,"")</f>
        <v>The University of Sydney</v>
      </c>
      <c r="C117" s="67" t="s">
        <v>61</v>
      </c>
      <c r="D117" t="str">
        <f>IF(B117&lt;&gt;"","    "&amp;"    "&amp;"    "&amp;A117&amp;B117&amp;LEFT(A117,FIND("&lt;",A117))&amp;"/"&amp;MID(A117,FIND("&lt;",A117)+1,FIND("&gt;",A117)),"")</f>
        <v xml:space="preserve">            &lt;title&gt;The University of Sydney&lt;/title&gt;</v>
      </c>
    </row>
    <row r="118" spans="1:4">
      <c r="A118" s="17" t="s">
        <v>93</v>
      </c>
      <c r="B118" s="7" t="str">
        <f>IF(Form!B11&lt;&gt;"",Form!B11,"")</f>
        <v>https://ror.org/0384j8v12</v>
      </c>
      <c r="C118" s="67" t="s">
        <v>61</v>
      </c>
      <c r="D118" t="str">
        <f>IF(B118&lt;&gt;"","    "&amp;"    "&amp;"    "&amp;LEFT(A118,FIND("&gt;",A118)-1)&amp;IF(B119&lt;&gt;""," "&amp;A119&amp;"="&amp;""""&amp;B119&amp;"""","")&amp;MID(A118,FIND("&gt;",A118),FIND("&gt;",A118))&amp;B118&amp;LEFT(A118,FIND("&lt;",A118))&amp;"/"&amp;MID(A118,FIND("&lt;",A118)+1,FIND("&gt;",A118)),"")</f>
        <v xml:space="preserve">            &lt;identifier type="ror"&gt;https://ror.org/0384j8v12&lt;/identifier&gt;</v>
      </c>
    </row>
    <row r="119" spans="1:4">
      <c r="A119" s="18" t="s">
        <v>68</v>
      </c>
      <c r="B119" s="6" t="str">
        <f>IF(Form!B11&lt;&gt;"","ror","")</f>
        <v>ror</v>
      </c>
      <c r="C119" s="67" t="s">
        <v>61</v>
      </c>
    </row>
    <row r="120" spans="1:4">
      <c r="A120" s="17" t="s">
        <v>123</v>
      </c>
      <c r="D120" t="str">
        <f>IF(B117&lt;&gt;"","    "&amp;"    "&amp;"    "&amp;LEFT(A120,FIND("&gt;",A120)-1)&amp;IF(B121&lt;&gt;""," "&amp;A121&amp;"="&amp;""""&amp;B121&amp;"""","")&amp;MID(A120,FIND("&gt;",A120),FIND("&gt;",A120))&amp;LEFT(A120,FIND("&lt;",A120))&amp;"/"&amp;MID(A120,FIND("&lt;",A120)+1,FIND("&gt;",A120)),IF(B118&lt;&gt;"","    "&amp;"    "&amp;"    "&amp;LEFT(A120,FIND("&gt;",A120)-1)&amp;IF(B121&lt;&gt;""," "&amp;A121&amp;"="&amp;""""&amp;B121&amp;"""","")&amp;MID(A120,FIND("&gt;",A120),FIND("&gt;",A120))&amp;LEFT(A120,FIND("&lt;",A120))&amp;"/"&amp;MID(A120,FIND("&lt;",A120)+1,FIND("&gt;",A120)),""))</f>
        <v xml:space="preserve">            &lt;relation type="isOwnedBy"&gt;&lt;/relation&gt;</v>
      </c>
    </row>
    <row r="121" spans="1:4">
      <c r="A121" s="18" t="s">
        <v>68</v>
      </c>
      <c r="B121" s="6" t="str">
        <f>IF(Form!B10&lt;&gt;"","isOwnedBy","")</f>
        <v>isOwnedBy</v>
      </c>
      <c r="C121" s="67" t="s">
        <v>61</v>
      </c>
      <c r="D121" t="str">
        <f>IF(B117&lt;&gt;"","    "&amp;"    "&amp;LEFT(A115,FIND("&lt;",A115))&amp;"/"&amp;MID(A115,FIND("&lt;",A115)+1,FIND("&gt;",A115)),IF(B118&lt;&gt;"","    "&amp;"    "&amp;LEFT(A115,FIND("&lt;",A115))&amp;"/"&amp;MID(A115,FIND("&lt;",A115)+1,FIND("&gt;",A115)),""))</f>
        <v xml:space="preserve">        &lt;/relatedInfo&gt;</v>
      </c>
    </row>
    <row r="122" spans="1:4">
      <c r="A122" s="15" t="s">
        <v>120</v>
      </c>
      <c r="D122" t="str">
        <f>IF(B124&lt;&gt;"","    "&amp;"    "&amp;LEFT(A122,FIND("&gt;",A122)-1)&amp;IF(B123&lt;&gt;""," "&amp;A123&amp;"="&amp;""""&amp;B123&amp;"""","")&amp;MID(A122,FIND("&gt;",A122),FIND("&gt;",A122)),IF(B125&lt;&gt;"","    "&amp;"    "&amp;LEFT(A122,FIND("&gt;",A122)-1)&amp;IF(B123&lt;&gt;""," "&amp;A123&amp;"="&amp;""""&amp;B123&amp;"""","")&amp;MID(A122,FIND("&gt;",A122),FIND("&gt;",A122)),""))</f>
        <v xml:space="preserve">        &lt;relatedInfo type="party"&gt;</v>
      </c>
    </row>
    <row r="123" spans="1:4">
      <c r="A123" s="16" t="s">
        <v>68</v>
      </c>
      <c r="B123" s="6" t="str">
        <f>IF(Form!B10&lt;&gt;"","party","")</f>
        <v>party</v>
      </c>
      <c r="C123" s="67" t="s">
        <v>61</v>
      </c>
    </row>
    <row r="124" spans="1:4" ht="15" customHeight="1">
      <c r="A124" s="17" t="s">
        <v>122</v>
      </c>
      <c r="B124" s="7" t="str">
        <f>IF(Form!B10&lt;&gt;"",Form!B10,"")</f>
        <v>The University of Sydney</v>
      </c>
      <c r="C124" s="67" t="s">
        <v>61</v>
      </c>
      <c r="D124" t="str">
        <f>IF(B124&lt;&gt;"","    "&amp;"    "&amp;"    "&amp;A124&amp;B124&amp;LEFT(A124,FIND("&lt;",A124))&amp;"/"&amp;MID(A124,FIND("&lt;",A124)+1,FIND("&gt;",A124)),"")</f>
        <v xml:space="preserve">            &lt;title&gt;The University of Sydney&lt;/title&gt;</v>
      </c>
    </row>
    <row r="125" spans="1:4">
      <c r="A125" s="17" t="s">
        <v>93</v>
      </c>
      <c r="B125" s="7" t="str">
        <f>IF(Form!B11&lt;&gt;"",Form!B11,"")</f>
        <v>https://ror.org/0384j8v12</v>
      </c>
      <c r="C125" s="67" t="s">
        <v>61</v>
      </c>
      <c r="D125" t="str">
        <f>IF(B125&lt;&gt;"","    "&amp;"    "&amp;"    "&amp;LEFT(A125,FIND("&gt;",A125)-1)&amp;IF(B126&lt;&gt;""," "&amp;A126&amp;"="&amp;""""&amp;B126&amp;"""","")&amp;MID(A125,FIND("&gt;",A125),FIND("&gt;",A125))&amp;B125&amp;LEFT(A125,FIND("&lt;",A125))&amp;"/"&amp;MID(A125,FIND("&lt;",A125)+1,FIND("&gt;",A125)),"")</f>
        <v xml:space="preserve">            &lt;identifier type="ror"&gt;https://ror.org/0384j8v12&lt;/identifier&gt;</v>
      </c>
    </row>
    <row r="126" spans="1:4">
      <c r="A126" s="18" t="s">
        <v>68</v>
      </c>
      <c r="B126" s="6" t="str">
        <f>IF(Form!B11&lt;&gt;"","ror","")</f>
        <v>ror</v>
      </c>
      <c r="C126" s="67" t="s">
        <v>61</v>
      </c>
    </row>
    <row r="127" spans="1:4">
      <c r="A127" s="17" t="s">
        <v>123</v>
      </c>
      <c r="D127" t="str">
        <f>IF(B124&lt;&gt;"","    "&amp;"    "&amp;"    "&amp;LEFT(A127,FIND("&gt;",A127)-1)&amp;IF(B128&lt;&gt;""," "&amp;A128&amp;"="&amp;""""&amp;B128&amp;"""","")&amp;MID(A127,FIND("&gt;",A127),FIND("&gt;",A127))&amp;LEFT(A127,FIND("&lt;",A127))&amp;"/"&amp;MID(A127,FIND("&lt;",A127)+1,FIND("&gt;",A127)),IF(B125&lt;&gt;"","    "&amp;"    "&amp;"    "&amp;LEFT(A127,FIND("&gt;",A127)-1)&amp;IF(B128&lt;&gt;""," "&amp;A128&amp;"="&amp;""""&amp;B128&amp;"""","")&amp;MID(A127,FIND("&gt;",A127),FIND("&gt;",A127))&amp;LEFT(A127,FIND("&lt;",A127))&amp;"/"&amp;MID(A127,FIND("&lt;",A127)+1,FIND("&gt;",A127)),""))</f>
        <v xml:space="preserve">            &lt;relation type="isManagedBy"&gt;&lt;/relation&gt;</v>
      </c>
    </row>
    <row r="128" spans="1:4">
      <c r="A128" s="18" t="s">
        <v>68</v>
      </c>
      <c r="B128" s="6" t="str">
        <f>IF(Form!B10&lt;&gt;"","isManagedBy","")</f>
        <v>isManagedBy</v>
      </c>
      <c r="C128" s="67" t="s">
        <v>61</v>
      </c>
      <c r="D128" t="str">
        <f>IF(B124&lt;&gt;"","    "&amp;"    "&amp;LEFT(A122,FIND("&lt;",A122))&amp;"/"&amp;MID(A122,FIND("&lt;",A122)+1,FIND("&gt;",A122)),IF(B125&lt;&gt;"","    "&amp;"    "&amp;LEFT(A122,FIND("&lt;",A122))&amp;"/"&amp;MID(A122,FIND("&lt;",A122)+1,FIND("&gt;",A122)),""))</f>
        <v xml:space="preserve">        &lt;/relatedInfo&gt;</v>
      </c>
    </row>
    <row r="129" spans="1:4">
      <c r="A129" s="15" t="s">
        <v>120</v>
      </c>
      <c r="D129" t="str">
        <f>IF(B131&lt;&gt;"","    "&amp;"    "&amp;LEFT(A129,FIND("&gt;",A129)-1)&amp;IF(B130&lt;&gt;""," "&amp;A130&amp;"="&amp;""""&amp;B130&amp;"""","")&amp;MID(A129,FIND("&gt;",A129),FIND("&gt;",A129)),IF(B132&lt;&gt;"","    "&amp;"    "&amp;LEFT(A129,FIND("&gt;",A129)-1)&amp;IF(B130&lt;&gt;""," "&amp;A130&amp;"="&amp;""""&amp;B130&amp;"""","")&amp;MID(A129,FIND("&gt;",A129),FIND("&gt;",A129)),""))</f>
        <v xml:space="preserve">        &lt;relatedInfo type="party"&gt;</v>
      </c>
    </row>
    <row r="130" spans="1:4">
      <c r="A130" s="16" t="s">
        <v>68</v>
      </c>
      <c r="B130" s="6" t="str">
        <f>IF(Form!B15&lt;&gt;"","party","")</f>
        <v>party</v>
      </c>
      <c r="C130" s="67" t="s">
        <v>61</v>
      </c>
    </row>
    <row r="131" spans="1:4" ht="15" customHeight="1">
      <c r="A131" s="17" t="s">
        <v>122</v>
      </c>
      <c r="B131" s="7" t="str">
        <f>IF(Form!B15&lt;&gt;"",Form!B15,"")</f>
        <v>The University of Adelaide</v>
      </c>
      <c r="C131" s="67" t="s">
        <v>61</v>
      </c>
      <c r="D131" t="str">
        <f>IF(B131&lt;&gt;"","    "&amp;"    "&amp;"    "&amp;A131&amp;B131&amp;LEFT(A131,FIND("&lt;",A131))&amp;"/"&amp;MID(A131,FIND("&lt;",A131)+1,FIND("&gt;",A131)),"")</f>
        <v xml:space="preserve">            &lt;title&gt;The University of Adelaide&lt;/title&gt;</v>
      </c>
    </row>
    <row r="132" spans="1:4">
      <c r="A132" s="17" t="s">
        <v>93</v>
      </c>
      <c r="B132" s="7" t="str">
        <f>IF(Form!B16&lt;&gt;"",Form!B16,"")</f>
        <v>https://ror.org/00892tw58</v>
      </c>
      <c r="C132" s="67" t="s">
        <v>61</v>
      </c>
      <c r="D132" t="str">
        <f>IF(B132&lt;&gt;"","    "&amp;"    "&amp;"    "&amp;LEFT(A132,FIND("&gt;",A132)-1)&amp;IF(B133&lt;&gt;""," "&amp;A133&amp;"="&amp;""""&amp;B133&amp;"""","")&amp;MID(A132,FIND("&gt;",A132),FIND("&gt;",A132))&amp;B132&amp;LEFT(A132,FIND("&lt;",A132))&amp;"/"&amp;MID(A132,FIND("&lt;",A132)+1,FIND("&gt;",A132)),"")</f>
        <v xml:space="preserve">            &lt;identifier type="ror"&gt;https://ror.org/00892tw58&lt;/identifier&gt;</v>
      </c>
    </row>
    <row r="133" spans="1:4">
      <c r="A133" s="18" t="s">
        <v>68</v>
      </c>
      <c r="B133" s="6" t="str">
        <f>IF(Form!B16&lt;&gt;"","ror","")</f>
        <v>ror</v>
      </c>
      <c r="C133" s="67" t="s">
        <v>61</v>
      </c>
    </row>
    <row r="134" spans="1:4">
      <c r="A134" s="17" t="s">
        <v>123</v>
      </c>
      <c r="D134" t="str">
        <f>IF(B131&lt;&gt;"","    "&amp;"    "&amp;"    "&amp;LEFT(A134,FIND("&gt;",A134)-1)&amp;IF(B135&lt;&gt;""," "&amp;A135&amp;"="&amp;""""&amp;B135&amp;"""","")&amp;MID(A134,FIND("&gt;",A134),FIND("&gt;",A134))&amp;LEFT(A134,FIND("&lt;",A134))&amp;"/"&amp;MID(A134,FIND("&lt;",A134)+1,FIND("&gt;",A134)),IF(B132&lt;&gt;"","    "&amp;"    "&amp;"    "&amp;LEFT(A134,FIND("&gt;",A134)-1)&amp;IF(B135&lt;&gt;""," "&amp;A135&amp;"="&amp;""""&amp;B135&amp;"""","")&amp;MID(A134,FIND("&gt;",A134),FIND("&gt;",A134))&amp;LEFT(A134,FIND("&lt;",A134))&amp;"/"&amp;MID(A134,FIND("&lt;",A134)+1,FIND("&gt;",A134)),""))</f>
        <v xml:space="preserve">            &lt;relation type="hasAssociationWith"&gt;&lt;/relation&gt;</v>
      </c>
    </row>
    <row r="135" spans="1:4">
      <c r="A135" s="18" t="s">
        <v>68</v>
      </c>
      <c r="B135" s="6" t="str">
        <f>IF(Form!B17="Owner","isOwnedBy",IF(Form!B17="Manager","isManagedBy",IF(Form!B17="Collector","hasCollector",IF(Form!B17="Enricher","isEnrichedBy",IF(Form!B17="Associated","hasAssociationWith","")))))</f>
        <v>hasAssociationWith</v>
      </c>
      <c r="C135" s="67" t="s">
        <v>61</v>
      </c>
      <c r="D135" t="str">
        <f>IF(B131&lt;&gt;"","    "&amp;"    "&amp;LEFT(A129,FIND("&lt;",A129))&amp;"/"&amp;MID(A129,FIND("&lt;",A129)+1,FIND("&gt;",A129)),IF(B132&lt;&gt;"","    "&amp;"    "&amp;LEFT(A129,FIND("&lt;",A129))&amp;"/"&amp;MID(A129,FIND("&lt;",A129)+1,FIND("&gt;",A129)),""))</f>
        <v xml:space="preserve">        &lt;/relatedInfo&gt;</v>
      </c>
    </row>
    <row r="136" spans="1:4">
      <c r="A136" s="15" t="s">
        <v>120</v>
      </c>
      <c r="D136" t="str">
        <f>IF(B138&lt;&gt;"","    "&amp;"    "&amp;LEFT(A136,FIND("&gt;",A136)-1)&amp;IF(B137&lt;&gt;""," "&amp;A137&amp;"="&amp;""""&amp;B137&amp;"""","")&amp;MID(A136,FIND("&gt;",A136),FIND("&gt;",A136)),IF(B139&lt;&gt;"","    "&amp;"    "&amp;LEFT(A136,FIND("&gt;",A136)-1)&amp;IF(B137&lt;&gt;""," "&amp;A137&amp;"="&amp;""""&amp;B137&amp;"""","")&amp;MID(A136,FIND("&gt;",A136),FIND("&gt;",A136)),""))</f>
        <v/>
      </c>
    </row>
    <row r="137" spans="1:4">
      <c r="A137" s="16" t="s">
        <v>68</v>
      </c>
      <c r="B137" s="6" t="str">
        <f>IF(Form!B19&lt;&gt;"","party","")</f>
        <v/>
      </c>
      <c r="C137" s="67" t="s">
        <v>61</v>
      </c>
    </row>
    <row r="138" spans="1:4" ht="15" customHeight="1">
      <c r="A138" s="17" t="s">
        <v>122</v>
      </c>
      <c r="B138" s="7" t="str">
        <f>IF(Form!B19&lt;&gt;"",Form!B19,"")</f>
        <v/>
      </c>
      <c r="C138" s="67" t="s">
        <v>61</v>
      </c>
      <c r="D138" t="str">
        <f>IF(B138&lt;&gt;"","    "&amp;"    "&amp;"    "&amp;A138&amp;B138&amp;LEFT(A138,FIND("&lt;",A138))&amp;"/"&amp;MID(A138,FIND("&lt;",A138)+1,FIND("&gt;",A138)),"")</f>
        <v/>
      </c>
    </row>
    <row r="139" spans="1:4">
      <c r="A139" s="17" t="s">
        <v>93</v>
      </c>
      <c r="B139" s="7" t="str">
        <f>IF(Form!B20&lt;&gt;"",Form!B20,"")</f>
        <v/>
      </c>
      <c r="C139" s="67" t="s">
        <v>61</v>
      </c>
      <c r="D139" t="str">
        <f>IF(B139&lt;&gt;"","    "&amp;"    "&amp;"    "&amp;LEFT(A139,FIND("&gt;",A139)-1)&amp;IF(B140&lt;&gt;""," "&amp;A140&amp;"="&amp;""""&amp;B140&amp;"""","")&amp;MID(A139,FIND("&gt;",A139),FIND("&gt;",A139))&amp;B139&amp;LEFT(A139,FIND("&lt;",A139))&amp;"/"&amp;MID(A139,FIND("&lt;",A139)+1,FIND("&gt;",A139)),"")</f>
        <v/>
      </c>
    </row>
    <row r="140" spans="1:4">
      <c r="A140" s="18" t="s">
        <v>68</v>
      </c>
      <c r="B140" s="6" t="str">
        <f>IF(Form!B20&lt;&gt;"","ror","")</f>
        <v/>
      </c>
      <c r="C140" s="67" t="s">
        <v>61</v>
      </c>
    </row>
    <row r="141" spans="1:4">
      <c r="A141" s="17" t="s">
        <v>123</v>
      </c>
      <c r="D141" t="str">
        <f>IF(B138&lt;&gt;"","    "&amp;"    "&amp;"    "&amp;LEFT(A141,FIND("&gt;",A141)-1)&amp;IF(B142&lt;&gt;""," "&amp;A142&amp;"="&amp;""""&amp;B142&amp;"""","")&amp;MID(A141,FIND("&gt;",A141),FIND("&gt;",A141))&amp;LEFT(A141,FIND("&lt;",A141))&amp;"/"&amp;MID(A141,FIND("&lt;",A141)+1,FIND("&gt;",A141)),IF(B139&lt;&gt;"","    "&amp;"    "&amp;"    "&amp;LEFT(A141,FIND("&gt;",A141)-1)&amp;IF(B142&lt;&gt;""," "&amp;A142&amp;"="&amp;""""&amp;B142&amp;"""","")&amp;MID(A141,FIND("&gt;",A141),FIND("&gt;",A141))&amp;LEFT(A141,FIND("&lt;",A141))&amp;"/"&amp;MID(A141,FIND("&lt;",A141)+1,FIND("&gt;",A141)),""))</f>
        <v/>
      </c>
    </row>
    <row r="142" spans="1:4">
      <c r="A142" s="18" t="s">
        <v>68</v>
      </c>
      <c r="B142" s="6" t="str">
        <f>IF(Form!B21="Owner","isOwnedBy",IF(Form!B21="Manager","isManagedBy",IF(Form!B21="Collector","hasCollector",IF(Form!B21="Enricher","isEnrichedBy",IF(Form!B21="Associated","hasAssociationWith","")))))</f>
        <v/>
      </c>
      <c r="C142" s="67" t="s">
        <v>61</v>
      </c>
      <c r="D142" t="str">
        <f>IF(B138&lt;&gt;"","    "&amp;"    "&amp;LEFT(A136,FIND("&lt;",A136))&amp;"/"&amp;MID(A136,FIND("&lt;",A136)+1,FIND("&gt;",A136)),IF(B139&lt;&gt;"","    "&amp;"    "&amp;LEFT(A136,FIND("&lt;",A136))&amp;"/"&amp;MID(A136,FIND("&lt;",A136)+1,FIND("&gt;",A136)),""))</f>
        <v/>
      </c>
    </row>
    <row r="143" spans="1:4">
      <c r="A143" s="15" t="s">
        <v>120</v>
      </c>
      <c r="D143" t="str">
        <f>IF(B145&lt;&gt;"","    "&amp;"    "&amp;LEFT(A143,FIND("&gt;",A143)-1)&amp;IF(B144&lt;&gt;""," "&amp;A144&amp;"="&amp;""""&amp;B144&amp;"""","")&amp;MID(A143,FIND("&gt;",A143),FIND("&gt;",A143)),IF(B146&lt;&gt;"","    "&amp;"    "&amp;LEFT(A143,FIND("&gt;",A143)-1)&amp;IF(B144&lt;&gt;""," "&amp;A144&amp;"="&amp;""""&amp;B144&amp;"""","")&amp;MID(A143,FIND("&gt;",A143),FIND("&gt;",A143)),""))</f>
        <v/>
      </c>
    </row>
    <row r="144" spans="1:4">
      <c r="A144" s="16" t="s">
        <v>68</v>
      </c>
      <c r="B144" s="6" t="str">
        <f>IF(Form!B23&lt;&gt;"","party","")</f>
        <v/>
      </c>
      <c r="C144" s="67" t="s">
        <v>61</v>
      </c>
    </row>
    <row r="145" spans="1:4" ht="15" customHeight="1">
      <c r="A145" s="17" t="s">
        <v>122</v>
      </c>
      <c r="B145" s="7" t="str">
        <f>IF(Form!B23&lt;&gt;"",Form!B23,"")</f>
        <v/>
      </c>
      <c r="C145" s="67" t="s">
        <v>61</v>
      </c>
      <c r="D145" t="str">
        <f>IF(B145&lt;&gt;"","    "&amp;"    "&amp;"    "&amp;A145&amp;B145&amp;LEFT(A145,FIND("&lt;",A145))&amp;"/"&amp;MID(A145,FIND("&lt;",A145)+1,FIND("&gt;",A145)),"")</f>
        <v/>
      </c>
    </row>
    <row r="146" spans="1:4">
      <c r="A146" s="17" t="s">
        <v>93</v>
      </c>
      <c r="B146" s="7" t="str">
        <f>IF(Form!B24&lt;&gt;"",Form!B24,"")</f>
        <v/>
      </c>
      <c r="C146" s="67" t="s">
        <v>61</v>
      </c>
      <c r="D146" t="str">
        <f>IF(B146&lt;&gt;"","    "&amp;"    "&amp;"    "&amp;LEFT(A146,FIND("&gt;",A146)-1)&amp;IF(B147&lt;&gt;""," "&amp;A147&amp;"="&amp;""""&amp;B147&amp;"""","")&amp;MID(A146,FIND("&gt;",A146),FIND("&gt;",A146))&amp;B146&amp;LEFT(A146,FIND("&lt;",A146))&amp;"/"&amp;MID(A146,FIND("&lt;",A146)+1,FIND("&gt;",A146)),"")</f>
        <v/>
      </c>
    </row>
    <row r="147" spans="1:4">
      <c r="A147" s="18" t="s">
        <v>68</v>
      </c>
      <c r="B147" s="6" t="str">
        <f>IF(Form!B24&lt;&gt;"","ror","")</f>
        <v/>
      </c>
      <c r="C147" s="67" t="s">
        <v>61</v>
      </c>
    </row>
    <row r="148" spans="1:4">
      <c r="A148" s="17" t="s">
        <v>123</v>
      </c>
      <c r="D148" t="str">
        <f>IF(B145&lt;&gt;"","    "&amp;"    "&amp;"    "&amp;LEFT(A148,FIND("&gt;",A148)-1)&amp;IF(B149&lt;&gt;""," "&amp;A149&amp;"="&amp;""""&amp;B149&amp;"""","")&amp;MID(A148,FIND("&gt;",A148),FIND("&gt;",A148))&amp;LEFT(A148,FIND("&lt;",A148))&amp;"/"&amp;MID(A148,FIND("&lt;",A148)+1,FIND("&gt;",A148)),IF(B146&lt;&gt;"","    "&amp;"    "&amp;"    "&amp;LEFT(A148,FIND("&gt;",A148)-1)&amp;IF(B149&lt;&gt;""," "&amp;A149&amp;"="&amp;""""&amp;B149&amp;"""","")&amp;MID(A148,FIND("&gt;",A148),FIND("&gt;",A148))&amp;LEFT(A148,FIND("&lt;",A148))&amp;"/"&amp;MID(A148,FIND("&lt;",A148)+1,FIND("&gt;",A148)),""))</f>
        <v/>
      </c>
    </row>
    <row r="149" spans="1:4">
      <c r="A149" s="18" t="s">
        <v>68</v>
      </c>
      <c r="B149" s="6" t="str">
        <f>IF(Form!B25="Owner","isOwnedBy",IF(Form!B25="Manager","isManagedBy",IF(Form!B25="Collector","hasCollector",IF(Form!B25="Enricher","isEnrichedBy",IF(Form!B25="Associated","hasAssociationWith","")))))</f>
        <v/>
      </c>
      <c r="C149" s="67" t="s">
        <v>61</v>
      </c>
      <c r="D149" t="str">
        <f>IF(B145&lt;&gt;"","    "&amp;"    "&amp;LEFT(A143,FIND("&lt;",A143))&amp;"/"&amp;MID(A143,FIND("&lt;",A143)+1,FIND("&gt;",A143)),IF(B146&lt;&gt;"","    "&amp;"    "&amp;LEFT(A143,FIND("&lt;",A143))&amp;"/"&amp;MID(A143,FIND("&lt;",A143)+1,FIND("&gt;",A143)),""))</f>
        <v/>
      </c>
    </row>
    <row r="150" spans="1:4">
      <c r="A150" s="15" t="s">
        <v>120</v>
      </c>
      <c r="D150" t="str">
        <f>IF(B152&lt;&gt;"","    "&amp;"    "&amp;LEFT(A150,FIND("&gt;",A150)-1)&amp;IF(B151&lt;&gt;""," "&amp;A151&amp;"="&amp;""""&amp;B151&amp;"""","")&amp;MID(A150,FIND("&gt;",A150),FIND("&gt;",A150)),IF(B153&lt;&gt;"","    "&amp;"    "&amp;LEFT(A150,FIND("&gt;",A150)-1)&amp;IF(B151&lt;&gt;""," "&amp;A151&amp;"="&amp;""""&amp;B151&amp;"""","")&amp;MID(A150,FIND("&gt;",A150),FIND("&gt;",A150)),""))</f>
        <v/>
      </c>
    </row>
    <row r="151" spans="1:4">
      <c r="A151" s="16" t="s">
        <v>68</v>
      </c>
      <c r="B151" s="6" t="str">
        <f>IF(Form!B27&lt;&gt;"","party","")</f>
        <v/>
      </c>
      <c r="C151" s="67" t="s">
        <v>61</v>
      </c>
    </row>
    <row r="152" spans="1:4" ht="15" customHeight="1">
      <c r="A152" s="17" t="s">
        <v>122</v>
      </c>
      <c r="B152" s="7" t="str">
        <f>IF(Form!B27&lt;&gt;"",Form!B27,"")</f>
        <v/>
      </c>
      <c r="C152" s="67" t="s">
        <v>61</v>
      </c>
      <c r="D152" t="str">
        <f>IF(B152&lt;&gt;"","    "&amp;"    "&amp;"    "&amp;A152&amp;B152&amp;LEFT(A152,FIND("&lt;",A152))&amp;"/"&amp;MID(A152,FIND("&lt;",A152)+1,FIND("&gt;",A152)),"")</f>
        <v/>
      </c>
    </row>
    <row r="153" spans="1:4">
      <c r="A153" s="17" t="s">
        <v>93</v>
      </c>
      <c r="B153" s="7" t="str">
        <f>IF(Form!B28&lt;&gt;"",Form!B28,"")</f>
        <v/>
      </c>
      <c r="C153" s="67" t="s">
        <v>61</v>
      </c>
      <c r="D153" t="str">
        <f>IF(B153&lt;&gt;"","    "&amp;"    "&amp;"    "&amp;LEFT(A153,FIND("&gt;",A153)-1)&amp;IF(B154&lt;&gt;""," "&amp;A154&amp;"="&amp;""""&amp;B154&amp;"""","")&amp;MID(A153,FIND("&gt;",A153),FIND("&gt;",A153))&amp;B153&amp;LEFT(A153,FIND("&lt;",A153))&amp;"/"&amp;MID(A153,FIND("&lt;",A153)+1,FIND("&gt;",A153)),"")</f>
        <v/>
      </c>
    </row>
    <row r="154" spans="1:4">
      <c r="A154" s="18" t="s">
        <v>68</v>
      </c>
      <c r="B154" s="6" t="str">
        <f>IF(Form!B28&lt;&gt;"","ror","")</f>
        <v/>
      </c>
      <c r="C154" s="67" t="s">
        <v>61</v>
      </c>
    </row>
    <row r="155" spans="1:4">
      <c r="A155" s="17" t="s">
        <v>123</v>
      </c>
      <c r="D155" t="str">
        <f>IF(B152&lt;&gt;"","    "&amp;"    "&amp;"    "&amp;LEFT(A155,FIND("&gt;",A155)-1)&amp;IF(B156&lt;&gt;""," "&amp;A156&amp;"="&amp;""""&amp;B156&amp;"""","")&amp;MID(A155,FIND("&gt;",A155),FIND("&gt;",A155))&amp;LEFT(A155,FIND("&lt;",A155))&amp;"/"&amp;MID(A155,FIND("&lt;",A155)+1,FIND("&gt;",A155)),IF(B153&lt;&gt;"","    "&amp;"    "&amp;"    "&amp;LEFT(A155,FIND("&gt;",A155)-1)&amp;IF(B156&lt;&gt;""," "&amp;A156&amp;"="&amp;""""&amp;B156&amp;"""","")&amp;MID(A155,FIND("&gt;",A155),FIND("&gt;",A155))&amp;LEFT(A155,FIND("&lt;",A155))&amp;"/"&amp;MID(A155,FIND("&lt;",A155)+1,FIND("&gt;",A155)),""))</f>
        <v/>
      </c>
    </row>
    <row r="156" spans="1:4">
      <c r="A156" s="18" t="s">
        <v>68</v>
      </c>
      <c r="B156" s="6" t="str">
        <f>IF(Form!B29="Owner","isOwnedBy",IF(Form!B29="Manager","isManagedBy",IF(Form!B29="Collector","hasCollector",IF(Form!B29="Enricher","isEnrichedBy",IF(Form!B29="Associated","hasAssociationWith","")))))</f>
        <v/>
      </c>
      <c r="C156" s="67" t="s">
        <v>61</v>
      </c>
      <c r="D156" t="str">
        <f>IF(B152&lt;&gt;"","    "&amp;"    "&amp;LEFT(A150,FIND("&lt;",A150))&amp;"/"&amp;MID(A150,FIND("&lt;",A150)+1,FIND("&gt;",A150)),IF(B153&lt;&gt;"","    "&amp;"    "&amp;LEFT(A150,FIND("&lt;",A150))&amp;"/"&amp;MID(A150,FIND("&lt;",A150)+1,FIND("&gt;",A150)),""))</f>
        <v/>
      </c>
    </row>
    <row r="157" spans="1:4">
      <c r="A157" s="15" t="s">
        <v>120</v>
      </c>
      <c r="D157" t="str">
        <f>IF(B159&lt;&gt;"","    "&amp;"    "&amp;LEFT(A157,FIND("&gt;",A157)-1)&amp;IF(B158&lt;&gt;""," "&amp;A158&amp;"="&amp;""""&amp;B158&amp;"""","")&amp;MID(A157,FIND("&gt;",A157),FIND("&gt;",A157)),IF(B160&lt;&gt;"","    "&amp;"    "&amp;LEFT(A157,FIND("&gt;",A157)-1)&amp;IF(B158&lt;&gt;""," "&amp;A158&amp;"="&amp;""""&amp;B158&amp;"""","")&amp;MID(A157,FIND("&gt;",A157),FIND("&gt;",A157)),""))</f>
        <v xml:space="preserve">        &lt;relatedInfo type="activity"&gt;</v>
      </c>
    </row>
    <row r="158" spans="1:4">
      <c r="A158" s="16" t="s">
        <v>68</v>
      </c>
      <c r="B158" s="6" t="str">
        <f>IF(Form!B33&lt;&gt;"","activity","")</f>
        <v>activity</v>
      </c>
      <c r="C158" s="67" t="s">
        <v>121</v>
      </c>
    </row>
    <row r="159" spans="1:4" ht="15" customHeight="1">
      <c r="A159" s="17" t="s">
        <v>122</v>
      </c>
      <c r="B159" s="7" t="str">
        <f>IF(Form!B33&lt;&gt;"",Form!B33,"")</f>
        <v>Introgression of heat-tolerant genes to broaden genetic variation in current wheat breeding populations</v>
      </c>
      <c r="C159" s="67" t="s">
        <v>121</v>
      </c>
      <c r="D159" t="str">
        <f>IF(B159&lt;&gt;"","    "&amp;"    "&amp;"    "&amp;A159&amp;B159&amp;LEFT(A159,FIND("&lt;",A159))&amp;"/"&amp;MID(A159,FIND("&lt;",A159)+1,FIND("&gt;",A159)),"")</f>
        <v xml:space="preserve">            &lt;title&gt;Introgression of heat-tolerant genes to broaden genetic variation in current wheat breeding populations&lt;/title&gt;</v>
      </c>
    </row>
    <row r="160" spans="1:4">
      <c r="A160" s="17" t="s">
        <v>93</v>
      </c>
      <c r="B160" s="7" t="str">
        <f>IF(Form!B32&lt;&gt;"",Form!B32,"")</f>
        <v xml:space="preserve">UOS1606-004RMX </v>
      </c>
      <c r="C160" s="67" t="s">
        <v>121</v>
      </c>
      <c r="D160" t="str">
        <f>IF(B160&lt;&gt;"","    "&amp;"    "&amp;"    "&amp;LEFT(A160,FIND("&gt;",A160)-1)&amp;IF(B161&lt;&gt;""," "&amp;A161&amp;"="&amp;""""&amp;B161&amp;"""","")&amp;MID(A160,FIND("&gt;",A160),FIND("&gt;",A160))&amp;B160&amp;LEFT(A160,FIND("&lt;",A160))&amp;"/"&amp;MID(A160,FIND("&lt;",A160)+1,FIND("&gt;",A160)),"")</f>
        <v xml:space="preserve">            &lt;identifier type="local"&gt;UOS1606-004RMX &lt;/identifier&gt;</v>
      </c>
    </row>
    <row r="161" spans="1:4">
      <c r="A161" s="18" t="s">
        <v>68</v>
      </c>
      <c r="B161" s="6" t="str">
        <f>IF(Form!B32&lt;&gt;"","local","")</f>
        <v>local</v>
      </c>
      <c r="C161" s="67" t="s">
        <v>121</v>
      </c>
    </row>
    <row r="162" spans="1:4">
      <c r="A162" s="17" t="s">
        <v>123</v>
      </c>
      <c r="D162" t="str">
        <f>IF(B159&lt;&gt;"","    "&amp;"    "&amp;"    "&amp;LEFT(A162,FIND("&gt;",A162)-1)&amp;IF(B163&lt;&gt;""," "&amp;A163&amp;"="&amp;""""&amp;B163&amp;"""","")&amp;MID(A162,FIND("&gt;",A162),FIND("&gt;",A162))&amp;LEFT(A162,FIND("&lt;",A162))&amp;"/"&amp;MID(A162,FIND("&lt;",A162)+1,FIND("&gt;",A162)),IF(B160&lt;&gt;"","    "&amp;"    "&amp;"    "&amp;LEFT(A162,FIND("&gt;",A162)-1)&amp;IF(B163&lt;&gt;""," "&amp;A163&amp;"="&amp;""""&amp;B163&amp;"""","")&amp;MID(A162,FIND("&gt;",A162),FIND("&gt;",A162))&amp;LEFT(A162,FIND("&lt;",A162))&amp;"/"&amp;MID(A162,FIND("&lt;",A162)+1,FIND("&gt;",A162)),""))</f>
        <v xml:space="preserve">            &lt;relation type="isOutputOf"&gt;&lt;/relation&gt;</v>
      </c>
    </row>
    <row r="163" spans="1:4">
      <c r="A163" s="18" t="s">
        <v>68</v>
      </c>
      <c r="B163" s="6" t="str">
        <f>IF(Form!B33&lt;&gt;"","isOutputOf","")</f>
        <v>isOutputOf</v>
      </c>
      <c r="C163" s="67" t="s">
        <v>121</v>
      </c>
      <c r="D163" t="str">
        <f>IF(B159&lt;&gt;"","    "&amp;"    "&amp;LEFT(A157,FIND("&lt;",A157))&amp;"/"&amp;MID(A157,FIND("&lt;",A157)+1,FIND("&gt;",A157)),IF(B160&lt;&gt;"","    "&amp;"    "&amp;LEFT(A157,FIND("&lt;",A157))&amp;"/"&amp;MID(A157,FIND("&lt;",A157)+1,FIND("&gt;",A157)),""))</f>
        <v xml:space="preserve">        &lt;/relatedInfo&gt;</v>
      </c>
    </row>
    <row r="164" spans="1:4">
      <c r="A164" s="15" t="s">
        <v>120</v>
      </c>
      <c r="D164" t="str">
        <f>IF(B166&lt;&gt;"","    "&amp;"    "&amp;LEFT(A164,FIND("&gt;",A164)-1)&amp;IF(B165&lt;&gt;""," "&amp;A165&amp;"="&amp;""""&amp;B165&amp;"""","")&amp;MID(A164,FIND("&gt;",A164),FIND("&gt;",A164)),IF(B167&lt;&gt;"","    "&amp;"    "&amp;LEFT(A164,FIND("&gt;",A164)-1)&amp;IF(B165&lt;&gt;""," "&amp;A165&amp;"="&amp;""""&amp;B165&amp;"""","")&amp;MID(A164,FIND("&gt;",A164),FIND("&gt;",A164)),""))</f>
        <v xml:space="preserve">        &lt;relatedInfo type="activity"&gt;</v>
      </c>
    </row>
    <row r="165" spans="1:4">
      <c r="A165" s="16" t="s">
        <v>68</v>
      </c>
      <c r="B165" s="6" t="str">
        <f>IF(Form!B37&lt;&gt;"","activity","")</f>
        <v>activity</v>
      </c>
      <c r="C165" s="67" t="s">
        <v>121</v>
      </c>
    </row>
    <row r="166" spans="1:4" ht="15" customHeight="1">
      <c r="A166" s="17" t="s">
        <v>122</v>
      </c>
      <c r="B166" s="7" t="str">
        <f>IF(Form!B37&lt;&gt;"",Form!B37,"")</f>
        <v>Data Partnerships Initiative</v>
      </c>
      <c r="C166" s="67" t="s">
        <v>121</v>
      </c>
      <c r="D166" t="str">
        <f>IF(B166&lt;&gt;"","    "&amp;"    "&amp;"    "&amp;A166&amp;B166&amp;LEFT(A166,FIND("&lt;",A166))&amp;"/"&amp;MID(A166,FIND("&lt;",A166)+1,FIND("&gt;",A166)),"")</f>
        <v xml:space="preserve">            &lt;title&gt;Data Partnerships Initiative&lt;/title&gt;</v>
      </c>
    </row>
    <row r="167" spans="1:4">
      <c r="A167" s="17" t="s">
        <v>93</v>
      </c>
      <c r="B167" s="7" t="str">
        <f>IF(Form!B36&lt;&gt;"",Form!B36,"")</f>
        <v>DJP2206-010SAX</v>
      </c>
      <c r="C167" s="67" t="s">
        <v>121</v>
      </c>
      <c r="D167" t="str">
        <f>IF(B167&lt;&gt;"","    "&amp;"    "&amp;"    "&amp;LEFT(A167,FIND("&gt;",A167)-1)&amp;IF(B168&lt;&gt;""," "&amp;A168&amp;"="&amp;""""&amp;B168&amp;"""","")&amp;MID(A167,FIND("&gt;",A167),FIND("&gt;",A167))&amp;B167&amp;LEFT(A167,FIND("&lt;",A167))&amp;"/"&amp;MID(A167,FIND("&lt;",A167)+1,FIND("&gt;",A167)),"")</f>
        <v xml:space="preserve">            &lt;identifier type="local"&gt;DJP2206-010SAX&lt;/identifier&gt;</v>
      </c>
    </row>
    <row r="168" spans="1:4">
      <c r="A168" s="18" t="s">
        <v>68</v>
      </c>
      <c r="B168" s="6" t="str">
        <f>IF(Form!B36&lt;&gt;"","local","")</f>
        <v>local</v>
      </c>
      <c r="C168" s="67" t="s">
        <v>121</v>
      </c>
    </row>
    <row r="169" spans="1:4">
      <c r="A169" s="17" t="s">
        <v>123</v>
      </c>
      <c r="D169" t="str">
        <f>IF(B166&lt;&gt;"","    "&amp;"    "&amp;"    "&amp;LEFT(A169,FIND("&gt;",A169)-1)&amp;IF(B170&lt;&gt;""," "&amp;A170&amp;"="&amp;""""&amp;B170&amp;"""","")&amp;MID(A169,FIND("&gt;",A169),FIND("&gt;",A169))&amp;LEFT(A169,FIND("&lt;",A169))&amp;"/"&amp;MID(A169,FIND("&lt;",A169)+1,FIND("&gt;",A169)),IF(B167&lt;&gt;"","    "&amp;"    "&amp;"    "&amp;LEFT(A169,FIND("&gt;",A169)-1)&amp;IF(B170&lt;&gt;""," "&amp;A170&amp;"="&amp;""""&amp;B170&amp;"""","")&amp;MID(A169,FIND("&gt;",A169),FIND("&gt;",A169))&amp;LEFT(A169,FIND("&lt;",A169))&amp;"/"&amp;MID(A169,FIND("&lt;",A169)+1,FIND("&gt;",A169)),""))</f>
        <v xml:space="preserve">            &lt;relation type="isOutputOf"&gt;&lt;/relation&gt;</v>
      </c>
    </row>
    <row r="170" spans="1:4">
      <c r="A170" s="18" t="s">
        <v>68</v>
      </c>
      <c r="B170" s="6" t="str">
        <f>IF(Form!B38="Output","isOutputOf",IF(Form!B38="Associated","hasAssociationWith",""))</f>
        <v>isOutputOf</v>
      </c>
      <c r="C170" s="67" t="s">
        <v>121</v>
      </c>
      <c r="D170" t="str">
        <f>IF(B166&lt;&gt;"","    "&amp;"    "&amp;LEFT(A164,FIND("&lt;",A164))&amp;"/"&amp;MID(A164,FIND("&lt;",A164)+1,FIND("&gt;",A164)),IF(B167&lt;&gt;"","    "&amp;"    "&amp;LEFT(A164,FIND("&lt;",A164))&amp;"/"&amp;MID(A164,FIND("&lt;",A164)+1,FIND("&gt;",A164)),""))</f>
        <v xml:space="preserve">        &lt;/relatedInfo&gt;</v>
      </c>
    </row>
    <row r="171" spans="1:4">
      <c r="A171" s="15" t="s">
        <v>120</v>
      </c>
      <c r="D171" t="str">
        <f>IF(B173&lt;&gt;"","    "&amp;"    "&amp;LEFT(A171,FIND("&gt;",A171)-1)&amp;IF(B172&lt;&gt;""," "&amp;A172&amp;"="&amp;""""&amp;B172&amp;"""","")&amp;MID(A171,FIND("&gt;",A171),FIND("&gt;",A171)),IF(B174&lt;&gt;"","    "&amp;"    "&amp;LEFT(A171,FIND("&gt;",A171)-1)&amp;IF(B172&lt;&gt;""," "&amp;A172&amp;"="&amp;""""&amp;B172&amp;"""","")&amp;MID(A171,FIND("&gt;",A171),FIND("&gt;",A171)),""))</f>
        <v/>
      </c>
    </row>
    <row r="172" spans="1:4">
      <c r="A172" s="16" t="s">
        <v>68</v>
      </c>
      <c r="B172" s="6" t="str">
        <f>IF(Form!B41&lt;&gt;"","activity","")</f>
        <v/>
      </c>
      <c r="C172" s="67" t="s">
        <v>121</v>
      </c>
    </row>
    <row r="173" spans="1:4" ht="15" customHeight="1">
      <c r="A173" s="17" t="s">
        <v>122</v>
      </c>
      <c r="B173" s="7" t="str">
        <f>IF(Form!B41&lt;&gt;"",Form!B41,"")</f>
        <v/>
      </c>
      <c r="C173" s="67" t="s">
        <v>121</v>
      </c>
      <c r="D173" t="str">
        <f>IF(B173&lt;&gt;"","    "&amp;"    "&amp;"    "&amp;A173&amp;B173&amp;LEFT(A173,FIND("&lt;",A173))&amp;"/"&amp;MID(A173,FIND("&lt;",A173)+1,FIND("&gt;",A173)),"")</f>
        <v/>
      </c>
    </row>
    <row r="174" spans="1:4">
      <c r="A174" s="17" t="s">
        <v>93</v>
      </c>
      <c r="B174" s="7" t="str">
        <f>IF(Form!B40&lt;&gt;"",Form!B40,"")</f>
        <v/>
      </c>
      <c r="C174" s="67" t="s">
        <v>121</v>
      </c>
      <c r="D174" t="str">
        <f>IF(B174&lt;&gt;"","    "&amp;"    "&amp;"    "&amp;LEFT(A174,FIND("&gt;",A174)-1)&amp;IF(B175&lt;&gt;""," "&amp;A175&amp;"="&amp;""""&amp;B175&amp;"""","")&amp;MID(A174,FIND("&gt;",A174),FIND("&gt;",A174))&amp;B174&amp;LEFT(A174,FIND("&lt;",A174))&amp;"/"&amp;MID(A174,FIND("&lt;",A174)+1,FIND("&gt;",A174)),"")</f>
        <v/>
      </c>
    </row>
    <row r="175" spans="1:4">
      <c r="A175" s="18" t="s">
        <v>68</v>
      </c>
      <c r="B175" s="6" t="str">
        <f>IF(Form!B40&lt;&gt;"","local","")</f>
        <v/>
      </c>
      <c r="C175" s="67" t="s">
        <v>121</v>
      </c>
    </row>
    <row r="176" spans="1:4">
      <c r="A176" s="17" t="s">
        <v>123</v>
      </c>
      <c r="D176" t="str">
        <f>IF(B173&lt;&gt;"","    "&amp;"    "&amp;"    "&amp;LEFT(A176,FIND("&gt;",A176)-1)&amp;IF(B177&lt;&gt;""," "&amp;A177&amp;"="&amp;""""&amp;B177&amp;"""","")&amp;MID(A176,FIND("&gt;",A176),FIND("&gt;",A176))&amp;LEFT(A176,FIND("&lt;",A176))&amp;"/"&amp;MID(A176,FIND("&lt;",A176)+1,FIND("&gt;",A176)),IF(B174&lt;&gt;"","    "&amp;"    "&amp;"    "&amp;LEFT(A176,FIND("&gt;",A176)-1)&amp;IF(B177&lt;&gt;""," "&amp;A177&amp;"="&amp;""""&amp;B177&amp;"""","")&amp;MID(A176,FIND("&gt;",A176),FIND("&gt;",A176))&amp;LEFT(A176,FIND("&lt;",A176))&amp;"/"&amp;MID(A176,FIND("&lt;",A176)+1,FIND("&gt;",A176)),""))</f>
        <v/>
      </c>
    </row>
    <row r="177" spans="1:4">
      <c r="A177" s="18" t="s">
        <v>68</v>
      </c>
      <c r="B177" s="6" t="str">
        <f>IF(Form!B42="Output","isOutputOf",IF(Form!B42="Associated","hasAssociationWith",""))</f>
        <v/>
      </c>
      <c r="C177" s="67" t="s">
        <v>121</v>
      </c>
      <c r="D177" t="str">
        <f>IF(B173&lt;&gt;"","    "&amp;"    "&amp;LEFT(A171,FIND("&lt;",A171))&amp;"/"&amp;MID(A171,FIND("&lt;",A171)+1,FIND("&gt;",A171)),IF(B174&lt;&gt;"","    "&amp;"    "&amp;LEFT(A171,FIND("&lt;",A171))&amp;"/"&amp;MID(A171,FIND("&lt;",A171)+1,FIND("&gt;",A171)),""))</f>
        <v/>
      </c>
    </row>
    <row r="178" spans="1:4">
      <c r="A178" s="15" t="s">
        <v>120</v>
      </c>
      <c r="D178" t="str">
        <f>IF(B180&lt;&gt;"","    "&amp;"    "&amp;LEFT(A178,FIND("&gt;",A178)-1)&amp;IF(B179&lt;&gt;""," "&amp;A179&amp;"="&amp;""""&amp;B179&amp;"""","")&amp;MID(A178,FIND("&gt;",A178),FIND("&gt;",A178)),IF(B181&lt;&gt;"","    "&amp;"    "&amp;LEFT(A178,FIND("&gt;",A178)-1)&amp;IF(B179&lt;&gt;""," "&amp;A179&amp;"="&amp;""""&amp;B179&amp;"""","")&amp;MID(A178,FIND("&gt;",A178),FIND("&gt;",A178)),""))</f>
        <v/>
      </c>
    </row>
    <row r="179" spans="1:4">
      <c r="A179" s="16" t="s">
        <v>68</v>
      </c>
      <c r="B179" s="6" t="str">
        <f>IF(Form!B45&lt;&gt;"","activity","")</f>
        <v/>
      </c>
      <c r="C179" s="67" t="s">
        <v>121</v>
      </c>
    </row>
    <row r="180" spans="1:4" ht="15" customHeight="1">
      <c r="A180" s="17" t="s">
        <v>122</v>
      </c>
      <c r="B180" s="7" t="str">
        <f>IF(Form!B45&lt;&gt;"",Form!B45,"")</f>
        <v/>
      </c>
      <c r="C180" s="67" t="s">
        <v>121</v>
      </c>
      <c r="D180" t="str">
        <f>IF(B180&lt;&gt;"","    "&amp;"    "&amp;"    "&amp;A180&amp;B180&amp;LEFT(A180,FIND("&lt;",A180))&amp;"/"&amp;MID(A180,FIND("&lt;",A180)+1,FIND("&gt;",A180)),"")</f>
        <v/>
      </c>
    </row>
    <row r="181" spans="1:4">
      <c r="A181" s="17" t="s">
        <v>93</v>
      </c>
      <c r="B181" s="7" t="str">
        <f>IF(Form!B44&lt;&gt;"",Form!B44,"")</f>
        <v/>
      </c>
      <c r="C181" s="67" t="s">
        <v>121</v>
      </c>
      <c r="D181" t="str">
        <f>IF(B181&lt;&gt;"","    "&amp;"    "&amp;"    "&amp;LEFT(A181,FIND("&gt;",A181)-1)&amp;IF(B182&lt;&gt;""," "&amp;A182&amp;"="&amp;""""&amp;B182&amp;"""","")&amp;MID(A181,FIND("&gt;",A181),FIND("&gt;",A181))&amp;B181&amp;LEFT(A181,FIND("&lt;",A181))&amp;"/"&amp;MID(A181,FIND("&lt;",A181)+1,FIND("&gt;",A181)),"")</f>
        <v/>
      </c>
    </row>
    <row r="182" spans="1:4">
      <c r="A182" s="18" t="s">
        <v>68</v>
      </c>
      <c r="B182" s="6" t="str">
        <f>IF(Form!B44&lt;&gt;"","local","")</f>
        <v/>
      </c>
      <c r="C182" s="67" t="s">
        <v>121</v>
      </c>
    </row>
    <row r="183" spans="1:4">
      <c r="A183" s="17" t="s">
        <v>123</v>
      </c>
      <c r="D183" t="str">
        <f>IF(B180&lt;&gt;"","    "&amp;"    "&amp;"    "&amp;LEFT(A183,FIND("&gt;",A183)-1)&amp;IF(B184&lt;&gt;""," "&amp;A184&amp;"="&amp;""""&amp;B184&amp;"""","")&amp;MID(A183,FIND("&gt;",A183),FIND("&gt;",A183))&amp;LEFT(A183,FIND("&lt;",A183))&amp;"/"&amp;MID(A183,FIND("&lt;",A183)+1,FIND("&gt;",A183)),IF(B181&lt;&gt;"","    "&amp;"    "&amp;"    "&amp;LEFT(A183,FIND("&gt;",A183)-1)&amp;IF(B184&lt;&gt;""," "&amp;A184&amp;"="&amp;""""&amp;B184&amp;"""","")&amp;MID(A183,FIND("&gt;",A183),FIND("&gt;",A183))&amp;LEFT(A183,FIND("&lt;",A183))&amp;"/"&amp;MID(A183,FIND("&lt;",A183)+1,FIND("&gt;",A183)),""))</f>
        <v/>
      </c>
    </row>
    <row r="184" spans="1:4">
      <c r="A184" s="18" t="s">
        <v>68</v>
      </c>
      <c r="B184" s="6" t="str">
        <f>IF(Form!B46="Output","isOutputOf",IF(Form!B46="Associated","hasAssociationWith",""))</f>
        <v/>
      </c>
      <c r="C184" s="67" t="s">
        <v>121</v>
      </c>
      <c r="D184" t="str">
        <f>IF(B180&lt;&gt;"","    "&amp;"    "&amp;LEFT(A178,FIND("&lt;",A178))&amp;"/"&amp;MID(A178,FIND("&lt;",A178)+1,FIND("&gt;",A178)),IF(B181&lt;&gt;"","    "&amp;"    "&amp;LEFT(A178,FIND("&lt;",A178))&amp;"/"&amp;MID(A178,FIND("&lt;",A178)+1,FIND("&gt;",A178)),""))</f>
        <v/>
      </c>
    </row>
    <row r="185" spans="1:4">
      <c r="A185" s="15" t="s">
        <v>120</v>
      </c>
      <c r="D185" t="str">
        <f>IF(B187&lt;&gt;"","    "&amp;"    "&amp;LEFT(A185,FIND("&gt;",A185)-1)&amp;IF(B186&lt;&gt;""," "&amp;A186&amp;"="&amp;""""&amp;B186&amp;"""","")&amp;MID(A185,FIND("&gt;",A185),FIND("&gt;",A185)),IF(B188&lt;&gt;"","    "&amp;"    "&amp;LEFT(A185,FIND("&gt;",A185)-1)&amp;IF(B186&lt;&gt;""," "&amp;A186&amp;"="&amp;""""&amp;B186&amp;"""","")&amp;MID(A185,FIND("&gt;",A185),FIND("&gt;",A185)),""))</f>
        <v/>
      </c>
    </row>
    <row r="186" spans="1:4">
      <c r="A186" s="16" t="s">
        <v>68</v>
      </c>
      <c r="B186" s="6" t="str">
        <f>IF(Form!B49&lt;&gt;"","activity","")</f>
        <v/>
      </c>
      <c r="C186" s="67" t="s">
        <v>121</v>
      </c>
    </row>
    <row r="187" spans="1:4" ht="15" customHeight="1">
      <c r="A187" s="17" t="s">
        <v>122</v>
      </c>
      <c r="B187" s="7" t="str">
        <f>IF(Form!B49&lt;&gt;"",Form!B49,"")</f>
        <v/>
      </c>
      <c r="C187" s="67" t="s">
        <v>121</v>
      </c>
      <c r="D187" t="str">
        <f>IF(B187&lt;&gt;"","    "&amp;"    "&amp;"    "&amp;A187&amp;B187&amp;LEFT(A187,FIND("&lt;",A187))&amp;"/"&amp;MID(A187,FIND("&lt;",A187)+1,FIND("&gt;",A187)),"")</f>
        <v/>
      </c>
    </row>
    <row r="188" spans="1:4">
      <c r="A188" s="17" t="s">
        <v>93</v>
      </c>
      <c r="B188" s="7" t="str">
        <f>IF(Form!B48&lt;&gt;"",Form!B48,"")</f>
        <v/>
      </c>
      <c r="C188" s="67" t="s">
        <v>121</v>
      </c>
      <c r="D188" t="str">
        <f>IF(B188&lt;&gt;"","    "&amp;"    "&amp;"    "&amp;LEFT(A188,FIND("&gt;",A188)-1)&amp;IF(B189&lt;&gt;""," "&amp;A189&amp;"="&amp;""""&amp;B189&amp;"""","")&amp;MID(A188,FIND("&gt;",A188),FIND("&gt;",A188))&amp;B188&amp;LEFT(A188,FIND("&lt;",A188))&amp;"/"&amp;MID(A188,FIND("&lt;",A188)+1,FIND("&gt;",A188)),"")</f>
        <v/>
      </c>
    </row>
    <row r="189" spans="1:4">
      <c r="A189" s="18" t="s">
        <v>68</v>
      </c>
      <c r="B189" s="6" t="str">
        <f>IF(Form!B48&lt;&gt;"","local","")</f>
        <v/>
      </c>
      <c r="C189" s="67" t="s">
        <v>121</v>
      </c>
    </row>
    <row r="190" spans="1:4">
      <c r="A190" s="17" t="s">
        <v>123</v>
      </c>
      <c r="D190" t="str">
        <f>IF(B187&lt;&gt;"","    "&amp;"    "&amp;"    "&amp;LEFT(A190,FIND("&gt;",A190)-1)&amp;IF(B191&lt;&gt;""," "&amp;A191&amp;"="&amp;""""&amp;B191&amp;"""","")&amp;MID(A190,FIND("&gt;",A190),FIND("&gt;",A190))&amp;LEFT(A190,FIND("&lt;",A190))&amp;"/"&amp;MID(A190,FIND("&lt;",A190)+1,FIND("&gt;",A190)),IF(B188&lt;&gt;"","    "&amp;"    "&amp;"    "&amp;LEFT(A190,FIND("&gt;",A190)-1)&amp;IF(B191&lt;&gt;""," "&amp;A191&amp;"="&amp;""""&amp;B191&amp;"""","")&amp;MID(A190,FIND("&gt;",A190),FIND("&gt;",A190))&amp;LEFT(A190,FIND("&lt;",A190))&amp;"/"&amp;MID(A190,FIND("&lt;",A190)+1,FIND("&gt;",A190)),""))</f>
        <v/>
      </c>
    </row>
    <row r="191" spans="1:4">
      <c r="A191" s="18" t="s">
        <v>68</v>
      </c>
      <c r="B191" s="6" t="str">
        <f>IF(Form!B50="Output","isOutputOf",IF(Form!B50="Associated","hasAssociationWith",""))</f>
        <v/>
      </c>
      <c r="C191" s="67" t="s">
        <v>121</v>
      </c>
      <c r="D191" t="str">
        <f>IF(B187&lt;&gt;"","    "&amp;"    "&amp;LEFT(A185,FIND("&lt;",A185))&amp;"/"&amp;MID(A185,FIND("&lt;",A185)+1,FIND("&gt;",A185)),IF(B188&lt;&gt;"","    "&amp;"    "&amp;LEFT(A185,FIND("&lt;",A185))&amp;"/"&amp;MID(A185,FIND("&lt;",A185)+1,FIND("&gt;",A185)),""))</f>
        <v/>
      </c>
    </row>
    <row r="192" spans="1:4">
      <c r="A192" s="15" t="s">
        <v>120</v>
      </c>
      <c r="D192" t="str">
        <f>IF(B194&lt;&gt;"","    "&amp;"    "&amp;LEFT(A192,FIND("&gt;",A192)-1)&amp;IF(B193&lt;&gt;""," "&amp;A193&amp;"="&amp;""""&amp;B193&amp;"""","")&amp;MID(A192,FIND("&gt;",A192),FIND("&gt;",A192)),IF(B195&lt;&gt;"","    "&amp;"    "&amp;LEFT(A192,FIND("&gt;",A192)-1)&amp;IF(B193&lt;&gt;""," "&amp;A193&amp;"="&amp;""""&amp;B193&amp;"""","")&amp;MID(A192,FIND("&gt;",A192),FIND("&gt;",A192)),""))</f>
        <v xml:space="preserve">        &lt;relatedInfo type="party"&gt;</v>
      </c>
    </row>
    <row r="193" spans="1:4">
      <c r="A193" s="16" t="s">
        <v>68</v>
      </c>
      <c r="B193" s="6" t="str">
        <f>IF(Form!B90&lt;&gt;"",IF(Form!B88&lt;&gt;"","party",IF(Form!B89&lt;&gt;"","party","")),"")</f>
        <v>party</v>
      </c>
      <c r="C193" s="33" t="s">
        <v>131</v>
      </c>
    </row>
    <row r="194" spans="1:4">
      <c r="A194" s="17" t="s">
        <v>122</v>
      </c>
      <c r="B194" s="7" t="str">
        <f>IF(Form!B90&lt;&gt;"",IF(Form!B88&lt;&gt;"",Form!B88&amp;" "&amp;Form!B89,IF(Form!B89&lt;&gt;"",Form!B88&amp;" "&amp;Form!B89,"")),"")</f>
        <v>Richard Trethowan</v>
      </c>
      <c r="C194" s="33" t="s">
        <v>131</v>
      </c>
      <c r="D194" t="str">
        <f>IF(B194&lt;&gt;"","    "&amp;"    "&amp;"    "&amp;A194&amp;B194&amp;LEFT(A194,FIND("&lt;",A194))&amp;"/"&amp;MID(A194,FIND("&lt;",A194)+1,FIND("&gt;",A194)),"")</f>
        <v xml:space="preserve">            &lt;title&gt;Richard Trethowan&lt;/title&gt;</v>
      </c>
    </row>
    <row r="195" spans="1:4">
      <c r="A195" s="17" t="s">
        <v>93</v>
      </c>
      <c r="B195" s="7" t="str">
        <f>IF(Form!B90&lt;&gt;"",Form!B90,"")</f>
        <v>0000-0003-0105-875X</v>
      </c>
      <c r="C195" s="33" t="s">
        <v>131</v>
      </c>
      <c r="D195" t="str">
        <f>IF(B195&lt;&gt;"","    "&amp;"    "&amp;"    "&amp;LEFT(A195,FIND("&gt;",A195)-1)&amp;IF(B196&lt;&gt;""," "&amp;A196&amp;"="&amp;""""&amp;B196&amp;"""","")&amp;MID(A195,FIND("&gt;",A195),FIND("&gt;",A195))&amp;B195&amp;LEFT(A195,FIND("&lt;",A195))&amp;"/"&amp;MID(A195,FIND("&lt;",A195)+1,FIND("&gt;",A195)),"")</f>
        <v xml:space="preserve">            &lt;identifier type="orcid"&gt;0000-0003-0105-875X&lt;/identifier&gt;</v>
      </c>
    </row>
    <row r="196" spans="1:4">
      <c r="A196" s="18" t="s">
        <v>68</v>
      </c>
      <c r="B196" s="6" t="str">
        <f>IF(Form!B90&lt;&gt;"","orcid","")</f>
        <v>orcid</v>
      </c>
      <c r="C196" s="33" t="s">
        <v>131</v>
      </c>
    </row>
    <row r="197" spans="1:4">
      <c r="A197" s="17" t="s">
        <v>123</v>
      </c>
      <c r="D197" t="str">
        <f>IF(B194&lt;&gt;"","    "&amp;"    "&amp;"    "&amp;LEFT(A197,FIND("&gt;",A197)-1)&amp;IF(B198&lt;&gt;""," "&amp;A198&amp;"="&amp;""""&amp;B198&amp;"""","")&amp;MID(A197,FIND("&gt;",A197),FIND("&gt;",A197))&amp;LEFT(A197,FIND("&lt;",A197))&amp;"/"&amp;MID(A197,FIND("&lt;",A197)+1,FIND("&gt;",A197)),IF(B195&lt;&gt;"","    "&amp;"    "&amp;"    "&amp;LEFT(A197,FIND("&gt;",A197)-1)&amp;IF(B198&lt;&gt;""," "&amp;A198&amp;"="&amp;""""&amp;B198&amp;"""","")&amp;MID(A197,FIND("&gt;",A197),FIND("&gt;",A197))&amp;LEFT(A197,FIND("&lt;",A197))&amp;"/"&amp;MID(A197,FIND("&lt;",A197)+1,FIND("&gt;",A197)),""))</f>
        <v xml:space="preserve">            &lt;relation type="hasPrincipalInvestigator"&gt;&lt;/relation&gt;</v>
      </c>
    </row>
    <row r="198" spans="1:4">
      <c r="A198" s="18" t="s">
        <v>68</v>
      </c>
      <c r="B198" s="6" t="str">
        <f>IF(Form!B90&lt;&gt;"",IF(Form!B93="Principal Investigator","hasPrincipalInvestigator",IF(Form!B93="Collector","hasCollector",IF(Form!B93="Enricher","isEnrichedBy",IF(Form!B93="Associated","hasAssociationWith","")))),"")</f>
        <v>hasPrincipalInvestigator</v>
      </c>
      <c r="C198" s="33" t="s">
        <v>131</v>
      </c>
      <c r="D198" t="str">
        <f>IF(B194&lt;&gt;"","    "&amp;"    "&amp;LEFT(A192,FIND("&lt;",A192))&amp;"/"&amp;MID(A192,FIND("&lt;",A192)+1,FIND("&gt;",A192)),IF(B195&lt;&gt;"","    "&amp;"    "&amp;LEFT(A192,FIND("&lt;",A192))&amp;"/"&amp;MID(A192,FIND("&lt;",A192)+1,FIND("&gt;",A192)),""))</f>
        <v xml:space="preserve">        &lt;/relatedInfo&gt;</v>
      </c>
    </row>
    <row r="199" spans="1:4">
      <c r="A199" s="15" t="s">
        <v>120</v>
      </c>
      <c r="D199" t="str">
        <f>IF(B201&lt;&gt;"","    "&amp;"    "&amp;LEFT(A199,FIND("&gt;",A199)-1)&amp;IF(B200&lt;&gt;""," "&amp;A200&amp;"="&amp;""""&amp;B200&amp;"""","")&amp;MID(A199,FIND("&gt;",A199),FIND("&gt;",A199)),IF(B202&lt;&gt;"","    "&amp;"    "&amp;LEFT(A199,FIND("&gt;",A199)-1)&amp;IF(B200&lt;&gt;""," "&amp;A200&amp;"="&amp;""""&amp;B200&amp;"""","")&amp;MID(A199,FIND("&gt;",A199),FIND("&gt;",A199)),""))</f>
        <v/>
      </c>
    </row>
    <row r="200" spans="1:4">
      <c r="A200" s="16" t="s">
        <v>68</v>
      </c>
      <c r="B200" s="6" t="str">
        <f>IF(Form!B91&lt;&gt;"",IF(Form!B88&lt;&gt;"","party",IF(Form!B89&lt;&gt;"","party","")),"")</f>
        <v/>
      </c>
      <c r="C200" s="33" t="s">
        <v>131</v>
      </c>
    </row>
    <row r="201" spans="1:4">
      <c r="A201" s="17" t="s">
        <v>122</v>
      </c>
      <c r="B201" s="7" t="str">
        <f>IF(Form!B91&lt;&gt;"",IF(Form!B88&lt;&gt;"",Form!B88&amp;" "&amp;Form!B89,IF(Form!B89&lt;&gt;"",Form!B88&amp;" "&amp;Form!B89,"")),"")</f>
        <v/>
      </c>
      <c r="C201" s="33" t="s">
        <v>131</v>
      </c>
      <c r="D201" t="str">
        <f>IF(B201&lt;&gt;"","    "&amp;"    "&amp;"    "&amp;A201&amp;B201&amp;LEFT(A201,FIND("&lt;",A201))&amp;"/"&amp;MID(A201,FIND("&lt;",A201)+1,FIND("&gt;",A201)),"")</f>
        <v/>
      </c>
    </row>
    <row r="202" spans="1:4">
      <c r="A202" s="17" t="s">
        <v>93</v>
      </c>
      <c r="B202" s="7" t="str">
        <f>IF(Form!B91&lt;&gt;"",Form!B91,"")</f>
        <v/>
      </c>
      <c r="C202" s="33" t="s">
        <v>131</v>
      </c>
      <c r="D202" t="str">
        <f>IF(B202&lt;&gt;"","    "&amp;"    "&amp;"    "&amp;LEFT(A202,FIND("&gt;",A202)-1)&amp;IF(B203&lt;&gt;""," "&amp;A203&amp;"="&amp;""""&amp;B203&amp;"""","")&amp;MID(A202,FIND("&gt;",A202),FIND("&gt;",A202))&amp;B202&amp;LEFT(A202,FIND("&lt;",A202))&amp;"/"&amp;MID(A202,FIND("&lt;",A202)+1,FIND("&gt;",A202)),"")</f>
        <v/>
      </c>
    </row>
    <row r="203" spans="1:4">
      <c r="A203" s="18" t="s">
        <v>68</v>
      </c>
      <c r="B203" s="6" t="str">
        <f>IF(Form!B91&lt;&gt;"","scopusID","")</f>
        <v/>
      </c>
      <c r="C203" s="33" t="s">
        <v>131</v>
      </c>
    </row>
    <row r="204" spans="1:4">
      <c r="A204" s="17" t="s">
        <v>123</v>
      </c>
      <c r="D204" t="str">
        <f>IF(B201&lt;&gt;"","    "&amp;"    "&amp;"    "&amp;LEFT(A204,FIND("&gt;",A204)-1)&amp;IF(B205&lt;&gt;""," "&amp;A205&amp;"="&amp;""""&amp;B205&amp;"""","")&amp;MID(A204,FIND("&gt;",A204),FIND("&gt;",A204))&amp;LEFT(A204,FIND("&lt;",A204))&amp;"/"&amp;MID(A204,FIND("&lt;",A204)+1,FIND("&gt;",A204)),IF(B202&lt;&gt;"","    "&amp;"    "&amp;"    "&amp;LEFT(A204,FIND("&gt;",A204)-1)&amp;IF(B205&lt;&gt;""," "&amp;A205&amp;"="&amp;""""&amp;B205&amp;"""","")&amp;MID(A204,FIND("&gt;",A204),FIND("&gt;",A204))&amp;LEFT(A204,FIND("&lt;",A204))&amp;"/"&amp;MID(A204,FIND("&lt;",A204)+1,FIND("&gt;",A204)),""))</f>
        <v/>
      </c>
    </row>
    <row r="205" spans="1:4">
      <c r="A205" s="18" t="s">
        <v>68</v>
      </c>
      <c r="B205" s="6" t="str">
        <f>IF(Form!B91&lt;&gt;"",IF(Form!B93="Principal Investigator","hasPrincipalInvestigator",IF(Form!B93="Collector","hasCollector",IF(Form!B93="Enricher","isEnrichedBy",IF(Form!B93="Associated","hasAssociationWith","")))),"")</f>
        <v/>
      </c>
      <c r="C205" s="33" t="s">
        <v>131</v>
      </c>
      <c r="D205" t="str">
        <f>IF(B201&lt;&gt;"","    "&amp;"    "&amp;LEFT(A199,FIND("&lt;",A199))&amp;"/"&amp;MID(A199,FIND("&lt;",A199)+1,FIND("&gt;",A199)),IF(B202&lt;&gt;"","    "&amp;"    "&amp;LEFT(A199,FIND("&lt;",A199))&amp;"/"&amp;MID(A199,FIND("&lt;",A199)+1,FIND("&gt;",A199)),""))</f>
        <v/>
      </c>
    </row>
    <row r="206" spans="1:4">
      <c r="A206" s="15" t="s">
        <v>120</v>
      </c>
      <c r="D206" t="str">
        <f>IF(B208&lt;&gt;"","    "&amp;"    "&amp;LEFT(A206,FIND("&gt;",A206)-1)&amp;IF(B207&lt;&gt;""," "&amp;A207&amp;"="&amp;""""&amp;B207&amp;"""","")&amp;MID(A206,FIND("&gt;",A206),FIND("&gt;",A206)),IF(B209&lt;&gt;"","    "&amp;"    "&amp;LEFT(A206,FIND("&gt;",A206)-1)&amp;IF(B207&lt;&gt;""," "&amp;A207&amp;"="&amp;""""&amp;B207&amp;"""","")&amp;MID(A206,FIND("&gt;",A206),FIND("&gt;",A206)),""))</f>
        <v/>
      </c>
    </row>
    <row r="207" spans="1:4">
      <c r="A207" s="16" t="s">
        <v>68</v>
      </c>
      <c r="B207" s="6" t="str">
        <f>IF(Form!B92&lt;&gt;"",IF(Form!B88&lt;&gt;"","party",IF(Form!B89&lt;&gt;"","party","")),"")</f>
        <v/>
      </c>
      <c r="C207" s="33" t="s">
        <v>131</v>
      </c>
    </row>
    <row r="208" spans="1:4">
      <c r="A208" s="17" t="s">
        <v>122</v>
      </c>
      <c r="B208" s="7" t="str">
        <f>IF(Form!B92&lt;&gt;"",IF(Form!B88&lt;&gt;"",Form!B88&amp;" "&amp;Form!B89,IF(Form!B89&lt;&gt;"",Form!B88&amp;" "&amp;Form!B89,"")),"")</f>
        <v/>
      </c>
      <c r="C208" s="33" t="s">
        <v>131</v>
      </c>
      <c r="D208" t="str">
        <f>IF(B208&lt;&gt;"","    "&amp;"    "&amp;"    "&amp;A208&amp;B208&amp;LEFT(A208,FIND("&lt;",A208))&amp;"/"&amp;MID(A208,FIND("&lt;",A208)+1,FIND("&gt;",A208)),"")</f>
        <v/>
      </c>
    </row>
    <row r="209" spans="1:4">
      <c r="A209" s="17" t="s">
        <v>93</v>
      </c>
      <c r="B209" s="7" t="str">
        <f>IF(Form!B92&lt;&gt;"",Form!B92,"")</f>
        <v/>
      </c>
      <c r="C209" s="33" t="s">
        <v>131</v>
      </c>
      <c r="D209" t="str">
        <f>IF(B209&lt;&gt;"","    "&amp;"    "&amp;"    "&amp;LEFT(A209,FIND("&gt;",A209)-1)&amp;IF(B210&lt;&gt;""," "&amp;A210&amp;"="&amp;""""&amp;B210&amp;"""","")&amp;MID(A209,FIND("&gt;",A209),FIND("&gt;",A209))&amp;B209&amp;LEFT(A209,FIND("&lt;",A209))&amp;"/"&amp;MID(A209,FIND("&lt;",A209)+1,FIND("&gt;",A209)),"")</f>
        <v/>
      </c>
    </row>
    <row r="210" spans="1:4">
      <c r="A210" s="18" t="s">
        <v>68</v>
      </c>
      <c r="B210" s="6" t="str">
        <f>IF(Form!B92&lt;&gt;"","researcherID","")</f>
        <v/>
      </c>
      <c r="C210" s="33" t="s">
        <v>131</v>
      </c>
    </row>
    <row r="211" spans="1:4">
      <c r="A211" s="17" t="s">
        <v>123</v>
      </c>
      <c r="D211" t="str">
        <f>IF(B208&lt;&gt;"","    "&amp;"    "&amp;"    "&amp;LEFT(A211,FIND("&gt;",A211)-1)&amp;IF(B212&lt;&gt;""," "&amp;A212&amp;"="&amp;""""&amp;B212&amp;"""","")&amp;MID(A211,FIND("&gt;",A211),FIND("&gt;",A211))&amp;LEFT(A211,FIND("&lt;",A211))&amp;"/"&amp;MID(A211,FIND("&lt;",A211)+1,FIND("&gt;",A211)),IF(B209&lt;&gt;"","    "&amp;"    "&amp;"    "&amp;LEFT(A211,FIND("&gt;",A211)-1)&amp;IF(B212&lt;&gt;""," "&amp;A212&amp;"="&amp;""""&amp;B212&amp;"""","")&amp;MID(A211,FIND("&gt;",A211),FIND("&gt;",A211))&amp;LEFT(A211,FIND("&lt;",A211))&amp;"/"&amp;MID(A211,FIND("&lt;",A211)+1,FIND("&gt;",A211)),""))</f>
        <v/>
      </c>
    </row>
    <row r="212" spans="1:4">
      <c r="A212" s="18" t="s">
        <v>68</v>
      </c>
      <c r="B212" s="6" t="str">
        <f>IF(Form!B99&lt;&gt;"",IF(Form!B100="Principal Investigator","hasPrincipalInvestigator",IF(Form!B100="Collector","hasCollector",IF(Form!B100="Enricher","isEnrichedBy",IF(Form!B100="Associated","hasAssociationWith","")))),"")</f>
        <v/>
      </c>
      <c r="C212" s="33" t="s">
        <v>131</v>
      </c>
      <c r="D212" t="str">
        <f>IF(B208&lt;&gt;"","    "&amp;"    "&amp;LEFT(A206,FIND("&lt;",A206))&amp;"/"&amp;MID(A206,FIND("&lt;",A206)+1,FIND("&gt;",A206)),IF(B209&lt;&gt;"","    "&amp;"    "&amp;LEFT(A206,FIND("&lt;",A206))&amp;"/"&amp;MID(A206,FIND("&lt;",A206)+1,FIND("&gt;",A206)),""))</f>
        <v/>
      </c>
    </row>
    <row r="213" spans="1:4">
      <c r="A213" s="15" t="s">
        <v>120</v>
      </c>
      <c r="D213" t="str">
        <f>IF(B215&lt;&gt;"","    "&amp;"    "&amp;LEFT(A213,FIND("&gt;",A213)-1)&amp;IF(B214&lt;&gt;""," "&amp;A214&amp;"="&amp;""""&amp;B214&amp;"""","")&amp;MID(A213,FIND("&gt;",A213),FIND("&gt;",A213)),IF(B216&lt;&gt;"","    "&amp;"    "&amp;LEFT(A213,FIND("&gt;",A213)-1)&amp;IF(B214&lt;&gt;""," "&amp;A214&amp;"="&amp;""""&amp;B214&amp;"""","")&amp;MID(A213,FIND("&gt;",A213),FIND("&gt;",A213)),""))</f>
        <v xml:space="preserve">        &lt;relatedInfo type="party"&gt;</v>
      </c>
    </row>
    <row r="214" spans="1:4">
      <c r="A214" s="16" t="s">
        <v>68</v>
      </c>
      <c r="B214" s="6" t="str">
        <f>IF(Form!B97&lt;&gt;"",IF(Form!B95&lt;&gt;"","party",IF(Form!B96&lt;&gt;"","party","")),"")</f>
        <v>party</v>
      </c>
      <c r="C214" s="33" t="s">
        <v>131</v>
      </c>
    </row>
    <row r="215" spans="1:4">
      <c r="A215" s="17" t="s">
        <v>122</v>
      </c>
      <c r="B215" s="7" t="str">
        <f>IF(Form!B97&lt;&gt;"",IF(Form!B95&lt;&gt;"",Form!B95&amp;" "&amp;Form!B96,IF(Form!B96&lt;&gt;"",Form!B95&amp;" "&amp;Form!B96,"")),"")</f>
        <v>Rebecca Janette Thistlethwaite</v>
      </c>
      <c r="C215" s="33" t="s">
        <v>131</v>
      </c>
      <c r="D215" t="str">
        <f>IF(B215&lt;&gt;"","    "&amp;"    "&amp;"    "&amp;A215&amp;B215&amp;LEFT(A215,FIND("&lt;",A215))&amp;"/"&amp;MID(A215,FIND("&lt;",A215)+1,FIND("&gt;",A215)),"")</f>
        <v xml:space="preserve">            &lt;title&gt;Rebecca Janette Thistlethwaite&lt;/title&gt;</v>
      </c>
    </row>
    <row r="216" spans="1:4">
      <c r="A216" s="17" t="s">
        <v>93</v>
      </c>
      <c r="B216" s="7" t="str">
        <f>IF(Form!B97&lt;&gt;"",Form!B97,"")</f>
        <v>0000-0002-6710-1792</v>
      </c>
      <c r="C216" s="33" t="s">
        <v>131</v>
      </c>
      <c r="D216" t="str">
        <f>IF(B216&lt;&gt;"","    "&amp;"    "&amp;"    "&amp;LEFT(A216,FIND("&gt;",A216)-1)&amp;IF(B217&lt;&gt;""," "&amp;A217&amp;"="&amp;""""&amp;B217&amp;"""","")&amp;MID(A216,FIND("&gt;",A216),FIND("&gt;",A216))&amp;B216&amp;LEFT(A216,FIND("&lt;",A216))&amp;"/"&amp;MID(A216,FIND("&lt;",A216)+1,FIND("&gt;",A216)),"")</f>
        <v xml:space="preserve">            &lt;identifier type="orcid"&gt;0000-0002-6710-1792&lt;/identifier&gt;</v>
      </c>
    </row>
    <row r="217" spans="1:4">
      <c r="A217" s="18" t="s">
        <v>68</v>
      </c>
      <c r="B217" s="6" t="str">
        <f>IF(Form!B97&lt;&gt;"","orcid","")</f>
        <v>orcid</v>
      </c>
      <c r="C217" s="33" t="s">
        <v>131</v>
      </c>
    </row>
    <row r="218" spans="1:4">
      <c r="A218" s="17" t="s">
        <v>123</v>
      </c>
      <c r="D218" t="str">
        <f>IF(B215&lt;&gt;"","    "&amp;"    "&amp;"    "&amp;LEFT(A218,FIND("&gt;",A218)-1)&amp;IF(B219&lt;&gt;""," "&amp;A219&amp;"="&amp;""""&amp;B219&amp;"""","")&amp;MID(A218,FIND("&gt;",A218),FIND("&gt;",A218))&amp;LEFT(A218,FIND("&lt;",A218))&amp;"/"&amp;MID(A218,FIND("&lt;",A218)+1,FIND("&gt;",A218)),IF(B216&lt;&gt;"","    "&amp;"    "&amp;"    "&amp;LEFT(A218,FIND("&gt;",A218)-1)&amp;IF(B219&lt;&gt;""," "&amp;A219&amp;"="&amp;""""&amp;B219&amp;"""","")&amp;MID(A218,FIND("&gt;",A218),FIND("&gt;",A218))&amp;LEFT(A218,FIND("&lt;",A218))&amp;"/"&amp;MID(A218,FIND("&lt;",A218)+1,FIND("&gt;",A218)),""))</f>
        <v xml:space="preserve">            &lt;relation&gt;&lt;/relation&gt;</v>
      </c>
    </row>
    <row r="219" spans="1:4">
      <c r="A219" s="18" t="s">
        <v>68</v>
      </c>
      <c r="B219" s="6" t="str">
        <f>IF(Form!B97&lt;&gt;"",IF(Form!B100="Principal Investigator","hasPrincipalInvestigator",IF(Form!B100="Collector","hasCollector",IF(Form!B100="Enricher","isEnrichedBy",IF(Form!B100="Associated","hasAssociationWith","")))),"")</f>
        <v/>
      </c>
      <c r="C219" s="33" t="s">
        <v>131</v>
      </c>
      <c r="D219" t="str">
        <f>IF(B215&lt;&gt;"","    "&amp;"    "&amp;LEFT(A213,FIND("&lt;",A213))&amp;"/"&amp;MID(A213,FIND("&lt;",A213)+1,FIND("&gt;",A213)),IF(B216&lt;&gt;"","    "&amp;"    "&amp;LEFT(A213,FIND("&lt;",A213))&amp;"/"&amp;MID(A213,FIND("&lt;",A213)+1,FIND("&gt;",A213)),""))</f>
        <v xml:space="preserve">        &lt;/relatedInfo&gt;</v>
      </c>
    </row>
    <row r="220" spans="1:4">
      <c r="A220" s="15" t="s">
        <v>120</v>
      </c>
      <c r="D220" t="str">
        <f>IF(B222&lt;&gt;"","    "&amp;"    "&amp;LEFT(A220,FIND("&gt;",A220)-1)&amp;IF(B221&lt;&gt;""," "&amp;A221&amp;"="&amp;""""&amp;B221&amp;"""","")&amp;MID(A220,FIND("&gt;",A220),FIND("&gt;",A220)),IF(B223&lt;&gt;"","    "&amp;"    "&amp;LEFT(A220,FIND("&gt;",A220)-1)&amp;IF(B221&lt;&gt;""," "&amp;A221&amp;"="&amp;""""&amp;B221&amp;"""","")&amp;MID(A220,FIND("&gt;",A220),FIND("&gt;",A220)),""))</f>
        <v/>
      </c>
    </row>
    <row r="221" spans="1:4">
      <c r="A221" s="16" t="s">
        <v>68</v>
      </c>
      <c r="B221" s="6" t="str">
        <f>IF(Form!B98&lt;&gt;"",IF(Form!B95&lt;&gt;"","party",IF(Form!B96&lt;&gt;"","party","")),"")</f>
        <v/>
      </c>
      <c r="C221" s="33" t="s">
        <v>131</v>
      </c>
    </row>
    <row r="222" spans="1:4">
      <c r="A222" s="17" t="s">
        <v>122</v>
      </c>
      <c r="B222" s="7" t="str">
        <f>IF(Form!B98&lt;&gt;"",IF(Form!B95&lt;&gt;"",Form!B95&amp;" "&amp;Form!B96,IF(Form!B96&lt;&gt;"",Form!B95&amp;" "&amp;Form!B96,"")),"")</f>
        <v/>
      </c>
      <c r="C222" s="33" t="s">
        <v>131</v>
      </c>
      <c r="D222" t="str">
        <f>IF(B222&lt;&gt;"","    "&amp;"    "&amp;"    "&amp;A222&amp;B222&amp;LEFT(A222,FIND("&lt;",A222))&amp;"/"&amp;MID(A222,FIND("&lt;",A222)+1,FIND("&gt;",A222)),"")</f>
        <v/>
      </c>
    </row>
    <row r="223" spans="1:4">
      <c r="A223" s="17" t="s">
        <v>93</v>
      </c>
      <c r="B223" s="7" t="str">
        <f>IF(Form!B98&lt;&gt;"",Form!B98,"")</f>
        <v/>
      </c>
      <c r="C223" s="33" t="s">
        <v>131</v>
      </c>
      <c r="D223" t="str">
        <f>IF(B223&lt;&gt;"","    "&amp;"    "&amp;"    "&amp;LEFT(A223,FIND("&gt;",A223)-1)&amp;IF(B224&lt;&gt;""," "&amp;A224&amp;"="&amp;""""&amp;B224&amp;"""","")&amp;MID(A223,FIND("&gt;",A223),FIND("&gt;",A223))&amp;B223&amp;LEFT(A223,FIND("&lt;",A223))&amp;"/"&amp;MID(A223,FIND("&lt;",A223)+1,FIND("&gt;",A223)),"")</f>
        <v/>
      </c>
    </row>
    <row r="224" spans="1:4">
      <c r="A224" s="18" t="s">
        <v>68</v>
      </c>
      <c r="B224" s="6" t="str">
        <f>IF(Form!B98&lt;&gt;"","scopusID","")</f>
        <v/>
      </c>
      <c r="C224" s="33" t="s">
        <v>131</v>
      </c>
    </row>
    <row r="225" spans="1:4">
      <c r="A225" s="17" t="s">
        <v>123</v>
      </c>
      <c r="D225" t="str">
        <f>IF(B222&lt;&gt;"","    "&amp;"    "&amp;"    "&amp;LEFT(A225,FIND("&gt;",A225)-1)&amp;IF(B226&lt;&gt;""," "&amp;A226&amp;"="&amp;""""&amp;B226&amp;"""","")&amp;MID(A225,FIND("&gt;",A225),FIND("&gt;",A225))&amp;LEFT(A225,FIND("&lt;",A225))&amp;"/"&amp;MID(A225,FIND("&lt;",A225)+1,FIND("&gt;",A225)),IF(B223&lt;&gt;"","    "&amp;"    "&amp;"    "&amp;LEFT(A225,FIND("&gt;",A225)-1)&amp;IF(B226&lt;&gt;""," "&amp;A226&amp;"="&amp;""""&amp;B226&amp;"""","")&amp;MID(A225,FIND("&gt;",A225),FIND("&gt;",A225))&amp;LEFT(A225,FIND("&lt;",A225))&amp;"/"&amp;MID(A225,FIND("&lt;",A225)+1,FIND("&gt;",A225)),""))</f>
        <v/>
      </c>
    </row>
    <row r="226" spans="1:4">
      <c r="A226" s="18" t="s">
        <v>68</v>
      </c>
      <c r="B226" s="6" t="str">
        <f>IF(Form!B98&lt;&gt;"",IF(Form!B100="Principal Investigator","hasPrincipalInvestigator",IF(Form!B100="Collector","hasCollector",IF(Form!B100="Enricher","isEnrichedBy",IF(Form!B100="Associated","hasAssociationWith","")))),"")</f>
        <v/>
      </c>
      <c r="C226" s="33" t="s">
        <v>131</v>
      </c>
      <c r="D226" t="str">
        <f>IF(B222&lt;&gt;"","    "&amp;"    "&amp;LEFT(A220,FIND("&lt;",A220))&amp;"/"&amp;MID(A220,FIND("&lt;",A220)+1,FIND("&gt;",A220)),IF(B223&lt;&gt;"","    "&amp;"    "&amp;LEFT(A220,FIND("&lt;",A220))&amp;"/"&amp;MID(A220,FIND("&lt;",A220)+1,FIND("&gt;",A220)),""))</f>
        <v/>
      </c>
    </row>
    <row r="227" spans="1:4">
      <c r="A227" s="15" t="s">
        <v>120</v>
      </c>
      <c r="D227" t="str">
        <f>IF(B229&lt;&gt;"","    "&amp;"    "&amp;LEFT(A227,FIND("&gt;",A227)-1)&amp;IF(B228&lt;&gt;""," "&amp;A228&amp;"="&amp;""""&amp;B228&amp;"""","")&amp;MID(A227,FIND("&gt;",A227),FIND("&gt;",A227)),IF(B230&lt;&gt;"","    "&amp;"    "&amp;LEFT(A227,FIND("&gt;",A227)-1)&amp;IF(B228&lt;&gt;""," "&amp;A228&amp;"="&amp;""""&amp;B228&amp;"""","")&amp;MID(A227,FIND("&gt;",A227),FIND("&gt;",A227)),""))</f>
        <v/>
      </c>
    </row>
    <row r="228" spans="1:4">
      <c r="A228" s="16" t="s">
        <v>68</v>
      </c>
      <c r="B228" s="6" t="str">
        <f>IF(Form!B99&lt;&gt;"",IF(Form!B95&lt;&gt;"","party",IF(Form!B96&lt;&gt;"","party","")),"")</f>
        <v/>
      </c>
      <c r="C228" s="33" t="s">
        <v>131</v>
      </c>
    </row>
    <row r="229" spans="1:4">
      <c r="A229" s="17" t="s">
        <v>122</v>
      </c>
      <c r="B229" s="7" t="str">
        <f>IF(Form!B99&lt;&gt;"",IF(Form!B95&lt;&gt;"",Form!B95&amp;" "&amp;Form!B96,IF(Form!B96&lt;&gt;"",Form!B95&amp;" "&amp;Form!B96,"")),"")</f>
        <v/>
      </c>
      <c r="C229" s="33" t="s">
        <v>131</v>
      </c>
      <c r="D229" t="str">
        <f>IF(B229&lt;&gt;"","    "&amp;"    "&amp;"    "&amp;A229&amp;B229&amp;LEFT(A229,FIND("&lt;",A229))&amp;"/"&amp;MID(A229,FIND("&lt;",A229)+1,FIND("&gt;",A229)),"")</f>
        <v/>
      </c>
    </row>
    <row r="230" spans="1:4">
      <c r="A230" s="17" t="s">
        <v>93</v>
      </c>
      <c r="B230" s="7" t="str">
        <f>IF(Form!B99&lt;&gt;"",Form!B99,"")</f>
        <v/>
      </c>
      <c r="C230" s="33" t="s">
        <v>131</v>
      </c>
      <c r="D230" t="str">
        <f>IF(B230&lt;&gt;"","    "&amp;"    "&amp;"    "&amp;LEFT(A230,FIND("&gt;",A230)-1)&amp;IF(B231&lt;&gt;""," "&amp;A231&amp;"="&amp;""""&amp;B231&amp;"""","")&amp;MID(A230,FIND("&gt;",A230),FIND("&gt;",A230))&amp;B230&amp;LEFT(A230,FIND("&lt;",A230))&amp;"/"&amp;MID(A230,FIND("&lt;",A230)+1,FIND("&gt;",A230)),"")</f>
        <v/>
      </c>
    </row>
    <row r="231" spans="1:4">
      <c r="A231" s="18" t="s">
        <v>68</v>
      </c>
      <c r="B231" s="6" t="str">
        <f>IF(Form!B99&lt;&gt;"","researcherID","")</f>
        <v/>
      </c>
      <c r="C231" s="33" t="s">
        <v>131</v>
      </c>
    </row>
    <row r="232" spans="1:4">
      <c r="A232" s="17" t="s">
        <v>123</v>
      </c>
      <c r="D232" t="str">
        <f>IF(B229&lt;&gt;"","    "&amp;"    "&amp;"    "&amp;LEFT(A232,FIND("&gt;",A232)-1)&amp;IF(B233&lt;&gt;""," "&amp;A233&amp;"="&amp;""""&amp;B233&amp;"""","")&amp;MID(A232,FIND("&gt;",A232),FIND("&gt;",A232))&amp;LEFT(A232,FIND("&lt;",A232))&amp;"/"&amp;MID(A232,FIND("&lt;",A232)+1,FIND("&gt;",A232)),IF(B230&lt;&gt;"","    "&amp;"    "&amp;"    "&amp;LEFT(A232,FIND("&gt;",A232)-1)&amp;IF(B233&lt;&gt;""," "&amp;A233&amp;"="&amp;""""&amp;B233&amp;"""","")&amp;MID(A232,FIND("&gt;",A232),FIND("&gt;",A232))&amp;LEFT(A232,FIND("&lt;",A232))&amp;"/"&amp;MID(A232,FIND("&lt;",A232)+1,FIND("&gt;",A232)),""))</f>
        <v/>
      </c>
    </row>
    <row r="233" spans="1:4">
      <c r="A233" s="18" t="s">
        <v>68</v>
      </c>
      <c r="B233" s="6" t="str">
        <f>IF(Form!B99&lt;&gt;"",IF(Form!B100="Principal Investigator","hasPrincipalInvestigator",IF(Form!B100="Collector","hasCollector",IF(Form!B100="Enricher","isEnrichedBy",IF(Form!B100="Associated","hasAssociationWith","")))),"")</f>
        <v/>
      </c>
      <c r="C233" s="33" t="s">
        <v>131</v>
      </c>
      <c r="D233" t="str">
        <f>IF(B229&lt;&gt;"","    "&amp;"    "&amp;LEFT(A227,FIND("&lt;",A227))&amp;"/"&amp;MID(A227,FIND("&lt;",A227)+1,FIND("&gt;",A227)),IF(B230&lt;&gt;"","    "&amp;"    "&amp;LEFT(A227,FIND("&lt;",A227))&amp;"/"&amp;MID(A227,FIND("&lt;",A227)+1,FIND("&gt;",A227)),""))</f>
        <v/>
      </c>
    </row>
    <row r="234" spans="1:4">
      <c r="A234" s="15" t="s">
        <v>120</v>
      </c>
      <c r="D234" t="str">
        <f>IF(B236&lt;&gt;"","    "&amp;"    "&amp;LEFT(A234,FIND("&gt;",A234)-1)&amp;IF(B235&lt;&gt;""," "&amp;A235&amp;"="&amp;""""&amp;B235&amp;"""","")&amp;MID(A234,FIND("&gt;",A234),FIND("&gt;",A234)),IF(B237&lt;&gt;"","    "&amp;"    "&amp;LEFT(A234,FIND("&gt;",A234)-1)&amp;IF(B235&lt;&gt;""," "&amp;A235&amp;"="&amp;""""&amp;B235&amp;"""","")&amp;MID(A234,FIND("&gt;",A234),FIND("&gt;",A234)),""))</f>
        <v xml:space="preserve">        &lt;relatedInfo type="party"&gt;</v>
      </c>
    </row>
    <row r="235" spans="1:4">
      <c r="A235" s="16" t="s">
        <v>68</v>
      </c>
      <c r="B235" s="6" t="str">
        <f>IF(Form!B104&lt;&gt;"",IF(Form!B102&lt;&gt;"","party",IF(Form!B103&lt;&gt;"","party","")),"")</f>
        <v>party</v>
      </c>
      <c r="C235" s="33" t="s">
        <v>131</v>
      </c>
    </row>
    <row r="236" spans="1:4">
      <c r="A236" s="17" t="s">
        <v>122</v>
      </c>
      <c r="B236" s="7" t="str">
        <f>IF(Form!B104&lt;&gt;"",IF(Form!B102&lt;&gt;"",Form!B102&amp;" "&amp;Form!B103,IF(Form!B103&lt;&gt;"",Form!B102&amp;" "&amp;Form!B103,"")),"")</f>
        <v>Matthew Hayden</v>
      </c>
      <c r="C236" s="33" t="s">
        <v>131</v>
      </c>
      <c r="D236" t="str">
        <f>IF(B236&lt;&gt;"","    "&amp;"    "&amp;"    "&amp;A236&amp;B236&amp;LEFT(A236,FIND("&lt;",A236))&amp;"/"&amp;MID(A236,FIND("&lt;",A236)+1,FIND("&gt;",A236)),"")</f>
        <v xml:space="preserve">            &lt;title&gt;Matthew Hayden&lt;/title&gt;</v>
      </c>
    </row>
    <row r="237" spans="1:4">
      <c r="A237" s="17" t="s">
        <v>93</v>
      </c>
      <c r="B237" s="7" t="str">
        <f>IF(Form!B104&lt;&gt;"",Form!B104,"")</f>
        <v>0000-0002-9680-6644</v>
      </c>
      <c r="C237" s="33" t="s">
        <v>131</v>
      </c>
      <c r="D237" t="str">
        <f>IF(B237&lt;&gt;"","    "&amp;"    "&amp;"    "&amp;LEFT(A237,FIND("&gt;",A237)-1)&amp;IF(B238&lt;&gt;""," "&amp;A238&amp;"="&amp;""""&amp;B238&amp;"""","")&amp;MID(A237,FIND("&gt;",A237),FIND("&gt;",A237))&amp;B237&amp;LEFT(A237,FIND("&lt;",A237))&amp;"/"&amp;MID(A237,FIND("&lt;",A237)+1,FIND("&gt;",A237)),"")</f>
        <v xml:space="preserve">            &lt;identifier type="orcid"&gt;0000-0002-9680-6644&lt;/identifier&gt;</v>
      </c>
    </row>
    <row r="238" spans="1:4">
      <c r="A238" s="18" t="s">
        <v>68</v>
      </c>
      <c r="B238" s="6" t="str">
        <f>IF(Form!B104&lt;&gt;"","orcid","")</f>
        <v>orcid</v>
      </c>
      <c r="C238" s="33" t="s">
        <v>131</v>
      </c>
    </row>
    <row r="239" spans="1:4">
      <c r="A239" s="17" t="s">
        <v>123</v>
      </c>
      <c r="D239" t="str">
        <f>IF(B236&lt;&gt;"","    "&amp;"    "&amp;"    "&amp;LEFT(A239,FIND("&gt;",A239)-1)&amp;IF(B240&lt;&gt;""," "&amp;A240&amp;"="&amp;""""&amp;B240&amp;"""","")&amp;MID(A239,FIND("&gt;",A239),FIND("&gt;",A239))&amp;LEFT(A239,FIND("&lt;",A239))&amp;"/"&amp;MID(A239,FIND("&lt;",A239)+1,FIND("&gt;",A239)),IF(B237&lt;&gt;"","    "&amp;"    "&amp;"    "&amp;LEFT(A239,FIND("&gt;",A239)-1)&amp;IF(B240&lt;&gt;""," "&amp;A240&amp;"="&amp;""""&amp;B240&amp;"""","")&amp;MID(A239,FIND("&gt;",A239),FIND("&gt;",A239))&amp;LEFT(A239,FIND("&lt;",A239))&amp;"/"&amp;MID(A239,FIND("&lt;",A239)+1,FIND("&gt;",A239)),""))</f>
        <v xml:space="preserve">            &lt;relation&gt;&lt;/relation&gt;</v>
      </c>
    </row>
    <row r="240" spans="1:4">
      <c r="A240" s="18" t="s">
        <v>68</v>
      </c>
      <c r="B240" s="6" t="str">
        <f>IF(Form!B104&lt;&gt;"",IF(Form!B107="Principal Investigator","hasPrincipalInvestigator",IF(Form!B107="Collector","hasCollector",IF(Form!B107="Enricher","isEnrichedBy",IF(Form!B107="Associated","hasAssociationWith","")))),"")</f>
        <v/>
      </c>
      <c r="C240" s="33" t="s">
        <v>131</v>
      </c>
      <c r="D240" t="str">
        <f>IF(B236&lt;&gt;"","    "&amp;"    "&amp;LEFT(A234,FIND("&lt;",A234))&amp;"/"&amp;MID(A234,FIND("&lt;",A234)+1,FIND("&gt;",A234)),IF(B237&lt;&gt;"","    "&amp;"    "&amp;LEFT(A234,FIND("&lt;",A234))&amp;"/"&amp;MID(A234,FIND("&lt;",A234)+1,FIND("&gt;",A234)),""))</f>
        <v xml:space="preserve">        &lt;/relatedInfo&gt;</v>
      </c>
    </row>
    <row r="241" spans="1:4">
      <c r="A241" s="15" t="s">
        <v>120</v>
      </c>
      <c r="D241" t="str">
        <f>IF(B243&lt;&gt;"","    "&amp;"    "&amp;LEFT(A241,FIND("&gt;",A241)-1)&amp;IF(B242&lt;&gt;""," "&amp;A242&amp;"="&amp;""""&amp;B242&amp;"""","")&amp;MID(A241,FIND("&gt;",A241),FIND("&gt;",A241)),IF(B244&lt;&gt;"","    "&amp;"    "&amp;LEFT(A241,FIND("&gt;",A241)-1)&amp;IF(B242&lt;&gt;""," "&amp;A242&amp;"="&amp;""""&amp;B242&amp;"""","")&amp;MID(A241,FIND("&gt;",A241),FIND("&gt;",A241)),""))</f>
        <v/>
      </c>
    </row>
    <row r="242" spans="1:4">
      <c r="A242" s="16" t="s">
        <v>68</v>
      </c>
      <c r="B242" s="6" t="str">
        <f>IF(Form!B105&lt;&gt;"",IF(Form!B102&lt;&gt;"","party",IF(Form!B103&lt;&gt;"","party","")),"")</f>
        <v/>
      </c>
      <c r="C242" s="33" t="s">
        <v>131</v>
      </c>
    </row>
    <row r="243" spans="1:4">
      <c r="A243" s="17" t="s">
        <v>122</v>
      </c>
      <c r="B243" s="7" t="str">
        <f>IF(Form!B105&lt;&gt;"",IF(Form!B102&lt;&gt;"",Form!B102&amp;" "&amp;Form!B103,IF(Form!B103&lt;&gt;"",Form!B102&amp;" "&amp;Form!B103,"")),"")</f>
        <v/>
      </c>
      <c r="C243" s="33" t="s">
        <v>131</v>
      </c>
      <c r="D243" t="str">
        <f>IF(B243&lt;&gt;"","    "&amp;"    "&amp;"    "&amp;A243&amp;B243&amp;LEFT(A243,FIND("&lt;",A243))&amp;"/"&amp;MID(A243,FIND("&lt;",A243)+1,FIND("&gt;",A243)),"")</f>
        <v/>
      </c>
    </row>
    <row r="244" spans="1:4">
      <c r="A244" s="17" t="s">
        <v>93</v>
      </c>
      <c r="B244" s="7" t="str">
        <f>IF(Form!B105&lt;&gt;"",Form!B105,"")</f>
        <v/>
      </c>
      <c r="C244" s="33" t="s">
        <v>131</v>
      </c>
      <c r="D244" t="str">
        <f>IF(B244&lt;&gt;"","    "&amp;"    "&amp;"    "&amp;LEFT(A244,FIND("&gt;",A244)-1)&amp;IF(B245&lt;&gt;""," "&amp;A245&amp;"="&amp;""""&amp;B245&amp;"""","")&amp;MID(A244,FIND("&gt;",A244),FIND("&gt;",A244))&amp;B244&amp;LEFT(A244,FIND("&lt;",A244))&amp;"/"&amp;MID(A244,FIND("&lt;",A244)+1,FIND("&gt;",A244)),"")</f>
        <v/>
      </c>
    </row>
    <row r="245" spans="1:4">
      <c r="A245" s="18" t="s">
        <v>68</v>
      </c>
      <c r="B245" s="6" t="str">
        <f>IF(Form!B105&lt;&gt;"","scopusID","")</f>
        <v/>
      </c>
      <c r="C245" s="33" t="s">
        <v>131</v>
      </c>
    </row>
    <row r="246" spans="1:4">
      <c r="A246" s="17" t="s">
        <v>123</v>
      </c>
      <c r="D246" t="str">
        <f>IF(B243&lt;&gt;"","    "&amp;"    "&amp;"    "&amp;LEFT(A246,FIND("&gt;",A246)-1)&amp;IF(B247&lt;&gt;""," "&amp;A247&amp;"="&amp;""""&amp;B247&amp;"""","")&amp;MID(A246,FIND("&gt;",A246),FIND("&gt;",A246))&amp;LEFT(A246,FIND("&lt;",A246))&amp;"/"&amp;MID(A246,FIND("&lt;",A246)+1,FIND("&gt;",A246)),IF(B244&lt;&gt;"","    "&amp;"    "&amp;"    "&amp;LEFT(A246,FIND("&gt;",A246)-1)&amp;IF(B247&lt;&gt;""," "&amp;A247&amp;"="&amp;""""&amp;B247&amp;"""","")&amp;MID(A246,FIND("&gt;",A246),FIND("&gt;",A246))&amp;LEFT(A246,FIND("&lt;",A246))&amp;"/"&amp;MID(A246,FIND("&lt;",A246)+1,FIND("&gt;",A246)),""))</f>
        <v/>
      </c>
    </row>
    <row r="247" spans="1:4">
      <c r="A247" s="18" t="s">
        <v>68</v>
      </c>
      <c r="B247" s="6" t="str">
        <f>IF(Form!B105&lt;&gt;"",IF(Form!B107="Principal Investigator","hasPrincipalInvestigator",IF(Form!B107="Collector","hasCollector",IF(Form!B107="Enricher","isEnrichedBy",IF(Form!B107="Associated","hasAssociationWith","")))),"")</f>
        <v/>
      </c>
      <c r="C247" s="33" t="s">
        <v>131</v>
      </c>
      <c r="D247" t="str">
        <f>IF(B243&lt;&gt;"","    "&amp;"    "&amp;LEFT(A241,FIND("&lt;",A241))&amp;"/"&amp;MID(A241,FIND("&lt;",A241)+1,FIND("&gt;",A241)),IF(B244&lt;&gt;"","    "&amp;"    "&amp;LEFT(A241,FIND("&lt;",A241))&amp;"/"&amp;MID(A241,FIND("&lt;",A241)+1,FIND("&gt;",A241)),""))</f>
        <v/>
      </c>
    </row>
    <row r="248" spans="1:4">
      <c r="A248" s="15" t="s">
        <v>120</v>
      </c>
      <c r="D248" t="str">
        <f>IF(B250&lt;&gt;"","    "&amp;"    "&amp;LEFT(A248,FIND("&gt;",A248)-1)&amp;IF(B249&lt;&gt;""," "&amp;A249&amp;"="&amp;""""&amp;B249&amp;"""","")&amp;MID(A248,FIND("&gt;",A248),FIND("&gt;",A248)),IF(B251&lt;&gt;"","    "&amp;"    "&amp;LEFT(A248,FIND("&gt;",A248)-1)&amp;IF(B249&lt;&gt;""," "&amp;A249&amp;"="&amp;""""&amp;B249&amp;"""","")&amp;MID(A248,FIND("&gt;",A248),FIND("&gt;",A248)),""))</f>
        <v/>
      </c>
    </row>
    <row r="249" spans="1:4">
      <c r="A249" s="16" t="s">
        <v>68</v>
      </c>
      <c r="B249" s="6" t="str">
        <f>IF(Form!B106&lt;&gt;"",IF(Form!B102&lt;&gt;"","party",IF(Form!B103&lt;&gt;"","party","")),"")</f>
        <v/>
      </c>
      <c r="C249" s="33" t="s">
        <v>131</v>
      </c>
    </row>
    <row r="250" spans="1:4">
      <c r="A250" s="17" t="s">
        <v>122</v>
      </c>
      <c r="B250" s="7" t="str">
        <f>IF(Form!B106&lt;&gt;"",IF(Form!B102&lt;&gt;"",Form!B102&amp;" "&amp;Form!B103,IF(Form!B103&lt;&gt;"",Form!B102&amp;" "&amp;Form!B103,"")),"")</f>
        <v/>
      </c>
      <c r="C250" s="33" t="s">
        <v>131</v>
      </c>
      <c r="D250" t="str">
        <f>IF(B250&lt;&gt;"","    "&amp;"    "&amp;"    "&amp;A250&amp;B250&amp;LEFT(A250,FIND("&lt;",A250))&amp;"/"&amp;MID(A250,FIND("&lt;",A250)+1,FIND("&gt;",A250)),"")</f>
        <v/>
      </c>
    </row>
    <row r="251" spans="1:4">
      <c r="A251" s="17" t="s">
        <v>93</v>
      </c>
      <c r="B251" s="7" t="str">
        <f>IF(Form!B106&lt;&gt;"",Form!B106,"")</f>
        <v/>
      </c>
      <c r="C251" s="33" t="s">
        <v>131</v>
      </c>
      <c r="D251" t="str">
        <f>IF(B251&lt;&gt;"","    "&amp;"    "&amp;"    "&amp;LEFT(A251,FIND("&gt;",A251)-1)&amp;IF(B252&lt;&gt;""," "&amp;A252&amp;"="&amp;""""&amp;B252&amp;"""","")&amp;MID(A251,FIND("&gt;",A251),FIND("&gt;",A251))&amp;B251&amp;LEFT(A251,FIND("&lt;",A251))&amp;"/"&amp;MID(A251,FIND("&lt;",A251)+1,FIND("&gt;",A251)),"")</f>
        <v/>
      </c>
    </row>
    <row r="252" spans="1:4">
      <c r="A252" s="18" t="s">
        <v>68</v>
      </c>
      <c r="B252" s="6" t="str">
        <f>IF(Form!B106&lt;&gt;"","researcherID","")</f>
        <v/>
      </c>
      <c r="C252" s="33" t="s">
        <v>131</v>
      </c>
    </row>
    <row r="253" spans="1:4">
      <c r="A253" s="17" t="s">
        <v>123</v>
      </c>
      <c r="D253" t="str">
        <f>IF(B250&lt;&gt;"","    "&amp;"    "&amp;"    "&amp;LEFT(A253,FIND("&gt;",A253)-1)&amp;IF(B254&lt;&gt;""," "&amp;A254&amp;"="&amp;""""&amp;B254&amp;"""","")&amp;MID(A253,FIND("&gt;",A253),FIND("&gt;",A253))&amp;LEFT(A253,FIND("&lt;",A253))&amp;"/"&amp;MID(A253,FIND("&lt;",A253)+1,FIND("&gt;",A253)),IF(B251&lt;&gt;"","    "&amp;"    "&amp;"    "&amp;LEFT(A253,FIND("&gt;",A253)-1)&amp;IF(B254&lt;&gt;""," "&amp;A254&amp;"="&amp;""""&amp;B254&amp;"""","")&amp;MID(A253,FIND("&gt;",A253),FIND("&gt;",A253))&amp;LEFT(A253,FIND("&lt;",A253))&amp;"/"&amp;MID(A253,FIND("&lt;",A253)+1,FIND("&gt;",A253)),""))</f>
        <v/>
      </c>
    </row>
    <row r="254" spans="1:4">
      <c r="A254" s="18" t="s">
        <v>68</v>
      </c>
      <c r="B254" s="6" t="str">
        <f>IF(Form!B106&lt;&gt;"",IF(Form!B107="Principal Investigator","hasPrincipalInvestigator",IF(Form!B107="Collector","hasCollector",IF(Form!B107="Enricher","isEnrichedBy",IF(Form!B107="Associated","hasAssociationWith","")))),"")</f>
        <v/>
      </c>
      <c r="C254" s="33" t="s">
        <v>131</v>
      </c>
      <c r="D254" t="str">
        <f>IF(B250&lt;&gt;"","    "&amp;"    "&amp;LEFT(A248,FIND("&lt;",A248))&amp;"/"&amp;MID(A248,FIND("&lt;",A248)+1,FIND("&gt;",A248)),IF(B251&lt;&gt;"","    "&amp;"    "&amp;LEFT(A248,FIND("&lt;",A248))&amp;"/"&amp;MID(A248,FIND("&lt;",A248)+1,FIND("&gt;",A248)),""))</f>
        <v/>
      </c>
    </row>
    <row r="255" spans="1:4">
      <c r="A255" s="15" t="s">
        <v>120</v>
      </c>
      <c r="D255" t="str">
        <f>IF(B257&lt;&gt;"","    "&amp;"    "&amp;LEFT(A255,FIND("&gt;",A255)-1)&amp;IF(B256&lt;&gt;""," "&amp;A256&amp;"="&amp;""""&amp;B256&amp;"""","")&amp;MID(A255,FIND("&gt;",A255),FIND("&gt;",A255)),IF(B258&lt;&gt;"","    "&amp;"    "&amp;LEFT(A255,FIND("&gt;",A255)-1)&amp;IF(B256&lt;&gt;""," "&amp;A256&amp;"="&amp;""""&amp;B256&amp;"""","")&amp;MID(A255,FIND("&gt;",A255),FIND("&gt;",A255)),""))</f>
        <v/>
      </c>
    </row>
    <row r="256" spans="1:4">
      <c r="A256" s="16" t="s">
        <v>68</v>
      </c>
      <c r="B256" s="6" t="str">
        <f>IF(Form!B111&lt;&gt;"",IF(Form!B109&lt;&gt;"","party",IF(Form!B110&lt;&gt;"","party","")),"")</f>
        <v/>
      </c>
      <c r="C256" s="33" t="s">
        <v>131</v>
      </c>
    </row>
    <row r="257" spans="1:4">
      <c r="A257" s="17" t="s">
        <v>122</v>
      </c>
      <c r="B257" s="7" t="str">
        <f>IF(Form!B111&lt;&gt;"",IF(Form!B109&lt;&gt;"",Form!B109&amp;" "&amp;Form!B110,IF(Form!B110&lt;&gt;"",Form!B109&amp;" "&amp;Form!B110,"")),"")</f>
        <v/>
      </c>
      <c r="C257" s="33" t="s">
        <v>131</v>
      </c>
      <c r="D257" t="str">
        <f>IF(B257&lt;&gt;"","    "&amp;"    "&amp;"    "&amp;A257&amp;B257&amp;LEFT(A257,FIND("&lt;",A257))&amp;"/"&amp;MID(A257,FIND("&lt;",A257)+1,FIND("&gt;",A257)),"")</f>
        <v/>
      </c>
    </row>
    <row r="258" spans="1:4">
      <c r="A258" s="17" t="s">
        <v>93</v>
      </c>
      <c r="B258" s="7" t="str">
        <f>IF(Form!B111&lt;&gt;"",Form!B111,"")</f>
        <v/>
      </c>
      <c r="C258" s="33" t="s">
        <v>131</v>
      </c>
      <c r="D258" t="str">
        <f>IF(B258&lt;&gt;"","    "&amp;"    "&amp;"    "&amp;LEFT(A258,FIND("&gt;",A258)-1)&amp;IF(B259&lt;&gt;""," "&amp;A259&amp;"="&amp;""""&amp;B259&amp;"""","")&amp;MID(A258,FIND("&gt;",A258),FIND("&gt;",A258))&amp;B258&amp;LEFT(A258,FIND("&lt;",A258))&amp;"/"&amp;MID(A258,FIND("&lt;",A258)+1,FIND("&gt;",A258)),"")</f>
        <v/>
      </c>
    </row>
    <row r="259" spans="1:4">
      <c r="A259" s="18" t="s">
        <v>68</v>
      </c>
      <c r="B259" s="6" t="str">
        <f>IF(Form!B111&lt;&gt;"","orcid","")</f>
        <v/>
      </c>
      <c r="C259" s="33" t="s">
        <v>131</v>
      </c>
    </row>
    <row r="260" spans="1:4">
      <c r="A260" s="17" t="s">
        <v>123</v>
      </c>
      <c r="D260" t="str">
        <f>IF(B257&lt;&gt;"","    "&amp;"    "&amp;"    "&amp;LEFT(A260,FIND("&gt;",A260)-1)&amp;IF(B261&lt;&gt;""," "&amp;A261&amp;"="&amp;""""&amp;B261&amp;"""","")&amp;MID(A260,FIND("&gt;",A260),FIND("&gt;",A260))&amp;LEFT(A260,FIND("&lt;",A260))&amp;"/"&amp;MID(A260,FIND("&lt;",A260)+1,FIND("&gt;",A260)),IF(B258&lt;&gt;"","    "&amp;"    "&amp;"    "&amp;LEFT(A260,FIND("&gt;",A260)-1)&amp;IF(B261&lt;&gt;""," "&amp;A261&amp;"="&amp;""""&amp;B261&amp;"""","")&amp;MID(A260,FIND("&gt;",A260),FIND("&gt;",A260))&amp;LEFT(A260,FIND("&lt;",A260))&amp;"/"&amp;MID(A260,FIND("&lt;",A260)+1,FIND("&gt;",A260)),""))</f>
        <v/>
      </c>
    </row>
    <row r="261" spans="1:4">
      <c r="A261" s="18" t="s">
        <v>68</v>
      </c>
      <c r="B261" s="6" t="str">
        <f>IF(Form!B111&lt;&gt;"",IF(Form!B114="Principal Investigator","hasPrincipalInvestigator",IF(Form!B114="Collector","hasCollector",IF(Form!B114="Enricher","isEnrichedBy",IF(Form!B114="Associated","hasAssociationWith","")))),"")</f>
        <v/>
      </c>
      <c r="C261" s="33" t="s">
        <v>131</v>
      </c>
      <c r="D261" t="str">
        <f>IF(B257&lt;&gt;"","    "&amp;"    "&amp;LEFT(A255,FIND("&lt;",A255))&amp;"/"&amp;MID(A255,FIND("&lt;",A255)+1,FIND("&gt;",A255)),IF(B258&lt;&gt;"","    "&amp;"    "&amp;LEFT(A255,FIND("&lt;",A255))&amp;"/"&amp;MID(A255,FIND("&lt;",A255)+1,FIND("&gt;",A255)),""))</f>
        <v/>
      </c>
    </row>
    <row r="262" spans="1:4">
      <c r="A262" s="15" t="s">
        <v>120</v>
      </c>
      <c r="D262" t="str">
        <f>IF(B264&lt;&gt;"","    "&amp;"    "&amp;LEFT(A262,FIND("&gt;",A262)-1)&amp;IF(B263&lt;&gt;""," "&amp;A263&amp;"="&amp;""""&amp;B263&amp;"""","")&amp;MID(A262,FIND("&gt;",A262),FIND("&gt;",A262)),IF(B265&lt;&gt;"","    "&amp;"    "&amp;LEFT(A262,FIND("&gt;",A262)-1)&amp;IF(B263&lt;&gt;""," "&amp;A263&amp;"="&amp;""""&amp;B263&amp;"""","")&amp;MID(A262,FIND("&gt;",A262),FIND("&gt;",A262)),""))</f>
        <v/>
      </c>
    </row>
    <row r="263" spans="1:4">
      <c r="A263" s="16" t="s">
        <v>68</v>
      </c>
      <c r="B263" s="6" t="str">
        <f>IF(Form!B112&lt;&gt;"",IF(Form!B109&lt;&gt;"","party",IF(Form!B110&lt;&gt;"","party","")),"")</f>
        <v/>
      </c>
      <c r="C263" s="33" t="s">
        <v>131</v>
      </c>
    </row>
    <row r="264" spans="1:4">
      <c r="A264" s="17" t="s">
        <v>122</v>
      </c>
      <c r="B264" s="7" t="str">
        <f>IF(Form!B112&lt;&gt;"",IF(Form!B109&lt;&gt;"",Form!B109&amp;" "&amp;Form!B110,IF(Form!B110&lt;&gt;"",Form!B109&amp;" "&amp;Form!B110,"")),"")</f>
        <v/>
      </c>
      <c r="C264" s="33" t="s">
        <v>131</v>
      </c>
      <c r="D264" t="str">
        <f>IF(B264&lt;&gt;"","    "&amp;"    "&amp;"    "&amp;A264&amp;B264&amp;LEFT(A264,FIND("&lt;",A264))&amp;"/"&amp;MID(A264,FIND("&lt;",A264)+1,FIND("&gt;",A264)),"")</f>
        <v/>
      </c>
    </row>
    <row r="265" spans="1:4">
      <c r="A265" s="17" t="s">
        <v>93</v>
      </c>
      <c r="B265" s="7" t="str">
        <f>IF(Form!B112&lt;&gt;"",Form!B112,"")</f>
        <v/>
      </c>
      <c r="C265" s="33" t="s">
        <v>131</v>
      </c>
      <c r="D265" t="str">
        <f>IF(B265&lt;&gt;"","    "&amp;"    "&amp;"    "&amp;LEFT(A265,FIND("&gt;",A265)-1)&amp;IF(B266&lt;&gt;""," "&amp;A266&amp;"="&amp;""""&amp;B266&amp;"""","")&amp;MID(A265,FIND("&gt;",A265),FIND("&gt;",A265))&amp;B265&amp;LEFT(A265,FIND("&lt;",A265))&amp;"/"&amp;MID(A265,FIND("&lt;",A265)+1,FIND("&gt;",A265)),"")</f>
        <v/>
      </c>
    </row>
    <row r="266" spans="1:4">
      <c r="A266" s="18" t="s">
        <v>68</v>
      </c>
      <c r="B266" s="6" t="str">
        <f>IF(Form!B112&lt;&gt;"","scopusID","")</f>
        <v/>
      </c>
      <c r="C266" s="33" t="s">
        <v>131</v>
      </c>
    </row>
    <row r="267" spans="1:4">
      <c r="A267" s="17" t="s">
        <v>123</v>
      </c>
      <c r="D267" t="str">
        <f>IF(B264&lt;&gt;"","    "&amp;"    "&amp;"    "&amp;LEFT(A267,FIND("&gt;",A267)-1)&amp;IF(B268&lt;&gt;""," "&amp;A268&amp;"="&amp;""""&amp;B268&amp;"""","")&amp;MID(A267,FIND("&gt;",A267),FIND("&gt;",A267))&amp;LEFT(A267,FIND("&lt;",A267))&amp;"/"&amp;MID(A267,FIND("&lt;",A267)+1,FIND("&gt;",A267)),IF(B265&lt;&gt;"","    "&amp;"    "&amp;"    "&amp;LEFT(A267,FIND("&gt;",A267)-1)&amp;IF(B268&lt;&gt;""," "&amp;A268&amp;"="&amp;""""&amp;B268&amp;"""","")&amp;MID(A267,FIND("&gt;",A267),FIND("&gt;",A267))&amp;LEFT(A267,FIND("&lt;",A267))&amp;"/"&amp;MID(A267,FIND("&lt;",A267)+1,FIND("&gt;",A267)),""))</f>
        <v/>
      </c>
    </row>
    <row r="268" spans="1:4">
      <c r="A268" s="18" t="s">
        <v>68</v>
      </c>
      <c r="B268" s="6" t="str">
        <f>IF(Form!B112&lt;&gt;"",IF(Form!B114="Principal Investigator","hasPrincipalInvestigator",IF(Form!B114="Collector","hasCollector",IF(Form!B114="Enricher","isEnrichedBy",IF(Form!B114="Associated","hasAssociationWith","")))),"")</f>
        <v/>
      </c>
      <c r="C268" s="33" t="s">
        <v>131</v>
      </c>
      <c r="D268" t="str">
        <f>IF(B264&lt;&gt;"","    "&amp;"    "&amp;LEFT(A262,FIND("&lt;",A262))&amp;"/"&amp;MID(A262,FIND("&lt;",A262)+1,FIND("&gt;",A262)),IF(B265&lt;&gt;"","    "&amp;"    "&amp;LEFT(A262,FIND("&lt;",A262))&amp;"/"&amp;MID(A262,FIND("&lt;",A262)+1,FIND("&gt;",A262)),""))</f>
        <v/>
      </c>
    </row>
    <row r="269" spans="1:4">
      <c r="A269" s="15" t="s">
        <v>120</v>
      </c>
      <c r="D269" t="str">
        <f>IF(B271&lt;&gt;"","    "&amp;"    "&amp;LEFT(A269,FIND("&gt;",A269)-1)&amp;IF(B270&lt;&gt;""," "&amp;A270&amp;"="&amp;""""&amp;B270&amp;"""","")&amp;MID(A269,FIND("&gt;",A269),FIND("&gt;",A269)),IF(B272&lt;&gt;"","    "&amp;"    "&amp;LEFT(A269,FIND("&gt;",A269)-1)&amp;IF(B270&lt;&gt;""," "&amp;A270&amp;"="&amp;""""&amp;B270&amp;"""","")&amp;MID(A269,FIND("&gt;",A269),FIND("&gt;",A269)),""))</f>
        <v/>
      </c>
    </row>
    <row r="270" spans="1:4">
      <c r="A270" s="16" t="s">
        <v>68</v>
      </c>
      <c r="B270" s="6" t="str">
        <f>IF(Form!B113&lt;&gt;"",IF(Form!B109&lt;&gt;"","party",IF(Form!B110&lt;&gt;"","party","")),"")</f>
        <v/>
      </c>
      <c r="C270" s="33" t="s">
        <v>131</v>
      </c>
    </row>
    <row r="271" spans="1:4">
      <c r="A271" s="17" t="s">
        <v>122</v>
      </c>
      <c r="B271" s="7" t="str">
        <f>IF(Form!B113&lt;&gt;"",IF(Form!B109&lt;&gt;"",Form!B109&amp;" "&amp;Form!B110,IF(Form!B110&lt;&gt;"",Form!B109&amp;" "&amp;Form!B110,"")),"")</f>
        <v/>
      </c>
      <c r="C271" s="33" t="s">
        <v>131</v>
      </c>
      <c r="D271" t="str">
        <f>IF(B271&lt;&gt;"","    "&amp;"    "&amp;"    "&amp;A271&amp;B271&amp;LEFT(A271,FIND("&lt;",A271))&amp;"/"&amp;MID(A271,FIND("&lt;",A271)+1,FIND("&gt;",A271)),"")</f>
        <v/>
      </c>
    </row>
    <row r="272" spans="1:4">
      <c r="A272" s="17" t="s">
        <v>93</v>
      </c>
      <c r="B272" s="7" t="str">
        <f>IF(Form!B113&lt;&gt;"",Form!B113,"")</f>
        <v/>
      </c>
      <c r="C272" s="33" t="s">
        <v>131</v>
      </c>
      <c r="D272" t="str">
        <f>IF(B272&lt;&gt;"","    "&amp;"    "&amp;"    "&amp;LEFT(A272,FIND("&gt;",A272)-1)&amp;IF(B273&lt;&gt;""," "&amp;A273&amp;"="&amp;""""&amp;B273&amp;"""","")&amp;MID(A272,FIND("&gt;",A272),FIND("&gt;",A272))&amp;B272&amp;LEFT(A272,FIND("&lt;",A272))&amp;"/"&amp;MID(A272,FIND("&lt;",A272)+1,FIND("&gt;",A272)),"")</f>
        <v/>
      </c>
    </row>
    <row r="273" spans="1:4">
      <c r="A273" s="18" t="s">
        <v>68</v>
      </c>
      <c r="B273" s="6" t="str">
        <f>IF(Form!B113&lt;&gt;"","researcherID","")</f>
        <v/>
      </c>
      <c r="C273" s="33" t="s">
        <v>131</v>
      </c>
    </row>
    <row r="274" spans="1:4">
      <c r="A274" s="17" t="s">
        <v>123</v>
      </c>
      <c r="D274" t="str">
        <f>IF(B271&lt;&gt;"","    "&amp;"    "&amp;"    "&amp;LEFT(A274,FIND("&gt;",A274)-1)&amp;IF(B275&lt;&gt;""," "&amp;A275&amp;"="&amp;""""&amp;B275&amp;"""","")&amp;MID(A274,FIND("&gt;",A274),FIND("&gt;",A274))&amp;LEFT(A274,FIND("&lt;",A274))&amp;"/"&amp;MID(A274,FIND("&lt;",A274)+1,FIND("&gt;",A274)),IF(B272&lt;&gt;"","    "&amp;"    "&amp;"    "&amp;LEFT(A274,FIND("&gt;",A274)-1)&amp;IF(B275&lt;&gt;""," "&amp;A275&amp;"="&amp;""""&amp;B275&amp;"""","")&amp;MID(A274,FIND("&gt;",A274),FIND("&gt;",A274))&amp;LEFT(A274,FIND("&lt;",A274))&amp;"/"&amp;MID(A274,FIND("&lt;",A274)+1,FIND("&gt;",A274)),""))</f>
        <v/>
      </c>
    </row>
    <row r="275" spans="1:4">
      <c r="A275" s="18" t="s">
        <v>68</v>
      </c>
      <c r="B275" s="6" t="str">
        <f>IF(Form!B113&lt;&gt;"",IF(Form!B114="Principal Investigator","hasPrincipalInvestigator",IF(Form!B114="Collector","hasCollector",IF(Form!B114="Enricher","isEnrichedBy",IF(Form!B114="Associated","hasAssociationWith","")))),"")</f>
        <v/>
      </c>
      <c r="C275" s="33" t="s">
        <v>131</v>
      </c>
      <c r="D275" t="str">
        <f>IF(B271&lt;&gt;"","    "&amp;"    "&amp;LEFT(A269,FIND("&lt;",A269))&amp;"/"&amp;MID(A269,FIND("&lt;",A269)+1,FIND("&gt;",A269)),IF(B272&lt;&gt;"","    "&amp;"    "&amp;LEFT(A269,FIND("&lt;",A269))&amp;"/"&amp;MID(A269,FIND("&lt;",A269)+1,FIND("&gt;",A269)),""))</f>
        <v/>
      </c>
    </row>
    <row r="276" spans="1:4">
      <c r="A276" s="15" t="s">
        <v>120</v>
      </c>
      <c r="D276" t="str">
        <f>IF(B278&lt;&gt;"","    "&amp;"    "&amp;LEFT(A276,FIND("&gt;",A276)-1)&amp;IF(B277&lt;&gt;""," "&amp;A277&amp;"="&amp;""""&amp;B277&amp;"""","")&amp;MID(A276,FIND("&gt;",A276),FIND("&gt;",A276)),IF(B279&lt;&gt;"","    "&amp;"    "&amp;LEFT(A276,FIND("&gt;",A276)-1)&amp;IF(B277&lt;&gt;""," "&amp;A277&amp;"="&amp;""""&amp;B277&amp;"""","")&amp;MID(A276,FIND("&gt;",A276),FIND("&gt;",A276)),""))</f>
        <v/>
      </c>
    </row>
    <row r="277" spans="1:4">
      <c r="A277" s="16" t="s">
        <v>68</v>
      </c>
      <c r="B277" s="6" t="str">
        <f>IF(Form!B118&lt;&gt;"",IF(Form!B116&lt;&gt;"","party",IF(Form!B117&lt;&gt;"","party","")),"")</f>
        <v/>
      </c>
      <c r="C277" s="33" t="s">
        <v>131</v>
      </c>
    </row>
    <row r="278" spans="1:4">
      <c r="A278" s="17" t="s">
        <v>122</v>
      </c>
      <c r="B278" s="7" t="str">
        <f>IF(Form!B118&lt;&gt;"",IF(Form!B116&lt;&gt;"",Form!B116&amp;" "&amp;Form!B117,IF(Form!B117&lt;&gt;"",Form!B116&amp;" "&amp;Form!B117,"")),"")</f>
        <v/>
      </c>
      <c r="C278" s="33" t="s">
        <v>131</v>
      </c>
      <c r="D278" t="str">
        <f>IF(B278&lt;&gt;"","    "&amp;"    "&amp;"    "&amp;A278&amp;B278&amp;LEFT(A278,FIND("&lt;",A278))&amp;"/"&amp;MID(A278,FIND("&lt;",A278)+1,FIND("&gt;",A278)),"")</f>
        <v/>
      </c>
    </row>
    <row r="279" spans="1:4">
      <c r="A279" s="17" t="s">
        <v>93</v>
      </c>
      <c r="B279" s="7" t="str">
        <f>IF(Form!B118&lt;&gt;"",Form!B118,"")</f>
        <v/>
      </c>
      <c r="C279" s="33" t="s">
        <v>131</v>
      </c>
      <c r="D279" t="str">
        <f>IF(B279&lt;&gt;"","    "&amp;"    "&amp;"    "&amp;LEFT(A279,FIND("&gt;",A279)-1)&amp;IF(B280&lt;&gt;""," "&amp;A280&amp;"="&amp;""""&amp;B280&amp;"""","")&amp;MID(A279,FIND("&gt;",A279),FIND("&gt;",A279))&amp;B279&amp;LEFT(A279,FIND("&lt;",A279))&amp;"/"&amp;MID(A279,FIND("&lt;",A279)+1,FIND("&gt;",A279)),"")</f>
        <v/>
      </c>
    </row>
    <row r="280" spans="1:4">
      <c r="A280" s="18" t="s">
        <v>68</v>
      </c>
      <c r="B280" s="6" t="str">
        <f>IF(Form!B118&lt;&gt;"","orcid","")</f>
        <v/>
      </c>
      <c r="C280" s="33" t="s">
        <v>131</v>
      </c>
    </row>
    <row r="281" spans="1:4">
      <c r="A281" s="17" t="s">
        <v>123</v>
      </c>
      <c r="D281" t="str">
        <f>IF(B278&lt;&gt;"","    "&amp;"    "&amp;"    "&amp;LEFT(A281,FIND("&gt;",A281)-1)&amp;IF(B282&lt;&gt;""," "&amp;A282&amp;"="&amp;""""&amp;B282&amp;"""","")&amp;MID(A281,FIND("&gt;",A281),FIND("&gt;",A281))&amp;LEFT(A281,FIND("&lt;",A281))&amp;"/"&amp;MID(A281,FIND("&lt;",A281)+1,FIND("&gt;",A281)),IF(B279&lt;&gt;"","    "&amp;"    "&amp;"    "&amp;LEFT(A281,FIND("&gt;",A281)-1)&amp;IF(B282&lt;&gt;""," "&amp;A282&amp;"="&amp;""""&amp;B282&amp;"""","")&amp;MID(A281,FIND("&gt;",A281),FIND("&gt;",A281))&amp;LEFT(A281,FIND("&lt;",A281))&amp;"/"&amp;MID(A281,FIND("&lt;",A281)+1,FIND("&gt;",A281)),""))</f>
        <v/>
      </c>
    </row>
    <row r="282" spans="1:4">
      <c r="A282" s="18" t="s">
        <v>68</v>
      </c>
      <c r="B282" s="6" t="str">
        <f>IF(Form!B118&lt;&gt;"",IF(Form!B121="Principal Investigator","hasPrincipalInvestigator",IF(Form!B121="Collector","hasCollector",IF(Form!B121="Enricher","isEnrichedBy",IF(Form!B121="Associated","hasAssociationWith","")))),"")</f>
        <v/>
      </c>
      <c r="C282" s="33" t="s">
        <v>131</v>
      </c>
      <c r="D282" t="str">
        <f>IF(B278&lt;&gt;"","    "&amp;"    "&amp;LEFT(A276,FIND("&lt;",A276))&amp;"/"&amp;MID(A276,FIND("&lt;",A276)+1,FIND("&gt;",A276)),IF(B279&lt;&gt;"","    "&amp;"    "&amp;LEFT(A276,FIND("&lt;",A276))&amp;"/"&amp;MID(A276,FIND("&lt;",A276)+1,FIND("&gt;",A276)),""))</f>
        <v/>
      </c>
    </row>
    <row r="283" spans="1:4">
      <c r="A283" s="15" t="s">
        <v>120</v>
      </c>
      <c r="D283" t="str">
        <f>IF(B285&lt;&gt;"","    "&amp;"    "&amp;LEFT(A283,FIND("&gt;",A283)-1)&amp;IF(B284&lt;&gt;""," "&amp;A284&amp;"="&amp;""""&amp;B284&amp;"""","")&amp;MID(A283,FIND("&gt;",A283),FIND("&gt;",A283)),IF(B286&lt;&gt;"","    "&amp;"    "&amp;LEFT(A283,FIND("&gt;",A283)-1)&amp;IF(B284&lt;&gt;""," "&amp;A284&amp;"="&amp;""""&amp;B284&amp;"""","")&amp;MID(A283,FIND("&gt;",A283),FIND("&gt;",A283)),""))</f>
        <v/>
      </c>
    </row>
    <row r="284" spans="1:4">
      <c r="A284" s="16" t="s">
        <v>68</v>
      </c>
      <c r="B284" s="6" t="str">
        <f>IF(Form!B119&lt;&gt;"",IF(Form!B116&lt;&gt;"","party",IF(Form!B117&lt;&gt;"","party","")),"")</f>
        <v/>
      </c>
      <c r="C284" s="33" t="s">
        <v>131</v>
      </c>
    </row>
    <row r="285" spans="1:4">
      <c r="A285" s="17" t="s">
        <v>122</v>
      </c>
      <c r="B285" s="7" t="str">
        <f>IF(Form!B119&lt;&gt;"",IF(Form!B116&lt;&gt;"",Form!B116&amp;" "&amp;Form!B117,IF(Form!B117&lt;&gt;"",Form!B116&amp;" "&amp;Form!B117,"")),"")</f>
        <v/>
      </c>
      <c r="C285" s="33" t="s">
        <v>131</v>
      </c>
      <c r="D285" t="str">
        <f>IF(B285&lt;&gt;"","    "&amp;"    "&amp;"    "&amp;A285&amp;B285&amp;LEFT(A285,FIND("&lt;",A285))&amp;"/"&amp;MID(A285,FIND("&lt;",A285)+1,FIND("&gt;",A285)),"")</f>
        <v/>
      </c>
    </row>
    <row r="286" spans="1:4">
      <c r="A286" s="17" t="s">
        <v>93</v>
      </c>
      <c r="B286" s="7" t="str">
        <f>IF(Form!B119&lt;&gt;"",Form!B119,"")</f>
        <v/>
      </c>
      <c r="C286" s="33" t="s">
        <v>131</v>
      </c>
      <c r="D286" t="str">
        <f>IF(B286&lt;&gt;"","    "&amp;"    "&amp;"    "&amp;LEFT(A286,FIND("&gt;",A286)-1)&amp;IF(B287&lt;&gt;""," "&amp;A287&amp;"="&amp;""""&amp;B287&amp;"""","")&amp;MID(A286,FIND("&gt;",A286),FIND("&gt;",A286))&amp;B286&amp;LEFT(A286,FIND("&lt;",A286))&amp;"/"&amp;MID(A286,FIND("&lt;",A286)+1,FIND("&gt;",A286)),"")</f>
        <v/>
      </c>
    </row>
    <row r="287" spans="1:4">
      <c r="A287" s="18" t="s">
        <v>68</v>
      </c>
      <c r="B287" s="6" t="str">
        <f>IF(Form!B119&lt;&gt;"","scopusID","")</f>
        <v/>
      </c>
      <c r="C287" s="33" t="s">
        <v>131</v>
      </c>
    </row>
    <row r="288" spans="1:4">
      <c r="A288" s="17" t="s">
        <v>123</v>
      </c>
      <c r="D288" t="str">
        <f>IF(B285&lt;&gt;"","    "&amp;"    "&amp;"    "&amp;LEFT(A288,FIND("&gt;",A288)-1)&amp;IF(B289&lt;&gt;""," "&amp;A289&amp;"="&amp;""""&amp;B289&amp;"""","")&amp;MID(A288,FIND("&gt;",A288),FIND("&gt;",A288))&amp;LEFT(A288,FIND("&lt;",A288))&amp;"/"&amp;MID(A288,FIND("&lt;",A288)+1,FIND("&gt;",A288)),IF(B286&lt;&gt;"","    "&amp;"    "&amp;"    "&amp;LEFT(A288,FIND("&gt;",A288)-1)&amp;IF(B289&lt;&gt;""," "&amp;A289&amp;"="&amp;""""&amp;B289&amp;"""","")&amp;MID(A288,FIND("&gt;",A288),FIND("&gt;",A288))&amp;LEFT(A288,FIND("&lt;",A288))&amp;"/"&amp;MID(A288,FIND("&lt;",A288)+1,FIND("&gt;",A288)),""))</f>
        <v/>
      </c>
    </row>
    <row r="289" spans="1:4">
      <c r="A289" s="18" t="s">
        <v>68</v>
      </c>
      <c r="B289" s="6" t="str">
        <f>IF(Form!B119&lt;&gt;"",IF(Form!B121="Principal Investigator","hasPrincipalInvestigator",IF(Form!B121="Collector","hasCollector",IF(Form!B121="Enricher","isEnrichedBy",IF(Form!B121="Associated","hasAssociationWith","")))),"")</f>
        <v/>
      </c>
      <c r="C289" s="33" t="s">
        <v>131</v>
      </c>
      <c r="D289" t="str">
        <f>IF(B285&lt;&gt;"","    "&amp;"    "&amp;LEFT(A283,FIND("&lt;",A283))&amp;"/"&amp;MID(A283,FIND("&lt;",A283)+1,FIND("&gt;",A283)),IF(B286&lt;&gt;"","    "&amp;"    "&amp;LEFT(A283,FIND("&lt;",A283))&amp;"/"&amp;MID(A283,FIND("&lt;",A283)+1,FIND("&gt;",A283)),""))</f>
        <v/>
      </c>
    </row>
    <row r="290" spans="1:4">
      <c r="A290" s="15" t="s">
        <v>120</v>
      </c>
      <c r="D290" t="str">
        <f>IF(B292&lt;&gt;"","    "&amp;"    "&amp;LEFT(A290,FIND("&gt;",A290)-1)&amp;IF(B291&lt;&gt;""," "&amp;A291&amp;"="&amp;""""&amp;B291&amp;"""","")&amp;MID(A290,FIND("&gt;",A290),FIND("&gt;",A290)),IF(B293&lt;&gt;"","    "&amp;"    "&amp;LEFT(A290,FIND("&gt;",A290)-1)&amp;IF(B291&lt;&gt;""," "&amp;A291&amp;"="&amp;""""&amp;B291&amp;"""","")&amp;MID(A290,FIND("&gt;",A290),FIND("&gt;",A290)),""))</f>
        <v/>
      </c>
    </row>
    <row r="291" spans="1:4">
      <c r="A291" s="16" t="s">
        <v>68</v>
      </c>
      <c r="B291" s="6" t="str">
        <f>IF(Form!B120&lt;&gt;"",IF(Form!B116&lt;&gt;"","party",IF(Form!B117&lt;&gt;"","party","")),"")</f>
        <v/>
      </c>
      <c r="C291" s="33" t="s">
        <v>131</v>
      </c>
    </row>
    <row r="292" spans="1:4">
      <c r="A292" s="17" t="s">
        <v>122</v>
      </c>
      <c r="B292" s="7" t="str">
        <f>IF(Form!B120&lt;&gt;"",IF(Form!B116&lt;&gt;"",Form!B116&amp;" "&amp;Form!B117,IF(Form!B117&lt;&gt;"",Form!B116&amp;" "&amp;Form!B117,"")),"")</f>
        <v/>
      </c>
      <c r="C292" s="33" t="s">
        <v>131</v>
      </c>
      <c r="D292" t="str">
        <f>IF(B292&lt;&gt;"","    "&amp;"    "&amp;"    "&amp;A292&amp;B292&amp;LEFT(A292,FIND("&lt;",A292))&amp;"/"&amp;MID(A292,FIND("&lt;",A292)+1,FIND("&gt;",A292)),"")</f>
        <v/>
      </c>
    </row>
    <row r="293" spans="1:4">
      <c r="A293" s="17" t="s">
        <v>93</v>
      </c>
      <c r="B293" s="7" t="str">
        <f>IF(Form!B120&lt;&gt;"",Form!B120,"")</f>
        <v/>
      </c>
      <c r="C293" s="33" t="s">
        <v>131</v>
      </c>
      <c r="D293" t="str">
        <f>IF(B293&lt;&gt;"","    "&amp;"    "&amp;"    "&amp;LEFT(A293,FIND("&gt;",A293)-1)&amp;IF(B294&lt;&gt;""," "&amp;A294&amp;"="&amp;""""&amp;B294&amp;"""","")&amp;MID(A293,FIND("&gt;",A293),FIND("&gt;",A293))&amp;B293&amp;LEFT(A293,FIND("&lt;",A293))&amp;"/"&amp;MID(A293,FIND("&lt;",A293)+1,FIND("&gt;",A293)),"")</f>
        <v/>
      </c>
    </row>
    <row r="294" spans="1:4">
      <c r="A294" s="18" t="s">
        <v>68</v>
      </c>
      <c r="B294" s="6" t="str">
        <f>IF(Form!B120&lt;&gt;"","researcherID","")</f>
        <v/>
      </c>
      <c r="C294" s="33" t="s">
        <v>131</v>
      </c>
    </row>
    <row r="295" spans="1:4">
      <c r="A295" s="17" t="s">
        <v>123</v>
      </c>
      <c r="D295" t="str">
        <f>IF(B292&lt;&gt;"","    "&amp;"    "&amp;"    "&amp;LEFT(A295,FIND("&gt;",A295)-1)&amp;IF(B296&lt;&gt;""," "&amp;A296&amp;"="&amp;""""&amp;B296&amp;"""","")&amp;MID(A295,FIND("&gt;",A295),FIND("&gt;",A295))&amp;LEFT(A295,FIND("&lt;",A295))&amp;"/"&amp;MID(A295,FIND("&lt;",A295)+1,FIND("&gt;",A295)),IF(B293&lt;&gt;"","    "&amp;"    "&amp;"    "&amp;LEFT(A295,FIND("&gt;",A295)-1)&amp;IF(B296&lt;&gt;""," "&amp;A296&amp;"="&amp;""""&amp;B296&amp;"""","")&amp;MID(A295,FIND("&gt;",A295),FIND("&gt;",A295))&amp;LEFT(A295,FIND("&lt;",A295))&amp;"/"&amp;MID(A295,FIND("&lt;",A295)+1,FIND("&gt;",A295)),""))</f>
        <v/>
      </c>
    </row>
    <row r="296" spans="1:4">
      <c r="A296" s="18" t="s">
        <v>68</v>
      </c>
      <c r="B296" s="6" t="str">
        <f>IF(Form!B120&lt;&gt;"",IF(Form!B121="Principal Investigator","hasPrincipalInvestigator",IF(Form!B121="Collector","hasCollector",IF(Form!B121="Enricher","isEnrichedBy",IF(Form!B121="Associated","hasAssociationWith","")))),"")</f>
        <v/>
      </c>
      <c r="C296" s="33" t="s">
        <v>131</v>
      </c>
      <c r="D296" t="str">
        <f>IF(B292&lt;&gt;"","    "&amp;"    "&amp;LEFT(A290,FIND("&lt;",A290))&amp;"/"&amp;MID(A290,FIND("&lt;",A290)+1,FIND("&gt;",A290)),IF(B293&lt;&gt;"","    "&amp;"    "&amp;LEFT(A290,FIND("&lt;",A290))&amp;"/"&amp;MID(A290,FIND("&lt;",A290)+1,FIND("&gt;",A290)),""))</f>
        <v/>
      </c>
    </row>
    <row r="297" spans="1:4">
      <c r="A297" s="15" t="s">
        <v>120</v>
      </c>
      <c r="D297" t="str">
        <f>IF(B299&lt;&gt;"","    "&amp;"    "&amp;LEFT(A297,FIND("&gt;",A297)-1)&amp;IF(B298&lt;&gt;""," "&amp;A298&amp;"="&amp;""""&amp;B298&amp;"""","")&amp;MID(A297,FIND("&gt;",A297),FIND("&gt;",A297)),IF(B300&lt;&gt;"","    "&amp;"    "&amp;LEFT(A297,FIND("&gt;",A297)-1)&amp;IF(B298&lt;&gt;""," "&amp;A298&amp;"="&amp;""""&amp;B298&amp;"""","")&amp;MID(A297,FIND("&gt;",A297),FIND("&gt;",A297)),""))</f>
        <v/>
      </c>
    </row>
    <row r="298" spans="1:4">
      <c r="A298" s="16" t="s">
        <v>68</v>
      </c>
      <c r="B298" s="6" t="str">
        <f>IF(Form!B125&lt;&gt;"",IF(Form!B123&lt;&gt;"","party",IF(Form!B124&lt;&gt;"","party","")),"")</f>
        <v/>
      </c>
      <c r="C298" s="33" t="s">
        <v>131</v>
      </c>
    </row>
    <row r="299" spans="1:4">
      <c r="A299" s="17" t="s">
        <v>122</v>
      </c>
      <c r="B299" s="7" t="str">
        <f>IF(Form!B125&lt;&gt;"",IF(Form!B123&lt;&gt;"",Form!B123&amp;" "&amp;Form!B124,IF(Form!B124&lt;&gt;"",Form!B123&amp;" "&amp;Form!B124,"")),"")</f>
        <v/>
      </c>
      <c r="C299" s="33" t="s">
        <v>131</v>
      </c>
      <c r="D299" t="str">
        <f>IF(B299&lt;&gt;"","    "&amp;"    "&amp;"    "&amp;A299&amp;B299&amp;LEFT(A299,FIND("&lt;",A299))&amp;"/"&amp;MID(A299,FIND("&lt;",A299)+1,FIND("&gt;",A299)),"")</f>
        <v/>
      </c>
    </row>
    <row r="300" spans="1:4">
      <c r="A300" s="17" t="s">
        <v>93</v>
      </c>
      <c r="B300" s="7" t="str">
        <f>IF(Form!B125&lt;&gt;"",Form!B125,"")</f>
        <v/>
      </c>
      <c r="C300" s="33" t="s">
        <v>131</v>
      </c>
      <c r="D300" t="str">
        <f>IF(B300&lt;&gt;"","    "&amp;"    "&amp;"    "&amp;LEFT(A300,FIND("&gt;",A300)-1)&amp;IF(B301&lt;&gt;""," "&amp;A301&amp;"="&amp;""""&amp;B301&amp;"""","")&amp;MID(A300,FIND("&gt;",A300),FIND("&gt;",A300))&amp;B300&amp;LEFT(A300,FIND("&lt;",A300))&amp;"/"&amp;MID(A300,FIND("&lt;",A300)+1,FIND("&gt;",A300)),"")</f>
        <v/>
      </c>
    </row>
    <row r="301" spans="1:4">
      <c r="A301" s="18" t="s">
        <v>68</v>
      </c>
      <c r="B301" s="6" t="str">
        <f>IF(Form!B125&lt;&gt;"","orcid","")</f>
        <v/>
      </c>
      <c r="C301" s="33" t="s">
        <v>131</v>
      </c>
    </row>
    <row r="302" spans="1:4">
      <c r="A302" s="17" t="s">
        <v>123</v>
      </c>
      <c r="D302" t="str">
        <f>IF(B299&lt;&gt;"","    "&amp;"    "&amp;"    "&amp;LEFT(A302,FIND("&gt;",A302)-1)&amp;IF(B303&lt;&gt;""," "&amp;A303&amp;"="&amp;""""&amp;B303&amp;"""","")&amp;MID(A302,FIND("&gt;",A302),FIND("&gt;",A302))&amp;LEFT(A302,FIND("&lt;",A302))&amp;"/"&amp;MID(A302,FIND("&lt;",A302)+1,FIND("&gt;",A302)),IF(B300&lt;&gt;"","    "&amp;"    "&amp;"    "&amp;LEFT(A302,FIND("&gt;",A302)-1)&amp;IF(B303&lt;&gt;""," "&amp;A303&amp;"="&amp;""""&amp;B303&amp;"""","")&amp;MID(A302,FIND("&gt;",A302),FIND("&gt;",A302))&amp;LEFT(A302,FIND("&lt;",A302))&amp;"/"&amp;MID(A302,FIND("&lt;",A302)+1,FIND("&gt;",A302)),""))</f>
        <v/>
      </c>
    </row>
    <row r="303" spans="1:4">
      <c r="A303" s="18" t="s">
        <v>68</v>
      </c>
      <c r="B303" s="6" t="str">
        <f>IF(Form!B125&lt;&gt;"",IF(Form!B128="Principal Investigator","hasPrincipalInvestigator",IF(Form!B128="Collector","hasCollector",IF(Form!B128="Enricher","isEnrichedBy",IF(Form!B128="Associated","hasAssociationWith","")))),"")</f>
        <v/>
      </c>
      <c r="C303" s="33" t="s">
        <v>131</v>
      </c>
      <c r="D303" t="str">
        <f>IF(B299&lt;&gt;"","    "&amp;"    "&amp;LEFT(A297,FIND("&lt;",A297))&amp;"/"&amp;MID(A297,FIND("&lt;",A297)+1,FIND("&gt;",A297)),IF(B300&lt;&gt;"","    "&amp;"    "&amp;LEFT(A297,FIND("&lt;",A297))&amp;"/"&amp;MID(A297,FIND("&lt;",A297)+1,FIND("&gt;",A297)),""))</f>
        <v/>
      </c>
    </row>
    <row r="304" spans="1:4">
      <c r="A304" s="15" t="s">
        <v>120</v>
      </c>
      <c r="D304" t="str">
        <f>IF(B306&lt;&gt;"","    "&amp;"    "&amp;LEFT(A304,FIND("&gt;",A304)-1)&amp;IF(B305&lt;&gt;""," "&amp;A305&amp;"="&amp;""""&amp;B305&amp;"""","")&amp;MID(A304,FIND("&gt;",A304),FIND("&gt;",A304)),IF(B307&lt;&gt;"","    "&amp;"    "&amp;LEFT(A304,FIND("&gt;",A304)-1)&amp;IF(B305&lt;&gt;""," "&amp;A305&amp;"="&amp;""""&amp;B305&amp;"""","")&amp;MID(A304,FIND("&gt;",A304),FIND("&gt;",A304)),""))</f>
        <v/>
      </c>
    </row>
    <row r="305" spans="1:4">
      <c r="A305" s="16" t="s">
        <v>68</v>
      </c>
      <c r="B305" s="6" t="str">
        <f>IF(Form!B126&lt;&gt;"",IF(Form!B123&lt;&gt;"","party",IF(Form!B124&lt;&gt;"","party","")),"")</f>
        <v/>
      </c>
      <c r="C305" s="33" t="s">
        <v>131</v>
      </c>
    </row>
    <row r="306" spans="1:4">
      <c r="A306" s="17" t="s">
        <v>122</v>
      </c>
      <c r="B306" s="7" t="str">
        <f>IF(Form!B126&lt;&gt;"",IF(Form!B123&lt;&gt;"",Form!B123&amp;" "&amp;Form!B124,IF(Form!B124&lt;&gt;"",Form!B123&amp;" "&amp;Form!B124,"")),"")</f>
        <v/>
      </c>
      <c r="C306" s="33" t="s">
        <v>131</v>
      </c>
      <c r="D306" t="str">
        <f>IF(B306&lt;&gt;"","    "&amp;"    "&amp;"    "&amp;A306&amp;B306&amp;LEFT(A306,FIND("&lt;",A306))&amp;"/"&amp;MID(A306,FIND("&lt;",A306)+1,FIND("&gt;",A306)),"")</f>
        <v/>
      </c>
    </row>
    <row r="307" spans="1:4">
      <c r="A307" s="17" t="s">
        <v>93</v>
      </c>
      <c r="B307" s="7" t="str">
        <f>IF(Form!B126&lt;&gt;"",Form!B126,"")</f>
        <v/>
      </c>
      <c r="C307" s="33" t="s">
        <v>131</v>
      </c>
      <c r="D307" t="str">
        <f>IF(B307&lt;&gt;"","    "&amp;"    "&amp;"    "&amp;LEFT(A307,FIND("&gt;",A307)-1)&amp;IF(B308&lt;&gt;""," "&amp;A308&amp;"="&amp;""""&amp;B308&amp;"""","")&amp;MID(A307,FIND("&gt;",A307),FIND("&gt;",A307))&amp;B307&amp;LEFT(A307,FIND("&lt;",A307))&amp;"/"&amp;MID(A307,FIND("&lt;",A307)+1,FIND("&gt;",A307)),"")</f>
        <v/>
      </c>
    </row>
    <row r="308" spans="1:4">
      <c r="A308" s="18" t="s">
        <v>68</v>
      </c>
      <c r="B308" s="6" t="str">
        <f>IF(Form!B126&lt;&gt;"","scopusID","")</f>
        <v/>
      </c>
      <c r="C308" s="33" t="s">
        <v>131</v>
      </c>
    </row>
    <row r="309" spans="1:4">
      <c r="A309" s="17" t="s">
        <v>123</v>
      </c>
      <c r="D309" t="str">
        <f>IF(B306&lt;&gt;"","    "&amp;"    "&amp;"    "&amp;LEFT(A309,FIND("&gt;",A309)-1)&amp;IF(B310&lt;&gt;""," "&amp;A310&amp;"="&amp;""""&amp;B310&amp;"""","")&amp;MID(A309,FIND("&gt;",A309),FIND("&gt;",A309))&amp;LEFT(A309,FIND("&lt;",A309))&amp;"/"&amp;MID(A309,FIND("&lt;",A309)+1,FIND("&gt;",A309)),IF(B307&lt;&gt;"","    "&amp;"    "&amp;"    "&amp;LEFT(A309,FIND("&gt;",A309)-1)&amp;IF(B310&lt;&gt;""," "&amp;A310&amp;"="&amp;""""&amp;B310&amp;"""","")&amp;MID(A309,FIND("&gt;",A309),FIND("&gt;",A309))&amp;LEFT(A309,FIND("&lt;",A309))&amp;"/"&amp;MID(A309,FIND("&lt;",A309)+1,FIND("&gt;",A309)),""))</f>
        <v/>
      </c>
    </row>
    <row r="310" spans="1:4">
      <c r="A310" s="18" t="s">
        <v>68</v>
      </c>
      <c r="B310" s="6" t="str">
        <f>IF(Form!B126&lt;&gt;"",IF(Form!B128="Principal Investigator","hasPrincipalInvestigator",IF(Form!B128="Collector","hasCollector",IF(Form!B128="Enricher","isEnrichedBy",IF(Form!B128="Associated","hasAssociationWith","")))),"")</f>
        <v/>
      </c>
      <c r="C310" s="33" t="s">
        <v>131</v>
      </c>
      <c r="D310" t="str">
        <f>IF(B306&lt;&gt;"","    "&amp;"    "&amp;LEFT(A304,FIND("&lt;",A304))&amp;"/"&amp;MID(A304,FIND("&lt;",A304)+1,FIND("&gt;",A304)),IF(B307&lt;&gt;"","    "&amp;"    "&amp;LEFT(A304,FIND("&lt;",A304))&amp;"/"&amp;MID(A304,FIND("&lt;",A304)+1,FIND("&gt;",A304)),""))</f>
        <v/>
      </c>
    </row>
    <row r="311" spans="1:4">
      <c r="A311" s="15" t="s">
        <v>120</v>
      </c>
      <c r="D311" t="str">
        <f>IF(B313&lt;&gt;"","    "&amp;"    "&amp;LEFT(A311,FIND("&gt;",A311)-1)&amp;IF(B312&lt;&gt;""," "&amp;A312&amp;"="&amp;""""&amp;B312&amp;"""","")&amp;MID(A311,FIND("&gt;",A311),FIND("&gt;",A311)),IF(B314&lt;&gt;"","    "&amp;"    "&amp;LEFT(A311,FIND("&gt;",A311)-1)&amp;IF(B312&lt;&gt;""," "&amp;A312&amp;"="&amp;""""&amp;B312&amp;"""","")&amp;MID(A311,FIND("&gt;",A311),FIND("&gt;",A311)),""))</f>
        <v/>
      </c>
    </row>
    <row r="312" spans="1:4">
      <c r="A312" s="16" t="s">
        <v>68</v>
      </c>
      <c r="B312" s="6" t="str">
        <f>IF(Form!B127&lt;&gt;"",IF(Form!B123&lt;&gt;"","party",IF(Form!B124&lt;&gt;"","party","")),"")</f>
        <v/>
      </c>
      <c r="C312" s="33" t="s">
        <v>131</v>
      </c>
    </row>
    <row r="313" spans="1:4">
      <c r="A313" s="17" t="s">
        <v>122</v>
      </c>
      <c r="B313" s="7" t="str">
        <f>IF(Form!B127&lt;&gt;"",IF(Form!B123&lt;&gt;"",Form!B123&amp;" "&amp;Form!B124,IF(Form!B124&lt;&gt;"",Form!B123&amp;" "&amp;Form!B124,"")),"")</f>
        <v/>
      </c>
      <c r="C313" s="33" t="s">
        <v>131</v>
      </c>
      <c r="D313" t="str">
        <f>IF(B313&lt;&gt;"","    "&amp;"    "&amp;"    "&amp;A313&amp;B313&amp;LEFT(A313,FIND("&lt;",A313))&amp;"/"&amp;MID(A313,FIND("&lt;",A313)+1,FIND("&gt;",A313)),"")</f>
        <v/>
      </c>
    </row>
    <row r="314" spans="1:4">
      <c r="A314" s="17" t="s">
        <v>93</v>
      </c>
      <c r="B314" s="7" t="str">
        <f>IF(Form!B127&lt;&gt;"",Form!B127,"")</f>
        <v/>
      </c>
      <c r="C314" s="33" t="s">
        <v>131</v>
      </c>
      <c r="D314" t="str">
        <f>IF(B314&lt;&gt;"","    "&amp;"    "&amp;"    "&amp;LEFT(A314,FIND("&gt;",A314)-1)&amp;IF(B315&lt;&gt;""," "&amp;A315&amp;"="&amp;""""&amp;B315&amp;"""","")&amp;MID(A314,FIND("&gt;",A314),FIND("&gt;",A314))&amp;B314&amp;LEFT(A314,FIND("&lt;",A314))&amp;"/"&amp;MID(A314,FIND("&lt;",A314)+1,FIND("&gt;",A314)),"")</f>
        <v/>
      </c>
    </row>
    <row r="315" spans="1:4">
      <c r="A315" s="18" t="s">
        <v>68</v>
      </c>
      <c r="B315" s="6" t="str">
        <f>IF(Form!B127&lt;&gt;"","researcherID","")</f>
        <v/>
      </c>
      <c r="C315" s="33" t="s">
        <v>131</v>
      </c>
    </row>
    <row r="316" spans="1:4">
      <c r="A316" s="17" t="s">
        <v>123</v>
      </c>
      <c r="D316" t="str">
        <f>IF(B313&lt;&gt;"","    "&amp;"    "&amp;"    "&amp;LEFT(A316,FIND("&gt;",A316)-1)&amp;IF(B317&lt;&gt;""," "&amp;A317&amp;"="&amp;""""&amp;B317&amp;"""","")&amp;MID(A316,FIND("&gt;",A316),FIND("&gt;",A316))&amp;LEFT(A316,FIND("&lt;",A316))&amp;"/"&amp;MID(A316,FIND("&lt;",A316)+1,FIND("&gt;",A316)),IF(B314&lt;&gt;"","    "&amp;"    "&amp;"    "&amp;LEFT(A316,FIND("&gt;",A316)-1)&amp;IF(B317&lt;&gt;""," "&amp;A317&amp;"="&amp;""""&amp;B317&amp;"""","")&amp;MID(A316,FIND("&gt;",A316),FIND("&gt;",A316))&amp;LEFT(A316,FIND("&lt;",A316))&amp;"/"&amp;MID(A316,FIND("&lt;",A316)+1,FIND("&gt;",A316)),""))</f>
        <v/>
      </c>
    </row>
    <row r="317" spans="1:4">
      <c r="A317" s="18" t="s">
        <v>68</v>
      </c>
      <c r="B317" s="6" t="str">
        <f>IF(Form!B127&lt;&gt;"",IF(Form!B128="Principal Investigator","hasPrincipalInvestigator",IF(Form!B128="Collector","hasCollector",IF(Form!B128="Enricher","isEnrichedBy",IF(Form!B128="Associated","hasAssociationWith","")))),"")</f>
        <v/>
      </c>
      <c r="C317" s="33" t="s">
        <v>131</v>
      </c>
      <c r="D317" t="str">
        <f>IF(B313&lt;&gt;"","    "&amp;"    "&amp;LEFT(A311,FIND("&lt;",A311))&amp;"/"&amp;MID(A311,FIND("&lt;",A311)+1,FIND("&gt;",A311)),IF(B314&lt;&gt;"","    "&amp;"    "&amp;LEFT(A311,FIND("&lt;",A311))&amp;"/"&amp;MID(A311,FIND("&lt;",A311)+1,FIND("&gt;",A311)),""))</f>
        <v/>
      </c>
    </row>
    <row r="318" spans="1:4">
      <c r="A318" s="15" t="s">
        <v>120</v>
      </c>
      <c r="D318" t="str">
        <f>IF(B320&lt;&gt;"","    "&amp;"    "&amp;LEFT(A318,FIND("&gt;",A318)-1)&amp;IF(B319&lt;&gt;""," "&amp;A319&amp;"="&amp;""""&amp;B319&amp;"""","")&amp;MID(A318,FIND("&gt;",A318),FIND("&gt;",A318)),IF(B321&lt;&gt;"","    "&amp;"    "&amp;LEFT(A318,FIND("&gt;",A318)-1)&amp;IF(B319&lt;&gt;""," "&amp;A319&amp;"="&amp;""""&amp;B319&amp;"""","")&amp;MID(A318,FIND("&gt;",A318),FIND("&gt;",A318)),""))</f>
        <v/>
      </c>
    </row>
    <row r="319" spans="1:4">
      <c r="A319" s="16" t="s">
        <v>68</v>
      </c>
      <c r="B319" s="6" t="str">
        <f>IF(Form!B132&lt;&gt;"",IF(Form!B130&lt;&gt;"","party",IF(Form!B131&lt;&gt;"","party","")),"")</f>
        <v/>
      </c>
      <c r="C319" s="33" t="s">
        <v>131</v>
      </c>
    </row>
    <row r="320" spans="1:4">
      <c r="A320" s="17" t="s">
        <v>122</v>
      </c>
      <c r="B320" s="7" t="str">
        <f>IF(Form!B132&lt;&gt;"",IF(Form!B130&lt;&gt;"",Form!B130&amp;" "&amp;Form!B131,IF(Form!B131&lt;&gt;"",Form!B130&amp;" "&amp;Form!B131,"")),"")</f>
        <v/>
      </c>
      <c r="C320" s="33" t="s">
        <v>131</v>
      </c>
      <c r="D320" t="str">
        <f>IF(B320&lt;&gt;"","    "&amp;"    "&amp;"    "&amp;A320&amp;B320&amp;LEFT(A320,FIND("&lt;",A320))&amp;"/"&amp;MID(A320,FIND("&lt;",A320)+1,FIND("&gt;",A320)),"")</f>
        <v/>
      </c>
    </row>
    <row r="321" spans="1:4">
      <c r="A321" s="17" t="s">
        <v>93</v>
      </c>
      <c r="B321" s="7" t="str">
        <f>IF(Form!B132&lt;&gt;"",Form!B132,"")</f>
        <v/>
      </c>
      <c r="C321" s="33" t="s">
        <v>131</v>
      </c>
      <c r="D321" t="str">
        <f>IF(B321&lt;&gt;"","    "&amp;"    "&amp;"    "&amp;LEFT(A321,FIND("&gt;",A321)-1)&amp;IF(B322&lt;&gt;""," "&amp;A322&amp;"="&amp;""""&amp;B322&amp;"""","")&amp;MID(A321,FIND("&gt;",A321),FIND("&gt;",A321))&amp;B321&amp;LEFT(A321,FIND("&lt;",A321))&amp;"/"&amp;MID(A321,FIND("&lt;",A321)+1,FIND("&gt;",A321)),"")</f>
        <v/>
      </c>
    </row>
    <row r="322" spans="1:4">
      <c r="A322" s="18" t="s">
        <v>68</v>
      </c>
      <c r="B322" s="6" t="str">
        <f>IF(Form!B132&lt;&gt;"","orcid","")</f>
        <v/>
      </c>
      <c r="C322" s="33" t="s">
        <v>131</v>
      </c>
    </row>
    <row r="323" spans="1:4">
      <c r="A323" s="17" t="s">
        <v>123</v>
      </c>
      <c r="D323" t="str">
        <f>IF(B320&lt;&gt;"","    "&amp;"    "&amp;"    "&amp;LEFT(A323,FIND("&gt;",A323)-1)&amp;IF(B324&lt;&gt;""," "&amp;A324&amp;"="&amp;""""&amp;B324&amp;"""","")&amp;MID(A323,FIND("&gt;",A323),FIND("&gt;",A323))&amp;LEFT(A323,FIND("&lt;",A323))&amp;"/"&amp;MID(A323,FIND("&lt;",A323)+1,FIND("&gt;",A323)),IF(B321&lt;&gt;"","    "&amp;"    "&amp;"    "&amp;LEFT(A323,FIND("&gt;",A323)-1)&amp;IF(B324&lt;&gt;""," "&amp;A324&amp;"="&amp;""""&amp;B324&amp;"""","")&amp;MID(A323,FIND("&gt;",A323),FIND("&gt;",A323))&amp;LEFT(A323,FIND("&lt;",A323))&amp;"/"&amp;MID(A323,FIND("&lt;",A323)+1,FIND("&gt;",A323)),""))</f>
        <v/>
      </c>
    </row>
    <row r="324" spans="1:4">
      <c r="A324" s="18" t="s">
        <v>68</v>
      </c>
      <c r="B324" s="6" t="str">
        <f>IF(Form!B132&lt;&gt;"",IF(Form!B135="Principal Investigator","hasPrincipalInvestigator",IF(Form!B135="Collector","hasCollector",IF(Form!B135="Enricher","isEnrichedBy",IF(Form!B135="Associated","hasAssociationWith","")))),"")</f>
        <v/>
      </c>
      <c r="C324" s="33" t="s">
        <v>131</v>
      </c>
      <c r="D324" t="str">
        <f>IF(B320&lt;&gt;"","    "&amp;"    "&amp;LEFT(A318,FIND("&lt;",A318))&amp;"/"&amp;MID(A318,FIND("&lt;",A318)+1,FIND("&gt;",A318)),IF(B321&lt;&gt;"","    "&amp;"    "&amp;LEFT(A318,FIND("&lt;",A318))&amp;"/"&amp;MID(A318,FIND("&lt;",A318)+1,FIND("&gt;",A318)),""))</f>
        <v/>
      </c>
    </row>
    <row r="325" spans="1:4">
      <c r="A325" s="15" t="s">
        <v>120</v>
      </c>
      <c r="D325" t="str">
        <f>IF(B327&lt;&gt;"","    "&amp;"    "&amp;LEFT(A325,FIND("&gt;",A325)-1)&amp;IF(B326&lt;&gt;""," "&amp;A326&amp;"="&amp;""""&amp;B326&amp;"""","")&amp;MID(A325,FIND("&gt;",A325),FIND("&gt;",A325)),IF(B328&lt;&gt;"","    "&amp;"    "&amp;LEFT(A325,FIND("&gt;",A325)-1)&amp;IF(B326&lt;&gt;""," "&amp;A326&amp;"="&amp;""""&amp;B326&amp;"""","")&amp;MID(A325,FIND("&gt;",A325),FIND("&gt;",A325)),""))</f>
        <v/>
      </c>
    </row>
    <row r="326" spans="1:4">
      <c r="A326" s="16" t="s">
        <v>68</v>
      </c>
      <c r="B326" s="6" t="str">
        <f>IF(Form!B133&lt;&gt;"",IF(Form!B130&lt;&gt;"","party",IF(Form!B131&lt;&gt;"","party","")),"")</f>
        <v/>
      </c>
      <c r="C326" s="33" t="s">
        <v>131</v>
      </c>
    </row>
    <row r="327" spans="1:4">
      <c r="A327" s="17" t="s">
        <v>122</v>
      </c>
      <c r="B327" s="7" t="str">
        <f>IF(Form!B133&lt;&gt;"",IF(Form!B130&lt;&gt;"",Form!B130&amp;" "&amp;Form!B131,IF(Form!B131&lt;&gt;"",Form!B130&amp;" "&amp;Form!B131,"")),"")</f>
        <v/>
      </c>
      <c r="C327" s="33" t="s">
        <v>131</v>
      </c>
      <c r="D327" t="str">
        <f>IF(B327&lt;&gt;"","    "&amp;"    "&amp;"    "&amp;A327&amp;B327&amp;LEFT(A327,FIND("&lt;",A327))&amp;"/"&amp;MID(A327,FIND("&lt;",A327)+1,FIND("&gt;",A327)),"")</f>
        <v/>
      </c>
    </row>
    <row r="328" spans="1:4">
      <c r="A328" s="17" t="s">
        <v>93</v>
      </c>
      <c r="B328" s="7" t="str">
        <f>IF(Form!B133&lt;&gt;"",Form!B133,"")</f>
        <v/>
      </c>
      <c r="C328" s="33" t="s">
        <v>131</v>
      </c>
      <c r="D328" t="str">
        <f>IF(B328&lt;&gt;"","    "&amp;"    "&amp;"    "&amp;LEFT(A328,FIND("&gt;",A328)-1)&amp;IF(B329&lt;&gt;""," "&amp;A329&amp;"="&amp;""""&amp;B329&amp;"""","")&amp;MID(A328,FIND("&gt;",A328),FIND("&gt;",A328))&amp;B328&amp;LEFT(A328,FIND("&lt;",A328))&amp;"/"&amp;MID(A328,FIND("&lt;",A328)+1,FIND("&gt;",A328)),"")</f>
        <v/>
      </c>
    </row>
    <row r="329" spans="1:4">
      <c r="A329" s="18" t="s">
        <v>68</v>
      </c>
      <c r="B329" s="6" t="str">
        <f>IF(Form!B133&lt;&gt;"","scopusID","")</f>
        <v/>
      </c>
      <c r="C329" s="33" t="s">
        <v>131</v>
      </c>
    </row>
    <row r="330" spans="1:4">
      <c r="A330" s="17" t="s">
        <v>123</v>
      </c>
      <c r="D330" t="str">
        <f>IF(B327&lt;&gt;"","    "&amp;"    "&amp;"    "&amp;LEFT(A330,FIND("&gt;",A330)-1)&amp;IF(B331&lt;&gt;""," "&amp;A331&amp;"="&amp;""""&amp;B331&amp;"""","")&amp;MID(A330,FIND("&gt;",A330),FIND("&gt;",A330))&amp;LEFT(A330,FIND("&lt;",A330))&amp;"/"&amp;MID(A330,FIND("&lt;",A330)+1,FIND("&gt;",A330)),IF(B328&lt;&gt;"","    "&amp;"    "&amp;"    "&amp;LEFT(A330,FIND("&gt;",A330)-1)&amp;IF(B331&lt;&gt;""," "&amp;A331&amp;"="&amp;""""&amp;B331&amp;"""","")&amp;MID(A330,FIND("&gt;",A330),FIND("&gt;",A330))&amp;LEFT(A330,FIND("&lt;",A330))&amp;"/"&amp;MID(A330,FIND("&lt;",A330)+1,FIND("&gt;",A330)),""))</f>
        <v/>
      </c>
    </row>
    <row r="331" spans="1:4">
      <c r="A331" s="18" t="s">
        <v>68</v>
      </c>
      <c r="B331" s="6" t="str">
        <f>IF(Form!B133&lt;&gt;"",IF(Form!B135="Principal Investigator","hasPrincipalInvestigator",IF(Form!B135="Collector","hasCollector",IF(Form!B135="Enricher","isEnrichedBy",IF(Form!B135="Associated","hasAssociationWith","")))),"")</f>
        <v/>
      </c>
      <c r="C331" s="33" t="s">
        <v>131</v>
      </c>
      <c r="D331" t="str">
        <f>IF(B327&lt;&gt;"","    "&amp;"    "&amp;LEFT(A325,FIND("&lt;",A325))&amp;"/"&amp;MID(A325,FIND("&lt;",A325)+1,FIND("&gt;",A325)),IF(B328&lt;&gt;"","    "&amp;"    "&amp;LEFT(A325,FIND("&lt;",A325))&amp;"/"&amp;MID(A325,FIND("&lt;",A325)+1,FIND("&gt;",A325)),""))</f>
        <v/>
      </c>
    </row>
    <row r="332" spans="1:4">
      <c r="A332" s="15" t="s">
        <v>120</v>
      </c>
      <c r="D332" t="str">
        <f>IF(B334&lt;&gt;"","    "&amp;"    "&amp;LEFT(A332,FIND("&gt;",A332)-1)&amp;IF(B333&lt;&gt;""," "&amp;A333&amp;"="&amp;""""&amp;B333&amp;"""","")&amp;MID(A332,FIND("&gt;",A332),FIND("&gt;",A332)),IF(B335&lt;&gt;"","    "&amp;"    "&amp;LEFT(A332,FIND("&gt;",A332)-1)&amp;IF(B333&lt;&gt;""," "&amp;A333&amp;"="&amp;""""&amp;B333&amp;"""","")&amp;MID(A332,FIND("&gt;",A332),FIND("&gt;",A332)),""))</f>
        <v/>
      </c>
    </row>
    <row r="333" spans="1:4">
      <c r="A333" s="16" t="s">
        <v>68</v>
      </c>
      <c r="B333" s="6" t="str">
        <f>IF(Form!B134&lt;&gt;"",IF(Form!B130&lt;&gt;"","party",IF(Form!B131&lt;&gt;"","party","")),"")</f>
        <v/>
      </c>
      <c r="C333" s="33" t="s">
        <v>131</v>
      </c>
    </row>
    <row r="334" spans="1:4">
      <c r="A334" s="17" t="s">
        <v>122</v>
      </c>
      <c r="B334" s="7" t="str">
        <f>IF(Form!B134&lt;&gt;"",IF(Form!B130&lt;&gt;"",Form!B130&amp;" "&amp;Form!B131,IF(Form!B131&lt;&gt;"",Form!B130&amp;" "&amp;Form!B131,"")),"")</f>
        <v/>
      </c>
      <c r="C334" s="33" t="s">
        <v>131</v>
      </c>
      <c r="D334" t="str">
        <f>IF(B334&lt;&gt;"","    "&amp;"    "&amp;"    "&amp;A334&amp;B334&amp;LEFT(A334,FIND("&lt;",A334))&amp;"/"&amp;MID(A334,FIND("&lt;",A334)+1,FIND("&gt;",A334)),"")</f>
        <v/>
      </c>
    </row>
    <row r="335" spans="1:4">
      <c r="A335" s="17" t="s">
        <v>93</v>
      </c>
      <c r="B335" s="7" t="str">
        <f>IF(Form!B134&lt;&gt;"",Form!B134,"")</f>
        <v/>
      </c>
      <c r="C335" s="33" t="s">
        <v>131</v>
      </c>
      <c r="D335" t="str">
        <f>IF(B335&lt;&gt;"","    "&amp;"    "&amp;"    "&amp;LEFT(A335,FIND("&gt;",A335)-1)&amp;IF(B336&lt;&gt;""," "&amp;A336&amp;"="&amp;""""&amp;B336&amp;"""","")&amp;MID(A335,FIND("&gt;",A335),FIND("&gt;",A335))&amp;B335&amp;LEFT(A335,FIND("&lt;",A335))&amp;"/"&amp;MID(A335,FIND("&lt;",A335)+1,FIND("&gt;",A335)),"")</f>
        <v/>
      </c>
    </row>
    <row r="336" spans="1:4">
      <c r="A336" s="18" t="s">
        <v>68</v>
      </c>
      <c r="B336" s="6" t="str">
        <f>IF(Form!B134&lt;&gt;"","researcherID","")</f>
        <v/>
      </c>
      <c r="C336" s="33" t="s">
        <v>131</v>
      </c>
    </row>
    <row r="337" spans="1:4">
      <c r="A337" s="17" t="s">
        <v>123</v>
      </c>
      <c r="D337" t="str">
        <f>IF(B334&lt;&gt;"","    "&amp;"    "&amp;"    "&amp;LEFT(A337,FIND("&gt;",A337)-1)&amp;IF(B338&lt;&gt;""," "&amp;A338&amp;"="&amp;""""&amp;B338&amp;"""","")&amp;MID(A337,FIND("&gt;",A337),FIND("&gt;",A337))&amp;LEFT(A337,FIND("&lt;",A337))&amp;"/"&amp;MID(A337,FIND("&lt;",A337)+1,FIND("&gt;",A337)),IF(B335&lt;&gt;"","    "&amp;"    "&amp;"    "&amp;LEFT(A337,FIND("&gt;",A337)-1)&amp;IF(B338&lt;&gt;""," "&amp;A338&amp;"="&amp;""""&amp;B338&amp;"""","")&amp;MID(A337,FIND("&gt;",A337),FIND("&gt;",A337))&amp;LEFT(A337,FIND("&lt;",A337))&amp;"/"&amp;MID(A337,FIND("&lt;",A337)+1,FIND("&gt;",A337)),""))</f>
        <v/>
      </c>
    </row>
    <row r="338" spans="1:4">
      <c r="A338" s="18" t="s">
        <v>68</v>
      </c>
      <c r="B338" s="6" t="str">
        <f>IF(Form!B134&lt;&gt;"",IF(Form!B135="Principal Investigator","hasPrincipalInvestigator",IF(Form!B135="Collector","hasCollector",IF(Form!B135="Enricher","isEnrichedBy",IF(Form!B135="Associated","hasAssociationWith","")))),"")</f>
        <v/>
      </c>
      <c r="C338" s="33" t="s">
        <v>131</v>
      </c>
      <c r="D338" t="str">
        <f>IF(B334&lt;&gt;"","    "&amp;"    "&amp;LEFT(A332,FIND("&lt;",A332))&amp;"/"&amp;MID(A332,FIND("&lt;",A332)+1,FIND("&gt;",A332)),IF(B335&lt;&gt;"","    "&amp;"    "&amp;LEFT(A332,FIND("&lt;",A332))&amp;"/"&amp;MID(A332,FIND("&lt;",A332)+1,FIND("&gt;",A332)),""))</f>
        <v/>
      </c>
    </row>
    <row r="339" spans="1:4">
      <c r="A339" s="15" t="s">
        <v>120</v>
      </c>
      <c r="D339" t="str">
        <f>IF(B341&lt;&gt;"","    "&amp;"    "&amp;LEFT(A339,FIND("&gt;",A339)-1)&amp;IF(B340&lt;&gt;""," "&amp;A340&amp;"="&amp;""""&amp;B340&amp;"""","")&amp;MID(A339,FIND("&gt;",A339),FIND("&gt;",A339)),IF(B342&lt;&gt;"","    "&amp;"    "&amp;LEFT(A339,FIND("&gt;",A339)-1)&amp;IF(B340&lt;&gt;""," "&amp;A340&amp;"="&amp;""""&amp;B340&amp;"""","")&amp;MID(A339,FIND("&gt;",A339),FIND("&gt;",A339)),""))</f>
        <v/>
      </c>
    </row>
    <row r="340" spans="1:4">
      <c r="A340" s="16" t="s">
        <v>68</v>
      </c>
      <c r="B340" s="6" t="str">
        <f>IF(Form!B139&lt;&gt;"",IF(Form!B137&lt;&gt;"","party",IF(Form!B138&lt;&gt;"","party","")),"")</f>
        <v/>
      </c>
      <c r="C340" s="33" t="s">
        <v>131</v>
      </c>
    </row>
    <row r="341" spans="1:4">
      <c r="A341" s="17" t="s">
        <v>122</v>
      </c>
      <c r="B341" s="7" t="str">
        <f>IF(Form!B139&lt;&gt;"",IF(Form!B137&lt;&gt;"",Form!B137&amp;" "&amp;Form!B138,IF(Form!B138&lt;&gt;"",Form!B137&amp;" "&amp;Form!B138,"")),"")</f>
        <v/>
      </c>
      <c r="C341" s="33" t="s">
        <v>131</v>
      </c>
      <c r="D341" t="str">
        <f>IF(B341&lt;&gt;"","    "&amp;"    "&amp;"    "&amp;A341&amp;B341&amp;LEFT(A341,FIND("&lt;",A341))&amp;"/"&amp;MID(A341,FIND("&lt;",A341)+1,FIND("&gt;",A341)),"")</f>
        <v/>
      </c>
    </row>
    <row r="342" spans="1:4">
      <c r="A342" s="17" t="s">
        <v>93</v>
      </c>
      <c r="B342" s="7" t="str">
        <f>IF(Form!B139&lt;&gt;"",Form!B139,"")</f>
        <v/>
      </c>
      <c r="C342" s="33" t="s">
        <v>131</v>
      </c>
      <c r="D342" t="str">
        <f>IF(B342&lt;&gt;"","    "&amp;"    "&amp;"    "&amp;LEFT(A342,FIND("&gt;",A342)-1)&amp;IF(B343&lt;&gt;""," "&amp;A343&amp;"="&amp;""""&amp;B343&amp;"""","")&amp;MID(A342,FIND("&gt;",A342),FIND("&gt;",A342))&amp;B342&amp;LEFT(A342,FIND("&lt;",A342))&amp;"/"&amp;MID(A342,FIND("&lt;",A342)+1,FIND("&gt;",A342)),"")</f>
        <v/>
      </c>
    </row>
    <row r="343" spans="1:4">
      <c r="A343" s="18" t="s">
        <v>68</v>
      </c>
      <c r="B343" s="6" t="str">
        <f>IF(Form!B139&lt;&gt;"","orcid","")</f>
        <v/>
      </c>
      <c r="C343" s="33" t="s">
        <v>131</v>
      </c>
    </row>
    <row r="344" spans="1:4">
      <c r="A344" s="17" t="s">
        <v>123</v>
      </c>
      <c r="D344" t="str">
        <f>IF(B341&lt;&gt;"","    "&amp;"    "&amp;"    "&amp;LEFT(A344,FIND("&gt;",A344)-1)&amp;IF(B345&lt;&gt;""," "&amp;A345&amp;"="&amp;""""&amp;B345&amp;"""","")&amp;MID(A344,FIND("&gt;",A344),FIND("&gt;",A344))&amp;LEFT(A344,FIND("&lt;",A344))&amp;"/"&amp;MID(A344,FIND("&lt;",A344)+1,FIND("&gt;",A344)),IF(B342&lt;&gt;"","    "&amp;"    "&amp;"    "&amp;LEFT(A344,FIND("&gt;",A344)-1)&amp;IF(B345&lt;&gt;""," "&amp;A345&amp;"="&amp;""""&amp;B345&amp;"""","")&amp;MID(A344,FIND("&gt;",A344),FIND("&gt;",A344))&amp;LEFT(A344,FIND("&lt;",A344))&amp;"/"&amp;MID(A344,FIND("&lt;",A344)+1,FIND("&gt;",A344)),""))</f>
        <v/>
      </c>
    </row>
    <row r="345" spans="1:4">
      <c r="A345" s="18" t="s">
        <v>68</v>
      </c>
      <c r="B345" s="6" t="str">
        <f>IF(Form!B139&lt;&gt;"",IF(Form!B142="Principal Investigator","hasPrincipalInvestigator",IF(Form!B142="Collector","hasCollector",IF(Form!B142="Enricher","isEnrichedBy",IF(Form!B142="Associated","hasAssociationWith","")))),"")</f>
        <v/>
      </c>
      <c r="C345" s="33" t="s">
        <v>131</v>
      </c>
      <c r="D345" t="str">
        <f>IF(B341&lt;&gt;"","    "&amp;"    "&amp;LEFT(A339,FIND("&lt;",A339))&amp;"/"&amp;MID(A339,FIND("&lt;",A339)+1,FIND("&gt;",A339)),IF(B342&lt;&gt;"","    "&amp;"    "&amp;LEFT(A339,FIND("&lt;",A339))&amp;"/"&amp;MID(A339,FIND("&lt;",A339)+1,FIND("&gt;",A339)),""))</f>
        <v/>
      </c>
    </row>
    <row r="346" spans="1:4">
      <c r="A346" s="15" t="s">
        <v>120</v>
      </c>
      <c r="D346" t="str">
        <f>IF(B348&lt;&gt;"","    "&amp;"    "&amp;LEFT(A346,FIND("&gt;",A346)-1)&amp;IF(B347&lt;&gt;""," "&amp;A347&amp;"="&amp;""""&amp;B347&amp;"""","")&amp;MID(A346,FIND("&gt;",A346),FIND("&gt;",A346)),IF(B349&lt;&gt;"","    "&amp;"    "&amp;LEFT(A346,FIND("&gt;",A346)-1)&amp;IF(B347&lt;&gt;""," "&amp;A347&amp;"="&amp;""""&amp;B347&amp;"""","")&amp;MID(A346,FIND("&gt;",A346),FIND("&gt;",A346)),""))</f>
        <v/>
      </c>
    </row>
    <row r="347" spans="1:4">
      <c r="A347" s="16" t="s">
        <v>68</v>
      </c>
      <c r="B347" s="6" t="str">
        <f>IF(Form!B140&lt;&gt;"",IF(Form!B137&lt;&gt;"","party",IF(Form!B138&lt;&gt;"","party","")),"")</f>
        <v/>
      </c>
      <c r="C347" s="33" t="s">
        <v>131</v>
      </c>
    </row>
    <row r="348" spans="1:4">
      <c r="A348" s="17" t="s">
        <v>122</v>
      </c>
      <c r="B348" s="7" t="str">
        <f>IF(Form!B140&lt;&gt;"",IF(Form!B137&lt;&gt;"",Form!B137&amp;" "&amp;Form!B138,IF(Form!B138&lt;&gt;"",Form!B137&amp;" "&amp;Form!B138,"")),"")</f>
        <v/>
      </c>
      <c r="C348" s="33" t="s">
        <v>131</v>
      </c>
      <c r="D348" t="str">
        <f>IF(B348&lt;&gt;"","    "&amp;"    "&amp;"    "&amp;A348&amp;B348&amp;LEFT(A348,FIND("&lt;",A348))&amp;"/"&amp;MID(A348,FIND("&lt;",A348)+1,FIND("&gt;",A348)),"")</f>
        <v/>
      </c>
    </row>
    <row r="349" spans="1:4">
      <c r="A349" s="17" t="s">
        <v>93</v>
      </c>
      <c r="B349" s="7" t="str">
        <f>IF(Form!B140&lt;&gt;"",Form!B140,"")</f>
        <v/>
      </c>
      <c r="C349" s="33" t="s">
        <v>131</v>
      </c>
      <c r="D349" t="str">
        <f>IF(B349&lt;&gt;"","    "&amp;"    "&amp;"    "&amp;LEFT(A349,FIND("&gt;",A349)-1)&amp;IF(B350&lt;&gt;""," "&amp;A350&amp;"="&amp;""""&amp;B350&amp;"""","")&amp;MID(A349,FIND("&gt;",A349),FIND("&gt;",A349))&amp;B349&amp;LEFT(A349,FIND("&lt;",A349))&amp;"/"&amp;MID(A349,FIND("&lt;",A349)+1,FIND("&gt;",A349)),"")</f>
        <v/>
      </c>
    </row>
    <row r="350" spans="1:4">
      <c r="A350" s="18" t="s">
        <v>68</v>
      </c>
      <c r="B350" s="6" t="str">
        <f>IF(Form!B140&lt;&gt;"","scopusID","")</f>
        <v/>
      </c>
      <c r="C350" s="33" t="s">
        <v>131</v>
      </c>
    </row>
    <row r="351" spans="1:4">
      <c r="A351" s="17" t="s">
        <v>123</v>
      </c>
      <c r="D351" t="str">
        <f>IF(B348&lt;&gt;"","    "&amp;"    "&amp;"    "&amp;LEFT(A351,FIND("&gt;",A351)-1)&amp;IF(B352&lt;&gt;""," "&amp;A352&amp;"="&amp;""""&amp;B352&amp;"""","")&amp;MID(A351,FIND("&gt;",A351),FIND("&gt;",A351))&amp;LEFT(A351,FIND("&lt;",A351))&amp;"/"&amp;MID(A351,FIND("&lt;",A351)+1,FIND("&gt;",A351)),IF(B349&lt;&gt;"","    "&amp;"    "&amp;"    "&amp;LEFT(A351,FIND("&gt;",A351)-1)&amp;IF(B352&lt;&gt;""," "&amp;A352&amp;"="&amp;""""&amp;B352&amp;"""","")&amp;MID(A351,FIND("&gt;",A351),FIND("&gt;",A351))&amp;LEFT(A351,FIND("&lt;",A351))&amp;"/"&amp;MID(A351,FIND("&lt;",A351)+1,FIND("&gt;",A351)),""))</f>
        <v/>
      </c>
    </row>
    <row r="352" spans="1:4">
      <c r="A352" s="18" t="s">
        <v>68</v>
      </c>
      <c r="B352" s="6" t="str">
        <f>IF(Form!B140&lt;&gt;"",IF(Form!B142="Principal Investigator","hasPrincipalInvestigator",IF(Form!B142="Collector","hasCollector",IF(Form!B142="Enricher","isEnrichedBy",IF(Form!B142="Associated","hasAssociationWith","")))),"")</f>
        <v/>
      </c>
      <c r="C352" s="33" t="s">
        <v>131</v>
      </c>
      <c r="D352" t="str">
        <f>IF(B348&lt;&gt;"","    "&amp;"    "&amp;LEFT(A346,FIND("&lt;",A346))&amp;"/"&amp;MID(A346,FIND("&lt;",A346)+1,FIND("&gt;",A346)),IF(B349&lt;&gt;"","    "&amp;"    "&amp;LEFT(A346,FIND("&lt;",A346))&amp;"/"&amp;MID(A346,FIND("&lt;",A346)+1,FIND("&gt;",A346)),""))</f>
        <v/>
      </c>
    </row>
    <row r="353" spans="1:4">
      <c r="A353" s="15" t="s">
        <v>120</v>
      </c>
      <c r="D353" t="str">
        <f>IF(B355&lt;&gt;"","    "&amp;"    "&amp;LEFT(A353,FIND("&gt;",A353)-1)&amp;IF(B354&lt;&gt;""," "&amp;A354&amp;"="&amp;""""&amp;B354&amp;"""","")&amp;MID(A353,FIND("&gt;",A353),FIND("&gt;",A353)),IF(B356&lt;&gt;"","    "&amp;"    "&amp;LEFT(A353,FIND("&gt;",A353)-1)&amp;IF(B354&lt;&gt;""," "&amp;A354&amp;"="&amp;""""&amp;B354&amp;"""","")&amp;MID(A353,FIND("&gt;",A353),FIND("&gt;",A353)),""))</f>
        <v/>
      </c>
    </row>
    <row r="354" spans="1:4">
      <c r="A354" s="16" t="s">
        <v>68</v>
      </c>
      <c r="B354" s="6" t="str">
        <f>IF(Form!B141&lt;&gt;"",IF(Form!B137&lt;&gt;"","party",IF(Form!B138&lt;&gt;"","party","")),"")</f>
        <v/>
      </c>
      <c r="C354" s="33" t="s">
        <v>131</v>
      </c>
    </row>
    <row r="355" spans="1:4">
      <c r="A355" s="17" t="s">
        <v>122</v>
      </c>
      <c r="B355" s="7" t="str">
        <f>IF(Form!B141&lt;&gt;"",IF(Form!B137&lt;&gt;"",Form!B137&amp;" "&amp;Form!B138,IF(Form!B138&lt;&gt;"",Form!B137&amp;" "&amp;Form!B138,"")),"")</f>
        <v/>
      </c>
      <c r="C355" s="33" t="s">
        <v>131</v>
      </c>
      <c r="D355" t="str">
        <f>IF(B355&lt;&gt;"","    "&amp;"    "&amp;"    "&amp;A355&amp;B355&amp;LEFT(A355,FIND("&lt;",A355))&amp;"/"&amp;MID(A355,FIND("&lt;",A355)+1,FIND("&gt;",A355)),"")</f>
        <v/>
      </c>
    </row>
    <row r="356" spans="1:4">
      <c r="A356" s="17" t="s">
        <v>93</v>
      </c>
      <c r="B356" s="7" t="str">
        <f>IF(Form!B141&lt;&gt;"",Form!B141,"")</f>
        <v/>
      </c>
      <c r="C356" s="33" t="s">
        <v>131</v>
      </c>
      <c r="D356" t="str">
        <f>IF(B356&lt;&gt;"","    "&amp;"    "&amp;"    "&amp;LEFT(A356,FIND("&gt;",A356)-1)&amp;IF(B357&lt;&gt;""," "&amp;A357&amp;"="&amp;""""&amp;B357&amp;"""","")&amp;MID(A356,FIND("&gt;",A356),FIND("&gt;",A356))&amp;B356&amp;LEFT(A356,FIND("&lt;",A356))&amp;"/"&amp;MID(A356,FIND("&lt;",A356)+1,FIND("&gt;",A356)),"")</f>
        <v/>
      </c>
    </row>
    <row r="357" spans="1:4">
      <c r="A357" s="18" t="s">
        <v>68</v>
      </c>
      <c r="B357" s="6" t="str">
        <f>IF(Form!B141&lt;&gt;"","researcherID","")</f>
        <v/>
      </c>
      <c r="C357" s="33" t="s">
        <v>131</v>
      </c>
    </row>
    <row r="358" spans="1:4">
      <c r="A358" s="17" t="s">
        <v>123</v>
      </c>
      <c r="D358" t="str">
        <f>IF(B355&lt;&gt;"","    "&amp;"    "&amp;"    "&amp;LEFT(A358,FIND("&gt;",A358)-1)&amp;IF(B359&lt;&gt;""," "&amp;A359&amp;"="&amp;""""&amp;B359&amp;"""","")&amp;MID(A358,FIND("&gt;",A358),FIND("&gt;",A358))&amp;LEFT(A358,FIND("&lt;",A358))&amp;"/"&amp;MID(A358,FIND("&lt;",A358)+1,FIND("&gt;",A358)),IF(B356&lt;&gt;"","    "&amp;"    "&amp;"    "&amp;LEFT(A358,FIND("&gt;",A358)-1)&amp;IF(B359&lt;&gt;""," "&amp;A359&amp;"="&amp;""""&amp;B359&amp;"""","")&amp;MID(A358,FIND("&gt;",A358),FIND("&gt;",A358))&amp;LEFT(A358,FIND("&lt;",A358))&amp;"/"&amp;MID(A358,FIND("&lt;",A358)+1,FIND("&gt;",A358)),""))</f>
        <v/>
      </c>
    </row>
    <row r="359" spans="1:4">
      <c r="A359" s="18" t="s">
        <v>68</v>
      </c>
      <c r="B359" s="6" t="str">
        <f>IF(Form!B141&lt;&gt;"",IF(Form!B142="Principal Investigator","hasPrincipalInvestigator",IF(Form!B142="Collector","hasCollector",IF(Form!B142="Enricher","isEnrichedBy",IF(Form!B142="Associated","hasAssociationWith","")))),"")</f>
        <v/>
      </c>
      <c r="C359" s="33" t="s">
        <v>131</v>
      </c>
      <c r="D359" t="str">
        <f>IF(B355&lt;&gt;"","    "&amp;"    "&amp;LEFT(A353,FIND("&lt;",A353))&amp;"/"&amp;MID(A353,FIND("&lt;",A353)+1,FIND("&gt;",A353)),IF(B356&lt;&gt;"","    "&amp;"    "&amp;LEFT(A353,FIND("&lt;",A353))&amp;"/"&amp;MID(A353,FIND("&lt;",A353)+1,FIND("&gt;",A353)),""))</f>
        <v/>
      </c>
    </row>
    <row r="360" spans="1:4">
      <c r="A360" s="15" t="s">
        <v>120</v>
      </c>
      <c r="D360" t="str">
        <f>IF(B362&lt;&gt;"","    "&amp;"    "&amp;LEFT(A360,FIND("&gt;",A360)-1)&amp;IF(B361&lt;&gt;""," "&amp;A361&amp;"="&amp;""""&amp;B361&amp;"""","")&amp;MID(A360,FIND("&gt;",A360),FIND("&gt;",A360)),IF(B363&lt;&gt;"","    "&amp;"    "&amp;LEFT(A360,FIND("&gt;",A360)-1)&amp;IF(B361&lt;&gt;""," "&amp;A361&amp;"="&amp;""""&amp;B361&amp;"""","")&amp;MID(A360,FIND("&gt;",A360),FIND("&gt;",A360)),""))</f>
        <v/>
      </c>
    </row>
    <row r="361" spans="1:4">
      <c r="A361" s="16" t="s">
        <v>68</v>
      </c>
      <c r="B361" s="6" t="str">
        <f>IF(Form!B146&lt;&gt;"",IF(Form!B144&lt;&gt;"","party",IF(Form!B145&lt;&gt;"","party","")),"")</f>
        <v/>
      </c>
      <c r="C361" s="33" t="s">
        <v>131</v>
      </c>
    </row>
    <row r="362" spans="1:4">
      <c r="A362" s="17" t="s">
        <v>122</v>
      </c>
      <c r="B362" s="7" t="str">
        <f>IF(Form!B146&lt;&gt;"",IF(Form!B144&lt;&gt;"",Form!B144&amp;" "&amp;Form!B145,IF(Form!B145&lt;&gt;"",Form!B144&amp;" "&amp;Form!B145,"")),"")</f>
        <v/>
      </c>
      <c r="C362" s="33" t="s">
        <v>131</v>
      </c>
      <c r="D362" t="str">
        <f>IF(B362&lt;&gt;"","    "&amp;"    "&amp;"    "&amp;A362&amp;B362&amp;LEFT(A362,FIND("&lt;",A362))&amp;"/"&amp;MID(A362,FIND("&lt;",A362)+1,FIND("&gt;",A362)),"")</f>
        <v/>
      </c>
    </row>
    <row r="363" spans="1:4">
      <c r="A363" s="17" t="s">
        <v>93</v>
      </c>
      <c r="B363" s="7" t="str">
        <f>IF(Form!B146&lt;&gt;"",Form!B146,"")</f>
        <v/>
      </c>
      <c r="C363" s="33" t="s">
        <v>131</v>
      </c>
      <c r="D363" t="str">
        <f>IF(B363&lt;&gt;"","    "&amp;"    "&amp;"    "&amp;LEFT(A363,FIND("&gt;",A363)-1)&amp;IF(B364&lt;&gt;""," "&amp;A364&amp;"="&amp;""""&amp;B364&amp;"""","")&amp;MID(A363,FIND("&gt;",A363),FIND("&gt;",A363))&amp;B363&amp;LEFT(A363,FIND("&lt;",A363))&amp;"/"&amp;MID(A363,FIND("&lt;",A363)+1,FIND("&gt;",A363)),"")</f>
        <v/>
      </c>
    </row>
    <row r="364" spans="1:4">
      <c r="A364" s="18" t="s">
        <v>68</v>
      </c>
      <c r="B364" s="6" t="str">
        <f>IF(Form!B146&lt;&gt;"","orcid","")</f>
        <v/>
      </c>
      <c r="C364" s="33" t="s">
        <v>131</v>
      </c>
    </row>
    <row r="365" spans="1:4">
      <c r="A365" s="17" t="s">
        <v>123</v>
      </c>
      <c r="D365" t="str">
        <f>IF(B362&lt;&gt;"","    "&amp;"    "&amp;"    "&amp;LEFT(A365,FIND("&gt;",A365)-1)&amp;IF(B366&lt;&gt;""," "&amp;A366&amp;"="&amp;""""&amp;B366&amp;"""","")&amp;MID(A365,FIND("&gt;",A365),FIND("&gt;",A365))&amp;LEFT(A365,FIND("&lt;",A365))&amp;"/"&amp;MID(A365,FIND("&lt;",A365)+1,FIND("&gt;",A365)),IF(B363&lt;&gt;"","    "&amp;"    "&amp;"    "&amp;LEFT(A365,FIND("&gt;",A365)-1)&amp;IF(B366&lt;&gt;""," "&amp;A366&amp;"="&amp;""""&amp;B366&amp;"""","")&amp;MID(A365,FIND("&gt;",A365),FIND("&gt;",A365))&amp;LEFT(A365,FIND("&lt;",A365))&amp;"/"&amp;MID(A365,FIND("&lt;",A365)+1,FIND("&gt;",A365)),""))</f>
        <v/>
      </c>
    </row>
    <row r="366" spans="1:4">
      <c r="A366" s="18" t="s">
        <v>68</v>
      </c>
      <c r="B366" s="6" t="str">
        <f>IF(Form!B146&lt;&gt;"",IF(Form!B149="Principal Investigator","hasPrincipalInvestigator",IF(Form!B149="Collector","hasCollector",IF(Form!B149="Enricher","isEnrichedBy",IF(Form!B149="Associated","hasAssociationWith","")))),"")</f>
        <v/>
      </c>
      <c r="C366" s="33" t="s">
        <v>131</v>
      </c>
      <c r="D366" t="str">
        <f>IF(B362&lt;&gt;"","    "&amp;"    "&amp;LEFT(A360,FIND("&lt;",A360))&amp;"/"&amp;MID(A360,FIND("&lt;",A360)+1,FIND("&gt;",A360)),IF(B363&lt;&gt;"","    "&amp;"    "&amp;LEFT(A360,FIND("&lt;",A360))&amp;"/"&amp;MID(A360,FIND("&lt;",A360)+1,FIND("&gt;",A360)),""))</f>
        <v/>
      </c>
    </row>
    <row r="367" spans="1:4">
      <c r="A367" s="15" t="s">
        <v>120</v>
      </c>
      <c r="D367" t="str">
        <f>IF(B369&lt;&gt;"","    "&amp;"    "&amp;LEFT(A367,FIND("&gt;",A367)-1)&amp;IF(B368&lt;&gt;""," "&amp;A368&amp;"="&amp;""""&amp;B368&amp;"""","")&amp;MID(A367,FIND("&gt;",A367),FIND("&gt;",A367)),IF(B370&lt;&gt;"","    "&amp;"    "&amp;LEFT(A367,FIND("&gt;",A367)-1)&amp;IF(B368&lt;&gt;""," "&amp;A368&amp;"="&amp;""""&amp;B368&amp;"""","")&amp;MID(A367,FIND("&gt;",A367),FIND("&gt;",A367)),""))</f>
        <v/>
      </c>
    </row>
    <row r="368" spans="1:4">
      <c r="A368" s="16" t="s">
        <v>68</v>
      </c>
      <c r="B368" s="6" t="str">
        <f>IF(Form!B147&lt;&gt;"",IF(Form!B144&lt;&gt;"","party",IF(Form!B145&lt;&gt;"","party","")),"")</f>
        <v/>
      </c>
      <c r="C368" s="33" t="s">
        <v>131</v>
      </c>
    </row>
    <row r="369" spans="1:4">
      <c r="A369" s="17" t="s">
        <v>122</v>
      </c>
      <c r="B369" s="7" t="str">
        <f>IF(Form!B147&lt;&gt;"",IF(Form!B144&lt;&gt;"",Form!B144&amp;" "&amp;Form!B145,IF(Form!B145&lt;&gt;"",Form!B144&amp;" "&amp;Form!B145,"")),"")</f>
        <v/>
      </c>
      <c r="C369" s="33" t="s">
        <v>131</v>
      </c>
      <c r="D369" t="str">
        <f>IF(B369&lt;&gt;"","    "&amp;"    "&amp;"    "&amp;A369&amp;B369&amp;LEFT(A369,FIND("&lt;",A369))&amp;"/"&amp;MID(A369,FIND("&lt;",A369)+1,FIND("&gt;",A369)),"")</f>
        <v/>
      </c>
    </row>
    <row r="370" spans="1:4">
      <c r="A370" s="17" t="s">
        <v>93</v>
      </c>
      <c r="B370" s="7" t="str">
        <f>IF(Form!B147&lt;&gt;"",Form!B147,"")</f>
        <v/>
      </c>
      <c r="C370" s="33" t="s">
        <v>131</v>
      </c>
      <c r="D370" t="str">
        <f>IF(B370&lt;&gt;"","    "&amp;"    "&amp;"    "&amp;LEFT(A370,FIND("&gt;",A370)-1)&amp;IF(B371&lt;&gt;""," "&amp;A371&amp;"="&amp;""""&amp;B371&amp;"""","")&amp;MID(A370,FIND("&gt;",A370),FIND("&gt;",A370))&amp;B370&amp;LEFT(A370,FIND("&lt;",A370))&amp;"/"&amp;MID(A370,FIND("&lt;",A370)+1,FIND("&gt;",A370)),"")</f>
        <v/>
      </c>
    </row>
    <row r="371" spans="1:4">
      <c r="A371" s="18" t="s">
        <v>68</v>
      </c>
      <c r="B371" s="6" t="str">
        <f>IF(Form!B147&lt;&gt;"","scopusID","")</f>
        <v/>
      </c>
      <c r="C371" s="33" t="s">
        <v>131</v>
      </c>
    </row>
    <row r="372" spans="1:4">
      <c r="A372" s="17" t="s">
        <v>123</v>
      </c>
      <c r="D372" t="str">
        <f>IF(B369&lt;&gt;"","    "&amp;"    "&amp;"    "&amp;LEFT(A372,FIND("&gt;",A372)-1)&amp;IF(B373&lt;&gt;""," "&amp;A373&amp;"="&amp;""""&amp;B373&amp;"""","")&amp;MID(A372,FIND("&gt;",A372),FIND("&gt;",A372))&amp;LEFT(A372,FIND("&lt;",A372))&amp;"/"&amp;MID(A372,FIND("&lt;",A372)+1,FIND("&gt;",A372)),IF(B370&lt;&gt;"","    "&amp;"    "&amp;"    "&amp;LEFT(A372,FIND("&gt;",A372)-1)&amp;IF(B373&lt;&gt;""," "&amp;A373&amp;"="&amp;""""&amp;B373&amp;"""","")&amp;MID(A372,FIND("&gt;",A372),FIND("&gt;",A372))&amp;LEFT(A372,FIND("&lt;",A372))&amp;"/"&amp;MID(A372,FIND("&lt;",A372)+1,FIND("&gt;",A372)),""))</f>
        <v/>
      </c>
    </row>
    <row r="373" spans="1:4">
      <c r="A373" s="18" t="s">
        <v>68</v>
      </c>
      <c r="B373" s="6" t="str">
        <f>IF(Form!B147&lt;&gt;"",IF(Form!B149="Principal Investigator","hasPrincipalInvestigator",IF(Form!B149="Collector","hasCollector",IF(Form!B149="Enricher","isEnrichedBy",IF(Form!B149="Associated","hasAssociationWith","")))),"")</f>
        <v/>
      </c>
      <c r="C373" s="33" t="s">
        <v>131</v>
      </c>
      <c r="D373" t="str">
        <f>IF(B369&lt;&gt;"","    "&amp;"    "&amp;LEFT(A367,FIND("&lt;",A367))&amp;"/"&amp;MID(A367,FIND("&lt;",A367)+1,FIND("&gt;",A367)),IF(B370&lt;&gt;"","    "&amp;"    "&amp;LEFT(A367,FIND("&lt;",A367))&amp;"/"&amp;MID(A367,FIND("&lt;",A367)+1,FIND("&gt;",A367)),""))</f>
        <v/>
      </c>
    </row>
    <row r="374" spans="1:4">
      <c r="A374" s="15" t="s">
        <v>120</v>
      </c>
      <c r="D374" t="str">
        <f>IF(B376&lt;&gt;"","    "&amp;"    "&amp;LEFT(A374,FIND("&gt;",A374)-1)&amp;IF(B375&lt;&gt;""," "&amp;A375&amp;"="&amp;""""&amp;B375&amp;"""","")&amp;MID(A374,FIND("&gt;",A374),FIND("&gt;",A374)),IF(B377&lt;&gt;"","    "&amp;"    "&amp;LEFT(A374,FIND("&gt;",A374)-1)&amp;IF(B375&lt;&gt;""," "&amp;A375&amp;"="&amp;""""&amp;B375&amp;"""","")&amp;MID(A374,FIND("&gt;",A374),FIND("&gt;",A374)),""))</f>
        <v/>
      </c>
    </row>
    <row r="375" spans="1:4">
      <c r="A375" s="16" t="s">
        <v>68</v>
      </c>
      <c r="B375" s="6" t="str">
        <f>IF(Form!B148&lt;&gt;"",IF(Form!B144&lt;&gt;"","party",IF(Form!B145&lt;&gt;"","party","")),"")</f>
        <v/>
      </c>
      <c r="C375" s="68" t="s">
        <v>131</v>
      </c>
    </row>
    <row r="376" spans="1:4">
      <c r="A376" s="17" t="s">
        <v>122</v>
      </c>
      <c r="B376" s="7" t="str">
        <f>IF(Form!B148&lt;&gt;"",IF(Form!B144&lt;&gt;"",Form!B144&amp;" "&amp;Form!B145,IF(Form!B145&lt;&gt;"",Form!B144&amp;" "&amp;Form!B145,"")),"")</f>
        <v/>
      </c>
      <c r="C376" s="68" t="s">
        <v>131</v>
      </c>
      <c r="D376" t="str">
        <f>IF(B376&lt;&gt;"","    "&amp;"    "&amp;"    "&amp;A376&amp;B376&amp;LEFT(A376,FIND("&lt;",A376))&amp;"/"&amp;MID(A376,FIND("&lt;",A376)+1,FIND("&gt;",A376)),"")</f>
        <v/>
      </c>
    </row>
    <row r="377" spans="1:4">
      <c r="A377" s="17" t="s">
        <v>93</v>
      </c>
      <c r="B377" s="7" t="str">
        <f>IF(Form!B148&lt;&gt;"",Form!B148,"")</f>
        <v/>
      </c>
      <c r="C377" s="68" t="s">
        <v>131</v>
      </c>
      <c r="D377" t="str">
        <f>IF(B377&lt;&gt;"","    "&amp;"    "&amp;"    "&amp;LEFT(A377,FIND("&gt;",A377)-1)&amp;IF(B378&lt;&gt;""," "&amp;A378&amp;"="&amp;""""&amp;B378&amp;"""","")&amp;MID(A377,FIND("&gt;",A377),FIND("&gt;",A377))&amp;B377&amp;LEFT(A377,FIND("&lt;",A377))&amp;"/"&amp;MID(A377,FIND("&lt;",A377)+1,FIND("&gt;",A377)),"")</f>
        <v/>
      </c>
    </row>
    <row r="378" spans="1:4">
      <c r="A378" s="18" t="s">
        <v>68</v>
      </c>
      <c r="B378" s="6" t="str">
        <f>IF(Form!B148&lt;&gt;"","researcherID","")</f>
        <v/>
      </c>
      <c r="C378" s="68" t="s">
        <v>131</v>
      </c>
    </row>
    <row r="379" spans="1:4">
      <c r="A379" s="17" t="s">
        <v>123</v>
      </c>
      <c r="D379" t="str">
        <f>IF(B376&lt;&gt;"","    "&amp;"    "&amp;"    "&amp;LEFT(A379,FIND("&gt;",A379)-1)&amp;IF(B380&lt;&gt;""," "&amp;A380&amp;"="&amp;""""&amp;B380&amp;"""","")&amp;MID(A379,FIND("&gt;",A379),FIND("&gt;",A379))&amp;LEFT(A379,FIND("&lt;",A379))&amp;"/"&amp;MID(A379,FIND("&lt;",A379)+1,FIND("&gt;",A379)),IF(B377&lt;&gt;"","    "&amp;"    "&amp;"    "&amp;LEFT(A379,FIND("&gt;",A379)-1)&amp;IF(B380&lt;&gt;""," "&amp;A380&amp;"="&amp;""""&amp;B380&amp;"""","")&amp;MID(A379,FIND("&gt;",A379),FIND("&gt;",A379))&amp;LEFT(A379,FIND("&lt;",A379))&amp;"/"&amp;MID(A379,FIND("&lt;",A379)+1,FIND("&gt;",A379)),""))</f>
        <v/>
      </c>
    </row>
    <row r="380" spans="1:4">
      <c r="A380" s="18" t="s">
        <v>68</v>
      </c>
      <c r="B380" s="6" t="str">
        <f>IF(Form!B148&lt;&gt;"",IF(Form!B149="Principal Investigator","hasPrincipalInvestigator",IF(Form!B149="Collector","hasCollector",IF(Form!B149="Enricher","isEnrichedBy",IF(Form!B149="Associated","hasAssociationWith","")))),"")</f>
        <v/>
      </c>
      <c r="C380" s="68" t="s">
        <v>131</v>
      </c>
      <c r="D380" t="str">
        <f>IF(B376&lt;&gt;"","    "&amp;"    "&amp;LEFT(A374,FIND("&lt;",A374))&amp;"/"&amp;MID(A374,FIND("&lt;",A374)+1,FIND("&gt;",A374)),IF(B377&lt;&gt;"","    "&amp;"    "&amp;LEFT(A374,FIND("&lt;",A374))&amp;"/"&amp;MID(A374,FIND("&lt;",A374)+1,FIND("&gt;",A374)),""))</f>
        <v/>
      </c>
    </row>
    <row r="381" spans="1:4">
      <c r="A381" s="15" t="s">
        <v>120</v>
      </c>
      <c r="D381" t="str">
        <f>IF(B383&lt;&gt;"","    "&amp;"    "&amp;LEFT(A381,FIND("&gt;",A381)-1)&amp;IF(B382&lt;&gt;""," "&amp;A382&amp;"="&amp;""""&amp;B382&amp;"""","")&amp;MID(A381,FIND("&gt;",A381),FIND("&gt;",A381)),IF(B384&lt;&gt;"","    "&amp;"    "&amp;LEFT(A381,FIND("&gt;",A381)-1)&amp;IF(B382&lt;&gt;""," "&amp;A382&amp;"="&amp;""""&amp;B382&amp;"""","")&amp;MID(A381,FIND("&gt;",A381),FIND("&gt;",A381)),""))</f>
        <v xml:space="preserve">        &lt;relatedInfo type="collection"&gt;</v>
      </c>
    </row>
    <row r="382" spans="1:4">
      <c r="A382" s="16" t="s">
        <v>68</v>
      </c>
      <c r="B382" s="6" t="str">
        <f>IF(Form!B188&lt;&gt;"","collection","")</f>
        <v>collection</v>
      </c>
      <c r="C382" s="33" t="s">
        <v>124</v>
      </c>
    </row>
    <row r="383" spans="1:4">
      <c r="A383" s="17" t="s">
        <v>122</v>
      </c>
      <c r="B383" s="7" t="str">
        <f>IF(Form!B188&lt;&gt;"",IF(Form!B187&lt;&gt;"",Form!B187,""),"")</f>
        <v>yellow rust in wheat</v>
      </c>
      <c r="C383" s="33" t="s">
        <v>124</v>
      </c>
      <c r="D383" t="str">
        <f>IF(B383&lt;&gt;"","    "&amp;"    "&amp;"    "&amp;A383&amp;B383&amp;LEFT(A383,FIND("&lt;",A383))&amp;"/"&amp;MID(A383,FIND("&lt;",A383)+1,FIND("&gt;",A383)),"")</f>
        <v xml:space="preserve">            &lt;title&gt;yellow rust in wheat&lt;/title&gt;</v>
      </c>
    </row>
    <row r="384" spans="1:4">
      <c r="A384" s="17" t="s">
        <v>93</v>
      </c>
      <c r="B384" s="7" t="str">
        <f>IF(Form!B188&lt;&gt;"",Form!B188,"")</f>
        <v>0.1007/s00122-021-03983-z</v>
      </c>
      <c r="C384" s="33" t="s">
        <v>124</v>
      </c>
      <c r="D384" t="str">
        <f>IF(B384&lt;&gt;"","    "&amp;"    "&amp;"    "&amp;LEFT(A384,FIND("&gt;",A384)-1)&amp;IF(B385&lt;&gt;""," "&amp;A385&amp;"="&amp;""""&amp;B385&amp;"""","")&amp;MID(A384,FIND("&gt;",A384),FIND("&gt;",A384))&amp;B384&amp;LEFT(A384,FIND("&lt;",A384))&amp;"/"&amp;MID(A384,FIND("&lt;",A384)+1,FIND("&gt;",A384)),"")</f>
        <v xml:space="preserve">            &lt;identifier type="doi"&gt;0.1007/s00122-021-03983-z&lt;/identifier&gt;</v>
      </c>
    </row>
    <row r="385" spans="1:4">
      <c r="A385" s="18" t="s">
        <v>68</v>
      </c>
      <c r="B385" s="6" t="str">
        <f>IF(Form!B188&lt;&gt;"","doi","")</f>
        <v>doi</v>
      </c>
      <c r="C385" s="33" t="s">
        <v>124</v>
      </c>
    </row>
    <row r="386" spans="1:4">
      <c r="A386" s="17" t="s">
        <v>123</v>
      </c>
      <c r="D386" t="str">
        <f>IF(B383&lt;&gt;"","    "&amp;"    "&amp;"    "&amp;LEFT(A386,FIND("&gt;",A386)-1)&amp;IF(B387&lt;&gt;""," "&amp;A387&amp;"="&amp;""""&amp;B387&amp;"""","")&amp;MID(A386,FIND("&gt;",A386),FIND("&gt;",A386))&amp;LEFT(A386,FIND("&lt;",A386))&amp;"/"&amp;MID(A386,FIND("&lt;",A386)+1,FIND("&gt;",A386)),IF(B384&lt;&gt;"","    "&amp;"    "&amp;"    "&amp;LEFT(A386,FIND("&gt;",A386)-1)&amp;IF(B387&lt;&gt;""," "&amp;A387&amp;"="&amp;""""&amp;B387&amp;"""","")&amp;MID(A386,FIND("&gt;",A386),FIND("&gt;",A386))&amp;LEFT(A386,FIND("&lt;",A386))&amp;"/"&amp;MID(A386,FIND("&lt;",A386)+1,FIND("&gt;",A386)),""))</f>
        <v xml:space="preserve">            &lt;relation type="isPartOf"&gt;&lt;/relation&gt;</v>
      </c>
    </row>
    <row r="387" spans="1:4">
      <c r="A387" s="18" t="s">
        <v>68</v>
      </c>
      <c r="B387" s="6" t="str">
        <f>IF(Form!B188&lt;&gt;"",IF(Form!B190="Has part","hasPart",IF(Form!B190="Is part of","isPartOf",IF(Form!B190="Has derived collection","hasDerivedCollection",IF(Form!B190="Is derived from","isDerivedFrom",IF(Form!B190="Has version","hasVersion",IF(Form!B190="Is version of","isVersionOf",IF(Form!B190="Associated","hasAssociationWith",""))))))),"")</f>
        <v>isPartOf</v>
      </c>
      <c r="C387" s="33" t="s">
        <v>124</v>
      </c>
      <c r="D387" t="str">
        <f>IF(B383&lt;&gt;"","    "&amp;"    "&amp;LEFT(A381,FIND("&lt;",A381))&amp;"/"&amp;MID(A381,FIND("&lt;",A381)+1,FIND("&gt;",A381)),IF(B384&lt;&gt;"","    "&amp;"    "&amp;LEFT(A381,FIND("&lt;",A381))&amp;"/"&amp;MID(A381,FIND("&lt;",A381)+1,FIND("&gt;",A381)),""))</f>
        <v xml:space="preserve">        &lt;/relatedInfo&gt;</v>
      </c>
    </row>
    <row r="388" spans="1:4">
      <c r="A388" s="15" t="s">
        <v>120</v>
      </c>
      <c r="D388" t="str">
        <f>IF(B390&lt;&gt;"","    "&amp;"    "&amp;LEFT(A388,FIND("&gt;",A388)-1)&amp;IF(B389&lt;&gt;""," "&amp;A389&amp;"="&amp;""""&amp;B389&amp;"""","")&amp;MID(A388,FIND("&gt;",A388),FIND("&gt;",A388)),IF(B391&lt;&gt;"","    "&amp;"    "&amp;LEFT(A388,FIND("&gt;",A388)-1)&amp;IF(B389&lt;&gt;""," "&amp;A389&amp;"="&amp;""""&amp;B389&amp;"""","")&amp;MID(A388,FIND("&gt;",A388),FIND("&gt;",A388)),""))</f>
        <v/>
      </c>
    </row>
    <row r="389" spans="1:4">
      <c r="A389" s="16" t="s">
        <v>68</v>
      </c>
      <c r="B389" s="6" t="str">
        <f>IF(Form!B189&lt;&gt;"","collection","")</f>
        <v/>
      </c>
      <c r="C389" s="33" t="s">
        <v>124</v>
      </c>
    </row>
    <row r="390" spans="1:4">
      <c r="A390" s="17" t="s">
        <v>122</v>
      </c>
      <c r="B390" s="7" t="str">
        <f>IF(Form!B189&lt;&gt;"",IF(Form!B187&lt;&gt;"",Form!B187,""),"")</f>
        <v/>
      </c>
      <c r="C390" s="33" t="s">
        <v>124</v>
      </c>
      <c r="D390" t="str">
        <f>IF(B390&lt;&gt;"","    "&amp;"    "&amp;"    "&amp;A390&amp;B390&amp;LEFT(A390,FIND("&lt;",A390))&amp;"/"&amp;MID(A390,FIND("&lt;",A390)+1,FIND("&gt;",A390)),"")</f>
        <v/>
      </c>
    </row>
    <row r="391" spans="1:4">
      <c r="A391" s="17" t="s">
        <v>93</v>
      </c>
      <c r="B391" s="7" t="str">
        <f>IF(Form!B189&lt;&gt;"",Form!B189,"")</f>
        <v/>
      </c>
      <c r="C391" s="33" t="s">
        <v>124</v>
      </c>
      <c r="D391" t="str">
        <f>IF(B391&lt;&gt;"","    "&amp;"    "&amp;"    "&amp;LEFT(A391,FIND("&gt;",A391)-1)&amp;IF(B392&lt;&gt;""," "&amp;A392&amp;"="&amp;""""&amp;B392&amp;"""","")&amp;MID(A391,FIND("&gt;",A391),FIND("&gt;",A391))&amp;B391&amp;LEFT(A391,FIND("&lt;",A391))&amp;"/"&amp;MID(A391,FIND("&lt;",A391)+1,FIND("&gt;",A391)),"")</f>
        <v/>
      </c>
    </row>
    <row r="392" spans="1:4">
      <c r="A392" s="18" t="s">
        <v>68</v>
      </c>
      <c r="B392" s="6" t="str">
        <f>IF(Form!B189&lt;&gt;"","handle","")</f>
        <v/>
      </c>
      <c r="C392" s="33" t="s">
        <v>124</v>
      </c>
    </row>
    <row r="393" spans="1:4">
      <c r="A393" s="17" t="s">
        <v>123</v>
      </c>
      <c r="D393" t="str">
        <f>IF(B390&lt;&gt;"","    "&amp;"    "&amp;"    "&amp;LEFT(A393,FIND("&gt;",A393)-1)&amp;IF(B394&lt;&gt;""," "&amp;A394&amp;"="&amp;""""&amp;B394&amp;"""","")&amp;MID(A393,FIND("&gt;",A393),FIND("&gt;",A393))&amp;LEFT(A393,FIND("&lt;",A393))&amp;"/"&amp;MID(A393,FIND("&lt;",A393)+1,FIND("&gt;",A393)),IF(B391&lt;&gt;"","    "&amp;"    "&amp;"    "&amp;LEFT(A393,FIND("&gt;",A393)-1)&amp;IF(B394&lt;&gt;""," "&amp;A394&amp;"="&amp;""""&amp;B394&amp;"""","")&amp;MID(A393,FIND("&gt;",A393),FIND("&gt;",A393))&amp;LEFT(A393,FIND("&lt;",A393))&amp;"/"&amp;MID(A393,FIND("&lt;",A393)+1,FIND("&gt;",A393)),""))</f>
        <v/>
      </c>
    </row>
    <row r="394" spans="1:4">
      <c r="A394" s="18" t="s">
        <v>68</v>
      </c>
      <c r="B394" s="6" t="str">
        <f>IF(Form!B189&lt;&gt;"",IF(Form!B190="Has part","hasPart",IF(Form!B190="Is part of","isPartOf",IF(Form!B190="Has derived collection","hasDerivedCollection",IF(Form!B190="Is derived from","isDerivedFrom",IF(Form!B190="Has version","hasVersion",IF(Form!B190="Is version of","isVersionOf",IF(Form!B190="Associated","hasAssociationWith",""))))))),"")</f>
        <v/>
      </c>
      <c r="C394" s="33" t="s">
        <v>124</v>
      </c>
      <c r="D394" t="str">
        <f>IF(B390&lt;&gt;"","    "&amp;"    "&amp;LEFT(A388,FIND("&lt;",A388))&amp;"/"&amp;MID(A388,FIND("&lt;",A388)+1,FIND("&gt;",A388)),IF(B391&lt;&gt;"","    "&amp;"    "&amp;LEFT(A388,FIND("&lt;",A388))&amp;"/"&amp;MID(A388,FIND("&lt;",A388)+1,FIND("&gt;",A388)),""))</f>
        <v/>
      </c>
    </row>
    <row r="395" spans="1:4">
      <c r="A395" s="15" t="s">
        <v>120</v>
      </c>
      <c r="D395" t="str">
        <f>IF(B397&lt;&gt;"","    "&amp;"    "&amp;LEFT(A395,FIND("&gt;",A395)-1)&amp;IF(B396&lt;&gt;""," "&amp;A396&amp;"="&amp;""""&amp;B396&amp;"""","")&amp;MID(A395,FIND("&gt;",A395),FIND("&gt;",A395)),IF(B398&lt;&gt;"","    "&amp;"    "&amp;LEFT(A395,FIND("&gt;",A395)-1)&amp;IF(B396&lt;&gt;""," "&amp;A396&amp;"="&amp;""""&amp;B396&amp;"""","")&amp;MID(A395,FIND("&gt;",A395),FIND("&gt;",A395)),""))</f>
        <v/>
      </c>
    </row>
    <row r="396" spans="1:4">
      <c r="A396" s="16" t="s">
        <v>68</v>
      </c>
      <c r="B396" s="6" t="str">
        <f>IF(Form!B193&lt;&gt;"","collection","")</f>
        <v/>
      </c>
      <c r="C396" s="33" t="s">
        <v>124</v>
      </c>
    </row>
    <row r="397" spans="1:4">
      <c r="A397" s="17" t="s">
        <v>122</v>
      </c>
      <c r="B397" s="7" t="str">
        <f>IF(Form!B193&lt;&gt;"",IF(Form!B192&lt;&gt;"",Form!B192,""),"")</f>
        <v/>
      </c>
      <c r="C397" s="33" t="s">
        <v>124</v>
      </c>
      <c r="D397" t="str">
        <f>IF(B397&lt;&gt;"","    "&amp;"    "&amp;"    "&amp;A397&amp;B397&amp;LEFT(A397,FIND("&lt;",A397))&amp;"/"&amp;MID(A397,FIND("&lt;",A397)+1,FIND("&gt;",A397)),"")</f>
        <v/>
      </c>
    </row>
    <row r="398" spans="1:4">
      <c r="A398" s="17" t="s">
        <v>93</v>
      </c>
      <c r="B398" s="7" t="str">
        <f>IF(Form!B193&lt;&gt;"",Form!B193,"")</f>
        <v/>
      </c>
      <c r="C398" s="33" t="s">
        <v>124</v>
      </c>
      <c r="D398" t="str">
        <f>IF(B398&lt;&gt;"","    "&amp;"    "&amp;"    "&amp;LEFT(A398,FIND("&gt;",A398)-1)&amp;IF(B399&lt;&gt;""," "&amp;A399&amp;"="&amp;""""&amp;B399&amp;"""","")&amp;MID(A398,FIND("&gt;",A398),FIND("&gt;",A398))&amp;B398&amp;LEFT(A398,FIND("&lt;",A398))&amp;"/"&amp;MID(A398,FIND("&lt;",A398)+1,FIND("&gt;",A398)),"")</f>
        <v/>
      </c>
    </row>
    <row r="399" spans="1:4">
      <c r="A399" s="18" t="s">
        <v>68</v>
      </c>
      <c r="B399" s="6" t="str">
        <f>IF(Form!B193&lt;&gt;"","doi","")</f>
        <v/>
      </c>
      <c r="C399" s="33" t="s">
        <v>124</v>
      </c>
    </row>
    <row r="400" spans="1:4">
      <c r="A400" s="17" t="s">
        <v>123</v>
      </c>
      <c r="D400" t="str">
        <f>IF(B397&lt;&gt;"","    "&amp;"    "&amp;"    "&amp;LEFT(A400,FIND("&gt;",A400)-1)&amp;IF(B401&lt;&gt;""," "&amp;A401&amp;"="&amp;""""&amp;B401&amp;"""","")&amp;MID(A400,FIND("&gt;",A400),FIND("&gt;",A400))&amp;LEFT(A400,FIND("&lt;",A400))&amp;"/"&amp;MID(A400,FIND("&lt;",A400)+1,FIND("&gt;",A400)),IF(B398&lt;&gt;"","    "&amp;"    "&amp;"    "&amp;LEFT(A400,FIND("&gt;",A400)-1)&amp;IF(B401&lt;&gt;""," "&amp;A401&amp;"="&amp;""""&amp;B401&amp;"""","")&amp;MID(A400,FIND("&gt;",A400),FIND("&gt;",A400))&amp;LEFT(A400,FIND("&lt;",A400))&amp;"/"&amp;MID(A400,FIND("&lt;",A400)+1,FIND("&gt;",A400)),""))</f>
        <v/>
      </c>
    </row>
    <row r="401" spans="1:4">
      <c r="A401" s="18" t="s">
        <v>68</v>
      </c>
      <c r="B401" s="6" t="str">
        <f>IF(Form!B193&lt;&gt;"",IF(Form!B195="Has part","hasPart",IF(Form!B195="Is part of","isPartOf",IF(Form!B195="Has derived collection","hasDerivedCollection",IF(Form!B195="Is derived from","isDerivedFrom",IF(Form!B195="Has version","hasVersion",IF(Form!B195="Is version of","isVersionOf",IF(Form!B195="Associated","hasAssociationWith",""))))))),"")</f>
        <v/>
      </c>
      <c r="C401" s="33" t="s">
        <v>124</v>
      </c>
      <c r="D401" t="str">
        <f>IF(B397&lt;&gt;"","    "&amp;"    "&amp;LEFT(A395,FIND("&lt;",A395))&amp;"/"&amp;MID(A395,FIND("&lt;",A395)+1,FIND("&gt;",A395)),IF(B398&lt;&gt;"","    "&amp;"    "&amp;LEFT(A395,FIND("&lt;",A395))&amp;"/"&amp;MID(A395,FIND("&lt;",A395)+1,FIND("&gt;",A395)),""))</f>
        <v/>
      </c>
    </row>
    <row r="402" spans="1:4">
      <c r="A402" s="15" t="s">
        <v>120</v>
      </c>
      <c r="D402" t="str">
        <f>IF(B404&lt;&gt;"","    "&amp;"    "&amp;LEFT(A402,FIND("&gt;",A402)-1)&amp;IF(B403&lt;&gt;""," "&amp;A403&amp;"="&amp;""""&amp;B403&amp;"""","")&amp;MID(A402,FIND("&gt;",A402),FIND("&gt;",A402)),IF(B405&lt;&gt;"","    "&amp;"    "&amp;LEFT(A402,FIND("&gt;",A402)-1)&amp;IF(B403&lt;&gt;""," "&amp;A403&amp;"="&amp;""""&amp;B403&amp;"""","")&amp;MID(A402,FIND("&gt;",A402),FIND("&gt;",A402)),""))</f>
        <v/>
      </c>
    </row>
    <row r="403" spans="1:4">
      <c r="A403" s="16" t="s">
        <v>68</v>
      </c>
      <c r="B403" s="6" t="str">
        <f>IF(Form!B194&lt;&gt;"","collection","")</f>
        <v/>
      </c>
      <c r="C403" s="33" t="s">
        <v>124</v>
      </c>
    </row>
    <row r="404" spans="1:4">
      <c r="A404" s="17" t="s">
        <v>122</v>
      </c>
      <c r="B404" s="7" t="str">
        <f>IF(Form!B194&lt;&gt;"",IF(Form!B192&lt;&gt;"",Form!B192,""),"")</f>
        <v/>
      </c>
      <c r="C404" s="33" t="s">
        <v>124</v>
      </c>
      <c r="D404" t="str">
        <f>IF(B404&lt;&gt;"","    "&amp;"    "&amp;"    "&amp;A404&amp;B404&amp;LEFT(A404,FIND("&lt;",A404))&amp;"/"&amp;MID(A404,FIND("&lt;",A404)+1,FIND("&gt;",A404)),"")</f>
        <v/>
      </c>
    </row>
    <row r="405" spans="1:4">
      <c r="A405" s="17" t="s">
        <v>93</v>
      </c>
      <c r="B405" s="7" t="str">
        <f>IF(Form!B194&lt;&gt;"",Form!B194,"")</f>
        <v/>
      </c>
      <c r="C405" s="33" t="s">
        <v>124</v>
      </c>
      <c r="D405" t="str">
        <f>IF(B405&lt;&gt;"","    "&amp;"    "&amp;"    "&amp;LEFT(A405,FIND("&gt;",A405)-1)&amp;IF(B406&lt;&gt;""," "&amp;A406&amp;"="&amp;""""&amp;B406&amp;"""","")&amp;MID(A405,FIND("&gt;",A405),FIND("&gt;",A405))&amp;B405&amp;LEFT(A405,FIND("&lt;",A405))&amp;"/"&amp;MID(A405,FIND("&lt;",A405)+1,FIND("&gt;",A405)),"")</f>
        <v/>
      </c>
    </row>
    <row r="406" spans="1:4">
      <c r="A406" s="18" t="s">
        <v>68</v>
      </c>
      <c r="B406" s="6" t="str">
        <f>IF(Form!B194&lt;&gt;"","handle","")</f>
        <v/>
      </c>
      <c r="C406" s="33" t="s">
        <v>124</v>
      </c>
    </row>
    <row r="407" spans="1:4">
      <c r="A407" s="17" t="s">
        <v>123</v>
      </c>
      <c r="D407" t="str">
        <f>IF(B404&lt;&gt;"","    "&amp;"    "&amp;"    "&amp;LEFT(A407,FIND("&gt;",A407)-1)&amp;IF(B408&lt;&gt;""," "&amp;A408&amp;"="&amp;""""&amp;B408&amp;"""","")&amp;MID(A407,FIND("&gt;",A407),FIND("&gt;",A407))&amp;LEFT(A407,FIND("&lt;",A407))&amp;"/"&amp;MID(A407,FIND("&lt;",A407)+1,FIND("&gt;",A407)),IF(B405&lt;&gt;"","    "&amp;"    "&amp;"    "&amp;LEFT(A407,FIND("&gt;",A407)-1)&amp;IF(B408&lt;&gt;""," "&amp;A408&amp;"="&amp;""""&amp;B408&amp;"""","")&amp;MID(A407,FIND("&gt;",A407),FIND("&gt;",A407))&amp;LEFT(A407,FIND("&lt;",A407))&amp;"/"&amp;MID(A407,FIND("&lt;",A407)+1,FIND("&gt;",A407)),""))</f>
        <v/>
      </c>
    </row>
    <row r="408" spans="1:4">
      <c r="A408" s="18" t="s">
        <v>68</v>
      </c>
      <c r="B408" s="6" t="str">
        <f>IF(Form!B194&lt;&gt;"",IF(Form!B195="Has part","hasPart",IF(Form!B195="Is part of","isPartOf",IF(Form!B195="Has derived collection","hasDerivedCollection",IF(Form!B195="Is derived from","isDerivedFrom",IF(Form!B195="Has version","hasVersion",IF(Form!B195="Is version of","isVersionOf",IF(Form!B195="Associated","hasAssociationWith",""))))))),"")</f>
        <v/>
      </c>
      <c r="C408" s="33" t="s">
        <v>124</v>
      </c>
      <c r="D408" t="str">
        <f>IF(B404&lt;&gt;"","    "&amp;"    "&amp;LEFT(A402,FIND("&lt;",A402))&amp;"/"&amp;MID(A402,FIND("&lt;",A402)+1,FIND("&gt;",A402)),IF(B405&lt;&gt;"","    "&amp;"    "&amp;LEFT(A402,FIND("&lt;",A402))&amp;"/"&amp;MID(A402,FIND("&lt;",A402)+1,FIND("&gt;",A402)),""))</f>
        <v/>
      </c>
    </row>
    <row r="409" spans="1:4">
      <c r="A409" s="15" t="s">
        <v>120</v>
      </c>
      <c r="D409" t="str">
        <f>IF(B411&lt;&gt;"","    "&amp;"    "&amp;LEFT(A409,FIND("&gt;",A409)-1)&amp;IF(B410&lt;&gt;""," "&amp;A410&amp;"="&amp;""""&amp;B410&amp;"""","")&amp;MID(A409,FIND("&gt;",A409),FIND("&gt;",A409)),IF(B412&lt;&gt;"","    "&amp;"    "&amp;LEFT(A409,FIND("&gt;",A409)-1)&amp;IF(B410&lt;&gt;""," "&amp;A410&amp;"="&amp;""""&amp;B410&amp;"""","")&amp;MID(A409,FIND("&gt;",A409),FIND("&gt;",A409)),""))</f>
        <v/>
      </c>
    </row>
    <row r="410" spans="1:4">
      <c r="A410" s="16" t="s">
        <v>68</v>
      </c>
      <c r="B410" s="6" t="str">
        <f>IF(Form!B198&lt;&gt;"","collection","")</f>
        <v/>
      </c>
      <c r="C410" s="33" t="s">
        <v>124</v>
      </c>
    </row>
    <row r="411" spans="1:4">
      <c r="A411" s="17" t="s">
        <v>122</v>
      </c>
      <c r="B411" s="7" t="str">
        <f>IF(Form!B198&lt;&gt;"",IF(Form!B197&lt;&gt;"",Form!B197,""),"")</f>
        <v/>
      </c>
      <c r="C411" s="33" t="s">
        <v>124</v>
      </c>
      <c r="D411" t="str">
        <f>IF(B411&lt;&gt;"","    "&amp;"    "&amp;"    "&amp;A411&amp;B411&amp;LEFT(A411,FIND("&lt;",A411))&amp;"/"&amp;MID(A411,FIND("&lt;",A411)+1,FIND("&gt;",A411)),"")</f>
        <v/>
      </c>
    </row>
    <row r="412" spans="1:4">
      <c r="A412" s="17" t="s">
        <v>93</v>
      </c>
      <c r="B412" s="7" t="str">
        <f>IF(Form!B198&lt;&gt;"",Form!B198,"")</f>
        <v/>
      </c>
      <c r="C412" s="33" t="s">
        <v>124</v>
      </c>
      <c r="D412" t="str">
        <f>IF(B412&lt;&gt;"","    "&amp;"    "&amp;"    "&amp;LEFT(A412,FIND("&gt;",A412)-1)&amp;IF(B413&lt;&gt;""," "&amp;A413&amp;"="&amp;""""&amp;B413&amp;"""","")&amp;MID(A412,FIND("&gt;",A412),FIND("&gt;",A412))&amp;B412&amp;LEFT(A412,FIND("&lt;",A412))&amp;"/"&amp;MID(A412,FIND("&lt;",A412)+1,FIND("&gt;",A412)),"")</f>
        <v/>
      </c>
    </row>
    <row r="413" spans="1:4">
      <c r="A413" s="18" t="s">
        <v>68</v>
      </c>
      <c r="B413" s="6" t="str">
        <f>IF(Form!B198&lt;&gt;"","doi","")</f>
        <v/>
      </c>
      <c r="C413" s="33" t="s">
        <v>124</v>
      </c>
    </row>
    <row r="414" spans="1:4">
      <c r="A414" s="17" t="s">
        <v>123</v>
      </c>
      <c r="D414" t="str">
        <f>IF(B411&lt;&gt;"","    "&amp;"    "&amp;"    "&amp;LEFT(A414,FIND("&gt;",A414)-1)&amp;IF(B415&lt;&gt;""," "&amp;A415&amp;"="&amp;""""&amp;B415&amp;"""","")&amp;MID(A414,FIND("&gt;",A414),FIND("&gt;",A414))&amp;LEFT(A414,FIND("&lt;",A414))&amp;"/"&amp;MID(A414,FIND("&lt;",A414)+1,FIND("&gt;",A414)),IF(B412&lt;&gt;"","    "&amp;"    "&amp;"    "&amp;LEFT(A414,FIND("&gt;",A414)-1)&amp;IF(B415&lt;&gt;""," "&amp;A415&amp;"="&amp;""""&amp;B415&amp;"""","")&amp;MID(A414,FIND("&gt;",A414),FIND("&gt;",A414))&amp;LEFT(A414,FIND("&lt;",A414))&amp;"/"&amp;MID(A414,FIND("&lt;",A414)+1,FIND("&gt;",A414)),""))</f>
        <v/>
      </c>
    </row>
    <row r="415" spans="1:4">
      <c r="A415" s="18" t="s">
        <v>68</v>
      </c>
      <c r="B415" s="6" t="str">
        <f>IF(Form!B198&lt;&gt;"",IF(Form!B200="Has part","hasPart",IF(Form!B200="Is part of","isPartOf",IF(Form!B200="Has derived collection","hasDerivedCollection",IF(Form!B200="Is derived from","isDerivedFrom",IF(Form!B200="Has version","hasVersion",IF(Form!B200="Is version of","isVersionOf",IF(Form!B200="Associated","hasAssociationWith",""))))))),"")</f>
        <v/>
      </c>
      <c r="C415" s="33" t="s">
        <v>124</v>
      </c>
      <c r="D415" t="str">
        <f>IF(B411&lt;&gt;"","    "&amp;"    "&amp;LEFT(A409,FIND("&lt;",A409))&amp;"/"&amp;MID(A409,FIND("&lt;",A409)+1,FIND("&gt;",A409)),IF(B412&lt;&gt;"","    "&amp;"    "&amp;LEFT(A409,FIND("&lt;",A409))&amp;"/"&amp;MID(A409,FIND("&lt;",A409)+1,FIND("&gt;",A409)),""))</f>
        <v/>
      </c>
    </row>
    <row r="416" spans="1:4">
      <c r="A416" s="15" t="s">
        <v>120</v>
      </c>
      <c r="D416" t="str">
        <f>IF(B418&lt;&gt;"","    "&amp;"    "&amp;LEFT(A416,FIND("&gt;",A416)-1)&amp;IF(B417&lt;&gt;""," "&amp;A417&amp;"="&amp;""""&amp;B417&amp;"""","")&amp;MID(A416,FIND("&gt;",A416),FIND("&gt;",A416)),IF(B419&lt;&gt;"","    "&amp;"    "&amp;LEFT(A416,FIND("&gt;",A416)-1)&amp;IF(B417&lt;&gt;""," "&amp;A417&amp;"="&amp;""""&amp;B417&amp;"""","")&amp;MID(A416,FIND("&gt;",A416),FIND("&gt;",A416)),""))</f>
        <v/>
      </c>
    </row>
    <row r="417" spans="1:4">
      <c r="A417" s="16" t="s">
        <v>68</v>
      </c>
      <c r="B417" s="6" t="str">
        <f>IF(Form!B199&lt;&gt;"","collection","")</f>
        <v/>
      </c>
      <c r="C417" s="33" t="s">
        <v>124</v>
      </c>
    </row>
    <row r="418" spans="1:4">
      <c r="A418" s="17" t="s">
        <v>122</v>
      </c>
      <c r="B418" s="7" t="str">
        <f>IF(Form!B199&lt;&gt;"",IF(Form!B197&lt;&gt;"",Form!B197,""),"")</f>
        <v/>
      </c>
      <c r="C418" s="33" t="s">
        <v>124</v>
      </c>
      <c r="D418" t="str">
        <f>IF(B418&lt;&gt;"","    "&amp;"    "&amp;"    "&amp;A418&amp;B418&amp;LEFT(A418,FIND("&lt;",A418))&amp;"/"&amp;MID(A418,FIND("&lt;",A418)+1,FIND("&gt;",A418)),"")</f>
        <v/>
      </c>
    </row>
    <row r="419" spans="1:4">
      <c r="A419" s="17" t="s">
        <v>93</v>
      </c>
      <c r="B419" s="7" t="str">
        <f>IF(Form!B199&lt;&gt;"",Form!B199,"")</f>
        <v/>
      </c>
      <c r="C419" s="33" t="s">
        <v>124</v>
      </c>
      <c r="D419" t="str">
        <f>IF(B419&lt;&gt;"","    "&amp;"    "&amp;"    "&amp;LEFT(A419,FIND("&gt;",A419)-1)&amp;IF(B420&lt;&gt;""," "&amp;A420&amp;"="&amp;""""&amp;B420&amp;"""","")&amp;MID(A419,FIND("&gt;",A419),FIND("&gt;",A419))&amp;B419&amp;LEFT(A419,FIND("&lt;",A419))&amp;"/"&amp;MID(A419,FIND("&lt;",A419)+1,FIND("&gt;",A419)),"")</f>
        <v/>
      </c>
    </row>
    <row r="420" spans="1:4">
      <c r="A420" s="18" t="s">
        <v>68</v>
      </c>
      <c r="B420" s="6" t="str">
        <f>IF(Form!B199&lt;&gt;"","handle","")</f>
        <v/>
      </c>
      <c r="C420" s="33" t="s">
        <v>124</v>
      </c>
    </row>
    <row r="421" spans="1:4">
      <c r="A421" s="17" t="s">
        <v>123</v>
      </c>
      <c r="D421" t="str">
        <f>IF(B418&lt;&gt;"","    "&amp;"    "&amp;"    "&amp;LEFT(A421,FIND("&gt;",A421)-1)&amp;IF(B422&lt;&gt;""," "&amp;A422&amp;"="&amp;""""&amp;B422&amp;"""","")&amp;MID(A421,FIND("&gt;",A421),FIND("&gt;",A421))&amp;LEFT(A421,FIND("&lt;",A421))&amp;"/"&amp;MID(A421,FIND("&lt;",A421)+1,FIND("&gt;",A421)),IF(B419&lt;&gt;"","    "&amp;"    "&amp;"    "&amp;LEFT(A421,FIND("&gt;",A421)-1)&amp;IF(B422&lt;&gt;""," "&amp;A422&amp;"="&amp;""""&amp;B422&amp;"""","")&amp;MID(A421,FIND("&gt;",A421),FIND("&gt;",A421))&amp;LEFT(A421,FIND("&lt;",A421))&amp;"/"&amp;MID(A421,FIND("&lt;",A421)+1,FIND("&gt;",A421)),""))</f>
        <v/>
      </c>
    </row>
    <row r="422" spans="1:4">
      <c r="A422" s="18" t="s">
        <v>68</v>
      </c>
      <c r="B422" s="6" t="str">
        <f>IF(Form!B199&lt;&gt;"",IF(Form!B200="Has part","hasPart",IF(Form!B200="Is part of","isPartOf",IF(Form!B200="Has derived collection","hasDerivedCollection",IF(Form!B200="Is derived from","isDerivedFrom",IF(Form!B200="Has version","hasVersion",IF(Form!B200="Is version of","isVersionOf",IF(Form!B200="Associated","hasAssociationWith",""))))))),"")</f>
        <v/>
      </c>
      <c r="C422" s="33" t="s">
        <v>124</v>
      </c>
      <c r="D422" t="str">
        <f>IF(B418&lt;&gt;"","    "&amp;"    "&amp;LEFT(A416,FIND("&lt;",A416))&amp;"/"&amp;MID(A416,FIND("&lt;",A416)+1,FIND("&gt;",A416)),IF(B419&lt;&gt;"","    "&amp;"    "&amp;LEFT(A416,FIND("&lt;",A416))&amp;"/"&amp;MID(A416,FIND("&lt;",A416)+1,FIND("&gt;",A416)),""))</f>
        <v/>
      </c>
    </row>
    <row r="423" spans="1:4">
      <c r="A423" s="15" t="s">
        <v>120</v>
      </c>
      <c r="D423" t="str">
        <f>IF(B425&lt;&gt;"","    "&amp;"    "&amp;LEFT(A423,FIND("&gt;",A423)-1)&amp;IF(B424&lt;&gt;""," "&amp;A424&amp;"="&amp;""""&amp;B424&amp;"""","")&amp;MID(A423,FIND("&gt;",A423),FIND("&gt;",A423)),IF(B426&lt;&gt;"","    "&amp;"    "&amp;LEFT(A423,FIND("&gt;",A423)-1)&amp;IF(B424&lt;&gt;""," "&amp;A424&amp;"="&amp;""""&amp;B424&amp;"""","")&amp;MID(A423,FIND("&gt;",A423),FIND("&gt;",A423)),""))</f>
        <v/>
      </c>
    </row>
    <row r="424" spans="1:4">
      <c r="A424" s="16" t="s">
        <v>68</v>
      </c>
      <c r="B424" s="6" t="str">
        <f>IF(Form!B203&lt;&gt;"","collection","")</f>
        <v/>
      </c>
      <c r="C424" s="33" t="s">
        <v>124</v>
      </c>
    </row>
    <row r="425" spans="1:4">
      <c r="A425" s="17" t="s">
        <v>122</v>
      </c>
      <c r="B425" s="7" t="str">
        <f>IF(Form!B203&lt;&gt;"",IF(Form!B202&lt;&gt;"",Form!B202,""),"")</f>
        <v/>
      </c>
      <c r="C425" s="33" t="s">
        <v>124</v>
      </c>
      <c r="D425" t="str">
        <f>IF(B425&lt;&gt;"","    "&amp;"    "&amp;"    "&amp;A425&amp;B425&amp;LEFT(A425,FIND("&lt;",A425))&amp;"/"&amp;MID(A425,FIND("&lt;",A425)+1,FIND("&gt;",A425)),"")</f>
        <v/>
      </c>
    </row>
    <row r="426" spans="1:4">
      <c r="A426" s="17" t="s">
        <v>93</v>
      </c>
      <c r="B426" s="7" t="str">
        <f>IF(Form!B203&lt;&gt;"",Form!B203,"")</f>
        <v/>
      </c>
      <c r="C426" s="33" t="s">
        <v>124</v>
      </c>
      <c r="D426" t="str">
        <f>IF(B426&lt;&gt;"","    "&amp;"    "&amp;"    "&amp;LEFT(A426,FIND("&gt;",A426)-1)&amp;IF(B427&lt;&gt;""," "&amp;A427&amp;"="&amp;""""&amp;B427&amp;"""","")&amp;MID(A426,FIND("&gt;",A426),FIND("&gt;",A426))&amp;B426&amp;LEFT(A426,FIND("&lt;",A426))&amp;"/"&amp;MID(A426,FIND("&lt;",A426)+1,FIND("&gt;",A426)),"")</f>
        <v/>
      </c>
    </row>
    <row r="427" spans="1:4">
      <c r="A427" s="18" t="s">
        <v>68</v>
      </c>
      <c r="B427" s="6" t="str">
        <f>IF(Form!B203&lt;&gt;"","doi","")</f>
        <v/>
      </c>
      <c r="C427" s="33" t="s">
        <v>124</v>
      </c>
    </row>
    <row r="428" spans="1:4">
      <c r="A428" s="17" t="s">
        <v>123</v>
      </c>
      <c r="D428" t="str">
        <f>IF(B425&lt;&gt;"","    "&amp;"    "&amp;"    "&amp;LEFT(A428,FIND("&gt;",A428)-1)&amp;IF(B429&lt;&gt;""," "&amp;A429&amp;"="&amp;""""&amp;B429&amp;"""","")&amp;MID(A428,FIND("&gt;",A428),FIND("&gt;",A428))&amp;LEFT(A428,FIND("&lt;",A428))&amp;"/"&amp;MID(A428,FIND("&lt;",A428)+1,FIND("&gt;",A428)),IF(B426&lt;&gt;"","    "&amp;"    "&amp;"    "&amp;LEFT(A428,FIND("&gt;",A428)-1)&amp;IF(B429&lt;&gt;""," "&amp;A429&amp;"="&amp;""""&amp;B429&amp;"""","")&amp;MID(A428,FIND("&gt;",A428),FIND("&gt;",A428))&amp;LEFT(A428,FIND("&lt;",A428))&amp;"/"&amp;MID(A428,FIND("&lt;",A428)+1,FIND("&gt;",A428)),""))</f>
        <v/>
      </c>
    </row>
    <row r="429" spans="1:4">
      <c r="A429" s="18" t="s">
        <v>68</v>
      </c>
      <c r="B429" s="6" t="str">
        <f>IF(Form!B203&lt;&gt;"",IF(Form!B205="Has part","hasPart",IF(Form!B205="Is part of","isPartOf",IF(Form!B205="Has derived collection","hasDerivedCollection",IF(Form!B205="Is derived from","isDerivedFrom",IF(Form!B205="Has version","hasVersion",IF(Form!B205="Is version of","isVersionOf",IF(Form!B205="Associated","hasAssociationWith",""))))))),"")</f>
        <v/>
      </c>
      <c r="C429" s="33" t="s">
        <v>124</v>
      </c>
      <c r="D429" t="str">
        <f>IF(B425&lt;&gt;"","    "&amp;"    "&amp;LEFT(A423,FIND("&lt;",A423))&amp;"/"&amp;MID(A423,FIND("&lt;",A423)+1,FIND("&gt;",A423)),IF(B426&lt;&gt;"","    "&amp;"    "&amp;LEFT(A423,FIND("&lt;",A423))&amp;"/"&amp;MID(A423,FIND("&lt;",A423)+1,FIND("&gt;",A423)),""))</f>
        <v/>
      </c>
    </row>
    <row r="430" spans="1:4">
      <c r="A430" s="15" t="s">
        <v>120</v>
      </c>
      <c r="D430" t="str">
        <f>IF(B432&lt;&gt;"","    "&amp;"    "&amp;LEFT(A430,FIND("&gt;",A430)-1)&amp;IF(B431&lt;&gt;""," "&amp;A431&amp;"="&amp;""""&amp;B431&amp;"""","")&amp;MID(A430,FIND("&gt;",A430),FIND("&gt;",A430)),IF(B433&lt;&gt;"","    "&amp;"    "&amp;LEFT(A430,FIND("&gt;",A430)-1)&amp;IF(B431&lt;&gt;""," "&amp;A431&amp;"="&amp;""""&amp;B431&amp;"""","")&amp;MID(A430,FIND("&gt;",A430),FIND("&gt;",A430)),""))</f>
        <v/>
      </c>
    </row>
    <row r="431" spans="1:4">
      <c r="A431" s="16" t="s">
        <v>68</v>
      </c>
      <c r="B431" s="6" t="str">
        <f>IF(Form!B204&lt;&gt;"","collection","")</f>
        <v/>
      </c>
      <c r="C431" s="33" t="s">
        <v>124</v>
      </c>
    </row>
    <row r="432" spans="1:4">
      <c r="A432" s="17" t="s">
        <v>122</v>
      </c>
      <c r="B432" s="7" t="str">
        <f>IF(Form!B204&lt;&gt;"",IF(Form!B202&lt;&gt;"",Form!B202,""),"")</f>
        <v/>
      </c>
      <c r="C432" s="33" t="s">
        <v>124</v>
      </c>
      <c r="D432" t="str">
        <f>IF(B432&lt;&gt;"","    "&amp;"    "&amp;"    "&amp;A432&amp;B432&amp;LEFT(A432,FIND("&lt;",A432))&amp;"/"&amp;MID(A432,FIND("&lt;",A432)+1,FIND("&gt;",A432)),"")</f>
        <v/>
      </c>
    </row>
    <row r="433" spans="1:4">
      <c r="A433" s="17" t="s">
        <v>93</v>
      </c>
      <c r="B433" s="7" t="str">
        <f>IF(Form!B204&lt;&gt;"",Form!B204,"")</f>
        <v/>
      </c>
      <c r="C433" s="33" t="s">
        <v>124</v>
      </c>
      <c r="D433" t="str">
        <f>IF(B433&lt;&gt;"","    "&amp;"    "&amp;"    "&amp;LEFT(A433,FIND("&gt;",A433)-1)&amp;IF(B434&lt;&gt;""," "&amp;A434&amp;"="&amp;""""&amp;B434&amp;"""","")&amp;MID(A433,FIND("&gt;",A433),FIND("&gt;",A433))&amp;B433&amp;LEFT(A433,FIND("&lt;",A433))&amp;"/"&amp;MID(A433,FIND("&lt;",A433)+1,FIND("&gt;",A433)),"")</f>
        <v/>
      </c>
    </row>
    <row r="434" spans="1:4">
      <c r="A434" s="18" t="s">
        <v>68</v>
      </c>
      <c r="B434" s="6" t="str">
        <f>IF(Form!B204&lt;&gt;"","handle","")</f>
        <v/>
      </c>
      <c r="C434" s="33" t="s">
        <v>124</v>
      </c>
    </row>
    <row r="435" spans="1:4">
      <c r="A435" s="17" t="s">
        <v>123</v>
      </c>
      <c r="D435" t="str">
        <f>IF(B432&lt;&gt;"","    "&amp;"    "&amp;"    "&amp;LEFT(A435,FIND("&gt;",A435)-1)&amp;IF(B436&lt;&gt;""," "&amp;A436&amp;"="&amp;""""&amp;B436&amp;"""","")&amp;MID(A435,FIND("&gt;",A435),FIND("&gt;",A435))&amp;LEFT(A435,FIND("&lt;",A435))&amp;"/"&amp;MID(A435,FIND("&lt;",A435)+1,FIND("&gt;",A435)),IF(B433&lt;&gt;"","    "&amp;"    "&amp;"    "&amp;LEFT(A435,FIND("&gt;",A435)-1)&amp;IF(B436&lt;&gt;""," "&amp;A436&amp;"="&amp;""""&amp;B436&amp;"""","")&amp;MID(A435,FIND("&gt;",A435),FIND("&gt;",A435))&amp;LEFT(A435,FIND("&lt;",A435))&amp;"/"&amp;MID(A435,FIND("&lt;",A435)+1,FIND("&gt;",A435)),""))</f>
        <v/>
      </c>
    </row>
    <row r="436" spans="1:4">
      <c r="A436" s="18" t="s">
        <v>68</v>
      </c>
      <c r="B436" s="6" t="str">
        <f>IF(Form!B204&lt;&gt;"",IF(Form!B205="Has part","hasPart",IF(Form!B205="Is part of","isPartOf",IF(Form!B205="Has derived collection","hasDerivedCollection",IF(Form!B205="Is derived from","isDerivedFrom",IF(Form!B205="Has version","hasVersion",IF(Form!B205="Is version of","isVersionOf",IF(Form!B205="Associated","hasAssociationWith",""))))))),"")</f>
        <v/>
      </c>
      <c r="C436" s="33" t="s">
        <v>124</v>
      </c>
      <c r="D436" t="str">
        <f>IF(B432&lt;&gt;"","    "&amp;"    "&amp;LEFT(A430,FIND("&lt;",A430))&amp;"/"&amp;MID(A430,FIND("&lt;",A430)+1,FIND("&gt;",A430)),IF(B433&lt;&gt;"","    "&amp;"    "&amp;LEFT(A430,FIND("&lt;",A430))&amp;"/"&amp;MID(A430,FIND("&lt;",A430)+1,FIND("&gt;",A430)),""))</f>
        <v/>
      </c>
    </row>
    <row r="437" spans="1:4">
      <c r="A437" s="15" t="s">
        <v>120</v>
      </c>
      <c r="D437" t="str">
        <f>IF(B439&lt;&gt;"","    "&amp;"    "&amp;LEFT(A437,FIND("&gt;",A437)-1)&amp;IF(B438&lt;&gt;""," "&amp;A438&amp;"="&amp;""""&amp;B438&amp;"""","")&amp;MID(A437,FIND("&gt;",A437),FIND("&gt;",A437)),IF(B440&lt;&gt;"","    "&amp;"    "&amp;LEFT(A437,FIND("&gt;",A437)-1)&amp;IF(B438&lt;&gt;""," "&amp;A438&amp;"="&amp;""""&amp;B438&amp;"""","")&amp;MID(A437,FIND("&gt;",A437),FIND("&gt;",A437)),""))</f>
        <v/>
      </c>
    </row>
    <row r="438" spans="1:4">
      <c r="A438" s="16" t="s">
        <v>68</v>
      </c>
      <c r="B438" s="6" t="str">
        <f>IF(Form!B208&lt;&gt;"","collection","")</f>
        <v/>
      </c>
      <c r="C438" s="33" t="s">
        <v>124</v>
      </c>
    </row>
    <row r="439" spans="1:4">
      <c r="A439" s="17" t="s">
        <v>122</v>
      </c>
      <c r="B439" s="7" t="str">
        <f>IF(Form!B208&lt;&gt;"",IF(Form!B207&lt;&gt;"",Form!B207,""),"")</f>
        <v/>
      </c>
      <c r="C439" s="33" t="s">
        <v>124</v>
      </c>
      <c r="D439" t="str">
        <f>IF(B439&lt;&gt;"","    "&amp;"    "&amp;"    "&amp;A439&amp;B439&amp;LEFT(A439,FIND("&lt;",A439))&amp;"/"&amp;MID(A439,FIND("&lt;",A439)+1,FIND("&gt;",A439)),"")</f>
        <v/>
      </c>
    </row>
    <row r="440" spans="1:4">
      <c r="A440" s="17" t="s">
        <v>93</v>
      </c>
      <c r="B440" s="7" t="str">
        <f>IF(Form!B208&lt;&gt;"",Form!B208,"")</f>
        <v/>
      </c>
      <c r="C440" s="33" t="s">
        <v>124</v>
      </c>
      <c r="D440" t="str">
        <f>IF(B440&lt;&gt;"","    "&amp;"    "&amp;"    "&amp;LEFT(A440,FIND("&gt;",A440)-1)&amp;IF(B441&lt;&gt;""," "&amp;A441&amp;"="&amp;""""&amp;B441&amp;"""","")&amp;MID(A440,FIND("&gt;",A440),FIND("&gt;",A440))&amp;B440&amp;LEFT(A440,FIND("&lt;",A440))&amp;"/"&amp;MID(A440,FIND("&lt;",A440)+1,FIND("&gt;",A440)),"")</f>
        <v/>
      </c>
    </row>
    <row r="441" spans="1:4">
      <c r="A441" s="18" t="s">
        <v>68</v>
      </c>
      <c r="B441" s="6" t="str">
        <f>IF(Form!B208&lt;&gt;"","doi","")</f>
        <v/>
      </c>
      <c r="C441" s="33" t="s">
        <v>124</v>
      </c>
    </row>
    <row r="442" spans="1:4">
      <c r="A442" s="17" t="s">
        <v>123</v>
      </c>
      <c r="D442" t="str">
        <f>IF(B439&lt;&gt;"","    "&amp;"    "&amp;"    "&amp;LEFT(A442,FIND("&gt;",A442)-1)&amp;IF(B443&lt;&gt;""," "&amp;A443&amp;"="&amp;""""&amp;B443&amp;"""","")&amp;MID(A442,FIND("&gt;",A442),FIND("&gt;",A442))&amp;LEFT(A442,FIND("&lt;",A442))&amp;"/"&amp;MID(A442,FIND("&lt;",A442)+1,FIND("&gt;",A442)),IF(B440&lt;&gt;"","    "&amp;"    "&amp;"    "&amp;LEFT(A442,FIND("&gt;",A442)-1)&amp;IF(B443&lt;&gt;""," "&amp;A443&amp;"="&amp;""""&amp;B443&amp;"""","")&amp;MID(A442,FIND("&gt;",A442),FIND("&gt;",A442))&amp;LEFT(A442,FIND("&lt;",A442))&amp;"/"&amp;MID(A442,FIND("&lt;",A442)+1,FIND("&gt;",A442)),""))</f>
        <v/>
      </c>
    </row>
    <row r="443" spans="1:4">
      <c r="A443" s="18" t="s">
        <v>68</v>
      </c>
      <c r="B443" s="6" t="str">
        <f>IF(Form!B208&lt;&gt;"",IF(Form!B210="Has part","hasPart",IF(Form!B210="Is part of","isPartOf",IF(Form!B210="Has derived collection","hasDerivedCollection",IF(Form!B210="Is derived from","isDerivedFrom",IF(Form!B210="Has version","hasVersion",IF(Form!B210="Is version of","isVersionOf",IF(Form!B210="Associated","hasAssociationWith",""))))))),"")</f>
        <v/>
      </c>
      <c r="C443" s="33" t="s">
        <v>124</v>
      </c>
      <c r="D443" t="str">
        <f>IF(B439&lt;&gt;"","    "&amp;"    "&amp;LEFT(A437,FIND("&lt;",A437))&amp;"/"&amp;MID(A437,FIND("&lt;",A437)+1,FIND("&gt;",A437)),IF(B440&lt;&gt;"","    "&amp;"    "&amp;LEFT(A437,FIND("&lt;",A437))&amp;"/"&amp;MID(A437,FIND("&lt;",A437)+1,FIND("&gt;",A437)),""))</f>
        <v/>
      </c>
    </row>
    <row r="444" spans="1:4">
      <c r="A444" s="15" t="s">
        <v>120</v>
      </c>
      <c r="D444" t="str">
        <f>IF(B446&lt;&gt;"","    "&amp;"    "&amp;LEFT(A444,FIND("&gt;",A444)-1)&amp;IF(B445&lt;&gt;""," "&amp;A445&amp;"="&amp;""""&amp;B445&amp;"""","")&amp;MID(A444,FIND("&gt;",A444),FIND("&gt;",A444)),IF(B447&lt;&gt;"","    "&amp;"    "&amp;LEFT(A444,FIND("&gt;",A444)-1)&amp;IF(B445&lt;&gt;""," "&amp;A445&amp;"="&amp;""""&amp;B445&amp;"""","")&amp;MID(A444,FIND("&gt;",A444),FIND("&gt;",A444)),""))</f>
        <v/>
      </c>
    </row>
    <row r="445" spans="1:4">
      <c r="A445" s="16" t="s">
        <v>68</v>
      </c>
      <c r="B445" s="6" t="str">
        <f>IF(Form!B209&lt;&gt;"","collection","")</f>
        <v/>
      </c>
      <c r="C445" s="33" t="s">
        <v>124</v>
      </c>
    </row>
    <row r="446" spans="1:4">
      <c r="A446" s="17" t="s">
        <v>122</v>
      </c>
      <c r="B446" s="7" t="str">
        <f>IF(Form!B209&lt;&gt;"",IF(Form!B207&lt;&gt;"",Form!B207,""),"")</f>
        <v/>
      </c>
      <c r="C446" s="33" t="s">
        <v>124</v>
      </c>
      <c r="D446" t="str">
        <f>IF(B446&lt;&gt;"","    "&amp;"    "&amp;"    "&amp;A446&amp;B446&amp;LEFT(A446,FIND("&lt;",A446))&amp;"/"&amp;MID(A446,FIND("&lt;",A446)+1,FIND("&gt;",A446)),"")</f>
        <v/>
      </c>
    </row>
    <row r="447" spans="1:4">
      <c r="A447" s="17" t="s">
        <v>93</v>
      </c>
      <c r="B447" s="7" t="str">
        <f>IF(Form!B209&lt;&gt;"",Form!B209,"")</f>
        <v/>
      </c>
      <c r="C447" s="33" t="s">
        <v>124</v>
      </c>
      <c r="D447" t="str">
        <f>IF(B447&lt;&gt;"","    "&amp;"    "&amp;"    "&amp;LEFT(A447,FIND("&gt;",A447)-1)&amp;IF(B448&lt;&gt;""," "&amp;A448&amp;"="&amp;""""&amp;B448&amp;"""","")&amp;MID(A447,FIND("&gt;",A447),FIND("&gt;",A447))&amp;B447&amp;LEFT(A447,FIND("&lt;",A447))&amp;"/"&amp;MID(A447,FIND("&lt;",A447)+1,FIND("&gt;",A447)),"")</f>
        <v/>
      </c>
    </row>
    <row r="448" spans="1:4">
      <c r="A448" s="18" t="s">
        <v>68</v>
      </c>
      <c r="B448" s="6" t="str">
        <f>IF(Form!B209&lt;&gt;"","handle","")</f>
        <v/>
      </c>
      <c r="C448" s="33" t="s">
        <v>124</v>
      </c>
    </row>
    <row r="449" spans="1:4">
      <c r="A449" s="17" t="s">
        <v>123</v>
      </c>
      <c r="D449" t="str">
        <f>IF(B446&lt;&gt;"","    "&amp;"    "&amp;"    "&amp;LEFT(A449,FIND("&gt;",A449)-1)&amp;IF(B450&lt;&gt;""," "&amp;A450&amp;"="&amp;""""&amp;B450&amp;"""","")&amp;MID(A449,FIND("&gt;",A449),FIND("&gt;",A449))&amp;LEFT(A449,FIND("&lt;",A449))&amp;"/"&amp;MID(A449,FIND("&lt;",A449)+1,FIND("&gt;",A449)),IF(B447&lt;&gt;"","    "&amp;"    "&amp;"    "&amp;LEFT(A449,FIND("&gt;",A449)-1)&amp;IF(B450&lt;&gt;""," "&amp;A450&amp;"="&amp;""""&amp;B450&amp;"""","")&amp;MID(A449,FIND("&gt;",A449),FIND("&gt;",A449))&amp;LEFT(A449,FIND("&lt;",A449))&amp;"/"&amp;MID(A449,FIND("&lt;",A449)+1,FIND("&gt;",A449)),""))</f>
        <v/>
      </c>
    </row>
    <row r="450" spans="1:4">
      <c r="A450" s="18" t="s">
        <v>68</v>
      </c>
      <c r="B450" s="6" t="str">
        <f>IF(Form!B209&lt;&gt;"",IF(Form!B210="Has part","hasPart",IF(Form!B210="Is part of","isPartOf",IF(Form!B210="Has derived collection","hasDerivedCollection",IF(Form!B210="Is derived from","isDerivedFrom",IF(Form!B210="Has version","hasVersion",IF(Form!B210="Is version of","isVersionOf",IF(Form!B210="Associated","hasAssociationWith",""))))))),"")</f>
        <v/>
      </c>
      <c r="C450" s="33" t="s">
        <v>124</v>
      </c>
      <c r="D450" t="str">
        <f>IF(B446&lt;&gt;"","    "&amp;"    "&amp;LEFT(A444,FIND("&lt;",A444))&amp;"/"&amp;MID(A444,FIND("&lt;",A444)+1,FIND("&gt;",A444)),IF(B447&lt;&gt;"","    "&amp;"    "&amp;LEFT(A444,FIND("&lt;",A444))&amp;"/"&amp;MID(A444,FIND("&lt;",A444)+1,FIND("&gt;",A444)),""))</f>
        <v/>
      </c>
    </row>
    <row r="451" spans="1:4">
      <c r="A451" s="15" t="s">
        <v>120</v>
      </c>
      <c r="D451" t="str">
        <f>IF(B453&lt;&gt;"","    "&amp;"    "&amp;LEFT(A451,FIND("&gt;",A451)-1)&amp;IF(B452&lt;&gt;""," "&amp;A452&amp;"="&amp;""""&amp;B452&amp;"""","")&amp;MID(A451,FIND("&gt;",A451),FIND("&gt;",A451)),IF(B454&lt;&gt;"","    "&amp;"    "&amp;LEFT(A451,FIND("&gt;",A451)-1)&amp;IF(B452&lt;&gt;""," "&amp;A452&amp;"="&amp;""""&amp;B452&amp;"""","")&amp;MID(A451,FIND("&gt;",A451),FIND("&gt;",A451)),""))</f>
        <v xml:space="preserve">        &lt;relatedInfo type="publication"&gt;</v>
      </c>
    </row>
    <row r="452" spans="1:4">
      <c r="A452" s="16" t="s">
        <v>68</v>
      </c>
      <c r="B452" s="6" t="str">
        <f>IF(Form!B214&lt;&gt;"","publication","")</f>
        <v>publication</v>
      </c>
      <c r="C452" s="33" t="s">
        <v>125</v>
      </c>
    </row>
    <row r="453" spans="1:4" ht="15" customHeight="1">
      <c r="A453" s="17" t="s">
        <v>122</v>
      </c>
      <c r="B453" s="7" t="str">
        <f>IF(Form!B214&lt;&gt;"",IF(Form!B$213&lt;&gt;"",Form!B$213,""),"")</f>
        <v>Impact of elevated CO2 and heat stress on wheat pollen viability and grain production. (2021).</v>
      </c>
      <c r="C453" s="33" t="s">
        <v>125</v>
      </c>
      <c r="D453" t="str">
        <f>IF(B453&lt;&gt;"","    "&amp;"    "&amp;"    "&amp;A453&amp;B453&amp;LEFT(A453,FIND("&lt;",A453))&amp;"/"&amp;MID(A453,FIND("&lt;",A453)+1,FIND("&gt;",A453)),"")</f>
        <v xml:space="preserve">            &lt;title&gt;Impact of elevated CO2 and heat stress on wheat pollen viability and grain production. (2021).&lt;/title&gt;</v>
      </c>
    </row>
    <row r="454" spans="1:4">
      <c r="A454" s="17" t="s">
        <v>93</v>
      </c>
      <c r="B454" s="7" t="str">
        <f>IF(Form!B214&lt;&gt;"",Form!B214,"")</f>
        <v>https://doi.org/10.1071/FP20187</v>
      </c>
      <c r="C454" s="33" t="s">
        <v>125</v>
      </c>
      <c r="D454" t="str">
        <f>IF(B454&lt;&gt;"","    "&amp;"    "&amp;"    "&amp;LEFT(A454,FIND("&gt;",A454)-1)&amp;IF(B455&lt;&gt;""," "&amp;A455&amp;"="&amp;""""&amp;B455&amp;"""","")&amp;MID(A454,FIND("&gt;",A454),FIND("&gt;",A454))&amp;B454&amp;LEFT(A454,FIND("&lt;",A454))&amp;"/"&amp;MID(A454,FIND("&lt;",A454)+1,FIND("&gt;",A454)),"")</f>
        <v xml:space="preserve">            &lt;identifier type="doi"&gt;https://doi.org/10.1071/FP20187&lt;/identifier&gt;</v>
      </c>
    </row>
    <row r="455" spans="1:4">
      <c r="A455" s="18" t="s">
        <v>68</v>
      </c>
      <c r="B455" s="6" t="str">
        <f>IF(Form!B214&lt;&gt;"","doi","")</f>
        <v>doi</v>
      </c>
      <c r="C455" s="33" t="s">
        <v>125</v>
      </c>
    </row>
    <row r="456" spans="1:4">
      <c r="A456" s="17" t="s">
        <v>123</v>
      </c>
      <c r="D456" t="str">
        <f>IF(B453&lt;&gt;"","    "&amp;"    "&amp;"    "&amp;LEFT(A456,FIND("&gt;",A456)-1)&amp;IF(B457&lt;&gt;""," "&amp;A457&amp;"="&amp;""""&amp;B457&amp;"""","")&amp;MID(A456,FIND("&gt;",A456),FIND("&gt;",A456))&amp;LEFT(A456,FIND("&lt;",A456))&amp;"/"&amp;MID(A456,FIND("&lt;",A456)+1,FIND("&gt;",A456)),IF(B454&lt;&gt;"","    "&amp;"    "&amp;"    "&amp;LEFT(A456,FIND("&gt;",A456)-1)&amp;IF(B457&lt;&gt;""," "&amp;A457&amp;"="&amp;""""&amp;B457&amp;"""","")&amp;MID(A456,FIND("&gt;",A456),FIND("&gt;",A456))&amp;LEFT(A456,FIND("&lt;",A456))&amp;"/"&amp;MID(A456,FIND("&lt;",A456)+1,FIND("&gt;",A456)),""))</f>
        <v xml:space="preserve">            &lt;relation type="isSupportedBy"&gt;&lt;/relation&gt;</v>
      </c>
    </row>
    <row r="457" spans="1:4">
      <c r="A457" s="18" t="s">
        <v>68</v>
      </c>
      <c r="B457" s="6" t="str">
        <f>IF(Form!B214&lt;&gt;"",IF(Form!B$218="Is cited by","isCitedBy",IF(Form!B$218="Is referenced by","isReferencedBy",IF(Form!B$218="Is documented by","isDocumentedBy",IF(Form!B$218="Is supplemented by","isSupplementedBy",IF(Form!B$218="Is supplement to","isSupplementTo",IF(Form!B$218="Is reviewed by","isReviewedBy",IF(Form!B$218="Is supported by","isSupportedBy",""))))))),"")</f>
        <v>isSupportedBy</v>
      </c>
      <c r="C457" s="33" t="s">
        <v>125</v>
      </c>
      <c r="D457" t="str">
        <f>IF(B453&lt;&gt;"","    "&amp;"    "&amp;LEFT(A451,FIND("&lt;",A451))&amp;"/"&amp;MID(A451,FIND("&lt;",A451)+1,FIND("&gt;",A451)),IF(B454&lt;&gt;"","    "&amp;"    "&amp;LEFT(A451,FIND("&lt;",A451))&amp;"/"&amp;MID(A451,FIND("&lt;",A451)+1,FIND("&gt;",A451)),""))</f>
        <v xml:space="preserve">        &lt;/relatedInfo&gt;</v>
      </c>
    </row>
    <row r="458" spans="1:4">
      <c r="A458" s="15" t="s">
        <v>120</v>
      </c>
      <c r="D458" t="str">
        <f>IF(B460&lt;&gt;"","    "&amp;"    "&amp;LEFT(A458,FIND("&gt;",A458)-1)&amp;IF(B459&lt;&gt;""," "&amp;A459&amp;"="&amp;""""&amp;B459&amp;"""","")&amp;MID(A458,FIND("&gt;",A458),FIND("&gt;",A458)),IF(B461&lt;&gt;"","    "&amp;"    "&amp;LEFT(A458,FIND("&gt;",A458)-1)&amp;IF(B459&lt;&gt;""," "&amp;A459&amp;"="&amp;""""&amp;B459&amp;"""","")&amp;MID(A458,FIND("&gt;",A458),FIND("&gt;",A458)),""))</f>
        <v/>
      </c>
    </row>
    <row r="459" spans="1:4">
      <c r="A459" s="16" t="s">
        <v>68</v>
      </c>
      <c r="B459" s="6" t="str">
        <f>IF(Form!B215&lt;&gt;"","publication","")</f>
        <v/>
      </c>
      <c r="C459" s="33" t="s">
        <v>125</v>
      </c>
    </row>
    <row r="460" spans="1:4" ht="15" customHeight="1">
      <c r="A460" s="17" t="s">
        <v>122</v>
      </c>
      <c r="B460" s="7" t="str">
        <f>IF(Form!B215&lt;&gt;"",IF(Form!B$213&lt;&gt;"",Form!B$213,""),"")</f>
        <v/>
      </c>
      <c r="C460" s="33" t="s">
        <v>125</v>
      </c>
      <c r="D460" t="str">
        <f>IF(B460&lt;&gt;"","    "&amp;"    "&amp;"    "&amp;A460&amp;B460&amp;LEFT(A460,FIND("&lt;",A460))&amp;"/"&amp;MID(A460,FIND("&lt;",A460)+1,FIND("&gt;",A460)),"")</f>
        <v/>
      </c>
    </row>
    <row r="461" spans="1:4">
      <c r="A461" s="17" t="s">
        <v>93</v>
      </c>
      <c r="B461" s="7" t="str">
        <f>IF(Form!B215&lt;&gt;"",Form!B215,"")</f>
        <v/>
      </c>
      <c r="C461" s="33" t="s">
        <v>125</v>
      </c>
      <c r="D461" t="str">
        <f>IF(B461&lt;&gt;"","    "&amp;"    "&amp;"    "&amp;LEFT(A461,FIND("&gt;",A461)-1)&amp;IF(B462&lt;&gt;""," "&amp;A462&amp;"="&amp;""""&amp;B462&amp;"""","")&amp;MID(A461,FIND("&gt;",A461),FIND("&gt;",A461))&amp;B461&amp;LEFT(A461,FIND("&lt;",A461))&amp;"/"&amp;MID(A461,FIND("&lt;",A461)+1,FIND("&gt;",A461)),"")</f>
        <v/>
      </c>
    </row>
    <row r="462" spans="1:4">
      <c r="A462" s="18" t="s">
        <v>68</v>
      </c>
      <c r="B462" s="6" t="str">
        <f>IF(Form!B215&lt;&gt;"","handle","")</f>
        <v/>
      </c>
      <c r="C462" s="33" t="s">
        <v>125</v>
      </c>
    </row>
    <row r="463" spans="1:4">
      <c r="A463" s="17" t="s">
        <v>123</v>
      </c>
      <c r="D463" t="str">
        <f>IF(B460&lt;&gt;"","    "&amp;"    "&amp;"    "&amp;LEFT(A463,FIND("&gt;",A463)-1)&amp;IF(B464&lt;&gt;""," "&amp;A464&amp;"="&amp;""""&amp;B464&amp;"""","")&amp;MID(A463,FIND("&gt;",A463),FIND("&gt;",A463))&amp;LEFT(A463,FIND("&lt;",A463))&amp;"/"&amp;MID(A463,FIND("&lt;",A463)+1,FIND("&gt;",A463)),IF(B461&lt;&gt;"","    "&amp;"    "&amp;"    "&amp;LEFT(A463,FIND("&gt;",A463)-1)&amp;IF(B464&lt;&gt;""," "&amp;A464&amp;"="&amp;""""&amp;B464&amp;"""","")&amp;MID(A463,FIND("&gt;",A463),FIND("&gt;",A463))&amp;LEFT(A463,FIND("&lt;",A463))&amp;"/"&amp;MID(A463,FIND("&lt;",A463)+1,FIND("&gt;",A463)),""))</f>
        <v/>
      </c>
    </row>
    <row r="464" spans="1:4">
      <c r="A464" s="18" t="s">
        <v>68</v>
      </c>
      <c r="B464" s="6" t="str">
        <f>IF(Form!B215&lt;&gt;"",IF(Form!B$218="Is cited by","isCitedBy",IF(Form!B$218="Is referenced by","isReferencedBy",IF(Form!B$218="Is documented by","isDocumentedBy",IF(Form!B$218="Is supplemented by","isSupplementedBy",IF(Form!B$218="Is supplement to","isSupplementTo",IF(Form!B$218="Is reviewed by","isReviewedBy",IF(Form!B$218="Is supported by","isSupportedBy",""))))))),"")</f>
        <v/>
      </c>
      <c r="C464" s="33" t="s">
        <v>125</v>
      </c>
      <c r="D464" t="str">
        <f>IF(B460&lt;&gt;"","    "&amp;"    "&amp;LEFT(A458,FIND("&lt;",A458))&amp;"/"&amp;MID(A458,FIND("&lt;",A458)+1,FIND("&gt;",A458)),IF(B461&lt;&gt;"","    "&amp;"    "&amp;LEFT(A458,FIND("&lt;",A458))&amp;"/"&amp;MID(A458,FIND("&lt;",A458)+1,FIND("&gt;",A458)),""))</f>
        <v/>
      </c>
    </row>
    <row r="465" spans="1:4">
      <c r="A465" s="15" t="s">
        <v>120</v>
      </c>
      <c r="D465" t="str">
        <f>IF(B467&lt;&gt;"","    "&amp;"    "&amp;LEFT(A465,FIND("&gt;",A465)-1)&amp;IF(B466&lt;&gt;""," "&amp;A466&amp;"="&amp;""""&amp;B466&amp;"""","")&amp;MID(A465,FIND("&gt;",A465),FIND("&gt;",A465)),IF(B468&lt;&gt;"","    "&amp;"    "&amp;LEFT(A465,FIND("&gt;",A465)-1)&amp;IF(B466&lt;&gt;""," "&amp;A466&amp;"="&amp;""""&amp;B466&amp;"""","")&amp;MID(A465,FIND("&gt;",A465),FIND("&gt;",A465)),""))</f>
        <v/>
      </c>
    </row>
    <row r="466" spans="1:4">
      <c r="A466" s="16" t="s">
        <v>68</v>
      </c>
      <c r="B466" s="6" t="str">
        <f>IF(Form!B216&lt;&gt;"","publication","")</f>
        <v/>
      </c>
      <c r="C466" s="33" t="s">
        <v>125</v>
      </c>
    </row>
    <row r="467" spans="1:4" ht="15" customHeight="1">
      <c r="A467" s="17" t="s">
        <v>122</v>
      </c>
      <c r="B467" s="7" t="str">
        <f>IF(Form!B216&lt;&gt;"",IF(Form!B$213&lt;&gt;"",Form!B$213,""),"")</f>
        <v/>
      </c>
      <c r="C467" s="33" t="s">
        <v>125</v>
      </c>
      <c r="D467" t="str">
        <f>IF(B467&lt;&gt;"","    "&amp;"    "&amp;"    "&amp;A467&amp;B467&amp;LEFT(A467,FIND("&lt;",A467))&amp;"/"&amp;MID(A467,FIND("&lt;",A467)+1,FIND("&gt;",A467)),"")</f>
        <v/>
      </c>
    </row>
    <row r="468" spans="1:4">
      <c r="A468" s="17" t="s">
        <v>93</v>
      </c>
      <c r="B468" s="7" t="str">
        <f>IF(Form!B216&lt;&gt;"",Form!B216,"")</f>
        <v/>
      </c>
      <c r="C468" s="33" t="s">
        <v>125</v>
      </c>
      <c r="D468" t="str">
        <f>IF(B468&lt;&gt;"","    "&amp;"    "&amp;"    "&amp;LEFT(A468,FIND("&gt;",A468)-1)&amp;IF(B469&lt;&gt;""," "&amp;A469&amp;"="&amp;""""&amp;B469&amp;"""","")&amp;MID(A468,FIND("&gt;",A468),FIND("&gt;",A468))&amp;B468&amp;LEFT(A468,FIND("&lt;",A468))&amp;"/"&amp;MID(A468,FIND("&lt;",A468)+1,FIND("&gt;",A468)),"")</f>
        <v/>
      </c>
    </row>
    <row r="469" spans="1:4">
      <c r="A469" s="18" t="s">
        <v>68</v>
      </c>
      <c r="B469" s="6" t="str">
        <f>IF(Form!B216&lt;&gt;"","igsn","")</f>
        <v/>
      </c>
      <c r="C469" s="33" t="s">
        <v>125</v>
      </c>
    </row>
    <row r="470" spans="1:4">
      <c r="A470" s="17" t="s">
        <v>123</v>
      </c>
      <c r="D470" t="str">
        <f>IF(B467&lt;&gt;"","    "&amp;"    "&amp;"    "&amp;LEFT(A470,FIND("&gt;",A470)-1)&amp;IF(B471&lt;&gt;""," "&amp;A471&amp;"="&amp;""""&amp;B471&amp;"""","")&amp;MID(A470,FIND("&gt;",A470),FIND("&gt;",A470))&amp;LEFT(A470,FIND("&lt;",A470))&amp;"/"&amp;MID(A470,FIND("&lt;",A470)+1,FIND("&gt;",A470)),IF(B468&lt;&gt;"","    "&amp;"    "&amp;"    "&amp;LEFT(A470,FIND("&gt;",A470)-1)&amp;IF(B471&lt;&gt;""," "&amp;A471&amp;"="&amp;""""&amp;B471&amp;"""","")&amp;MID(A470,FIND("&gt;",A470),FIND("&gt;",A470))&amp;LEFT(A470,FIND("&lt;",A470))&amp;"/"&amp;MID(A470,FIND("&lt;",A470)+1,FIND("&gt;",A470)),""))</f>
        <v/>
      </c>
    </row>
    <row r="471" spans="1:4">
      <c r="A471" s="18" t="s">
        <v>68</v>
      </c>
      <c r="B471" s="6" t="str">
        <f>IF(Form!B216&lt;&gt;"",IF(Form!B$218="Is cited by","isCitedBy",IF(Form!B$218="Is referenced by","isReferencedBy",IF(Form!B$218="Is documented by","isDocumentedBy",IF(Form!B$218="Is supplemented by","isSupplementedBy",IF(Form!B$218="Is supplement to","isSupplementTo",IF(Form!B$218="Is reviewed by","isReviewedBy",IF(Form!B$218="Is supported by","isSupportedBy",""))))))),"")</f>
        <v/>
      </c>
      <c r="C471" s="33" t="s">
        <v>125</v>
      </c>
      <c r="D471" t="str">
        <f>IF(B467&lt;&gt;"","    "&amp;"    "&amp;LEFT(A465,FIND("&lt;",A465))&amp;"/"&amp;MID(A465,FIND("&lt;",A465)+1,FIND("&gt;",A465)),IF(B468&lt;&gt;"","    "&amp;"    "&amp;LEFT(A465,FIND("&lt;",A465))&amp;"/"&amp;MID(A465,FIND("&lt;",A465)+1,FIND("&gt;",A465)),""))</f>
        <v/>
      </c>
    </row>
    <row r="472" spans="1:4">
      <c r="A472" s="15" t="s">
        <v>120</v>
      </c>
      <c r="D472" t="str">
        <f>IF(B474&lt;&gt;"","    "&amp;"    "&amp;LEFT(A472,FIND("&gt;",A472)-1)&amp;IF(B473&lt;&gt;""," "&amp;A473&amp;"="&amp;""""&amp;B473&amp;"""","")&amp;MID(A472,FIND("&gt;",A472),FIND("&gt;",A472)),IF(B475&lt;&gt;"","    "&amp;"    "&amp;LEFT(A472,FIND("&gt;",A472)-1)&amp;IF(B473&lt;&gt;""," "&amp;A473&amp;"="&amp;""""&amp;B473&amp;"""","")&amp;MID(A472,FIND("&gt;",A472),FIND("&gt;",A472)),""))</f>
        <v/>
      </c>
    </row>
    <row r="473" spans="1:4">
      <c r="A473" s="16" t="s">
        <v>68</v>
      </c>
      <c r="B473" s="6" t="str">
        <f>IF(Form!B217&lt;&gt;"","publication","")</f>
        <v/>
      </c>
      <c r="C473" s="33" t="s">
        <v>125</v>
      </c>
    </row>
    <row r="474" spans="1:4" ht="15" customHeight="1">
      <c r="A474" s="17" t="s">
        <v>122</v>
      </c>
      <c r="B474" s="7" t="str">
        <f>IF(Form!B217&lt;&gt;"",IF(Form!B$213&lt;&gt;"",Form!B$213,""),"")</f>
        <v/>
      </c>
      <c r="C474" s="33" t="s">
        <v>125</v>
      </c>
      <c r="D474" t="str">
        <f>IF(B474&lt;&gt;"","    "&amp;"    "&amp;"    "&amp;A474&amp;B474&amp;LEFT(A474,FIND("&lt;",A474))&amp;"/"&amp;MID(A474,FIND("&lt;",A474)+1,FIND("&gt;",A474)),"")</f>
        <v/>
      </c>
    </row>
    <row r="475" spans="1:4">
      <c r="A475" s="17" t="s">
        <v>93</v>
      </c>
      <c r="B475" s="7" t="str">
        <f>IF(Form!B217&lt;&gt;"",Form!B217,"")</f>
        <v/>
      </c>
      <c r="C475" s="33" t="s">
        <v>125</v>
      </c>
      <c r="D475" t="str">
        <f>IF(B475&lt;&gt;"","    "&amp;"    "&amp;"    "&amp;LEFT(A475,FIND("&gt;",A475)-1)&amp;IF(B476&lt;&gt;""," "&amp;A476&amp;"="&amp;""""&amp;B476&amp;"""","")&amp;MID(A475,FIND("&gt;",A475),FIND("&gt;",A475))&amp;B475&amp;LEFT(A475,FIND("&lt;",A475))&amp;"/"&amp;MID(A475,FIND("&lt;",A475)+1,FIND("&gt;",A475)),"")</f>
        <v/>
      </c>
    </row>
    <row r="476" spans="1:4">
      <c r="A476" s="18" t="s">
        <v>68</v>
      </c>
      <c r="B476" s="6" t="str">
        <f>IF(Form!B217&lt;&gt;"","local","")</f>
        <v/>
      </c>
      <c r="C476" s="33" t="s">
        <v>125</v>
      </c>
    </row>
    <row r="477" spans="1:4">
      <c r="A477" s="17" t="s">
        <v>123</v>
      </c>
      <c r="D477" t="str">
        <f>IF(B474&lt;&gt;"","    "&amp;"    "&amp;"    "&amp;LEFT(A477,FIND("&gt;",A477)-1)&amp;IF(B478&lt;&gt;""," "&amp;A478&amp;"="&amp;""""&amp;B478&amp;"""","")&amp;MID(A477,FIND("&gt;",A477),FIND("&gt;",A477))&amp;LEFT(A477,FIND("&lt;",A477))&amp;"/"&amp;MID(A477,FIND("&lt;",A477)+1,FIND("&gt;",A477)),IF(B475&lt;&gt;"","    "&amp;"    "&amp;"    "&amp;LEFT(A477,FIND("&gt;",A477)-1)&amp;IF(B478&lt;&gt;""," "&amp;A478&amp;"="&amp;""""&amp;B478&amp;"""","")&amp;MID(A477,FIND("&gt;",A477),FIND("&gt;",A477))&amp;LEFT(A477,FIND("&lt;",A477))&amp;"/"&amp;MID(A477,FIND("&lt;",A477)+1,FIND("&gt;",A477)),""))</f>
        <v/>
      </c>
    </row>
    <row r="478" spans="1:4">
      <c r="A478" s="18" t="s">
        <v>68</v>
      </c>
      <c r="B478" s="6" t="str">
        <f>IF(Form!B217&lt;&gt;"",IF(Form!B$218="Is cited by","isCitedBy",IF(Form!B$218="Is referenced by","isReferencedBy",IF(Form!B$218="Is documented by","isDocumentedBy",IF(Form!B$218="Is supplemented by","isSupplementedBy",IF(Form!B$218="Is supplement to","isSupplementTo",IF(Form!B$218="Is reviewed by","isReviewedBy",IF(Form!B$218="Is supported by","isSupportedBy",""))))))),"")</f>
        <v/>
      </c>
      <c r="C478" s="33" t="s">
        <v>125</v>
      </c>
      <c r="D478" t="str">
        <f>IF(B474&lt;&gt;"","    "&amp;"    "&amp;LEFT(A472,FIND("&lt;",A472))&amp;"/"&amp;MID(A472,FIND("&lt;",A472)+1,FIND("&gt;",A472)),IF(B475&lt;&gt;"","    "&amp;"    "&amp;LEFT(A472,FIND("&lt;",A472))&amp;"/"&amp;MID(A472,FIND("&lt;",A472)+1,FIND("&gt;",A472)),""))</f>
        <v/>
      </c>
    </row>
    <row r="479" spans="1:4">
      <c r="A479" s="15" t="s">
        <v>120</v>
      </c>
      <c r="D479" t="str">
        <f>IF(B481&lt;&gt;"","    "&amp;"    "&amp;LEFT(A479,FIND("&gt;",A479)-1)&amp;IF(B480&lt;&gt;""," "&amp;A480&amp;"="&amp;""""&amp;B480&amp;"""","")&amp;MID(A479,FIND("&gt;",A479),FIND("&gt;",A479)),IF(B482&lt;&gt;"","    "&amp;"    "&amp;LEFT(A479,FIND("&gt;",A479)-1)&amp;IF(B480&lt;&gt;""," "&amp;A480&amp;"="&amp;""""&amp;B480&amp;"""","")&amp;MID(A479,FIND("&gt;",A479),FIND("&gt;",A479)),""))</f>
        <v xml:space="preserve">        &lt;relatedInfo type="publication"&gt;</v>
      </c>
    </row>
    <row r="480" spans="1:4">
      <c r="A480" s="16" t="s">
        <v>68</v>
      </c>
      <c r="B480" s="6" t="str">
        <f>IF(Form!B221&lt;&gt;"","publication","")</f>
        <v>publication</v>
      </c>
      <c r="C480" s="33" t="s">
        <v>125</v>
      </c>
    </row>
    <row r="481" spans="1:4" ht="15" customHeight="1">
      <c r="A481" s="17" t="s">
        <v>122</v>
      </c>
      <c r="B481" s="7" t="str">
        <f>IF(Form!B221&lt;&gt;"",IF(Form!B$220&lt;&gt;"",Form!B$220,""),"")</f>
        <v>Physiological traits for evaluating heat-tolerance of Australian spring wheat cultivars. (2021)</v>
      </c>
      <c r="C481" s="33" t="s">
        <v>125</v>
      </c>
      <c r="D481" t="str">
        <f>IF(B481&lt;&gt;"","    "&amp;"    "&amp;"    "&amp;A481&amp;B481&amp;LEFT(A481,FIND("&lt;",A481))&amp;"/"&amp;MID(A481,FIND("&lt;",A481)+1,FIND("&gt;",A481)),"")</f>
        <v xml:space="preserve">            &lt;title&gt;Physiological traits for evaluating heat-tolerance of Australian spring wheat cultivars. (2021)&lt;/title&gt;</v>
      </c>
    </row>
    <row r="482" spans="1:4">
      <c r="A482" s="17" t="s">
        <v>93</v>
      </c>
      <c r="B482" s="7" t="str">
        <f>IF(Form!B221&lt;&gt;"",Form!B221,"")</f>
        <v>https://doi.org/10.1111/jac.12584</v>
      </c>
      <c r="C482" s="33" t="s">
        <v>125</v>
      </c>
      <c r="D482" t="str">
        <f>IF(B482&lt;&gt;"","    "&amp;"    "&amp;"    "&amp;LEFT(A482,FIND("&gt;",A482)-1)&amp;IF(B483&lt;&gt;""," "&amp;A483&amp;"="&amp;""""&amp;B483&amp;"""","")&amp;MID(A482,FIND("&gt;",A482),FIND("&gt;",A482))&amp;B482&amp;LEFT(A482,FIND("&lt;",A482))&amp;"/"&amp;MID(A482,FIND("&lt;",A482)+1,FIND("&gt;",A482)),"")</f>
        <v xml:space="preserve">            &lt;identifier type="doi"&gt;https://doi.org/10.1111/jac.12584&lt;/identifier&gt;</v>
      </c>
    </row>
    <row r="483" spans="1:4">
      <c r="A483" s="18" t="s">
        <v>68</v>
      </c>
      <c r="B483" s="6" t="str">
        <f>IF(Form!B221&lt;&gt;"","doi","")</f>
        <v>doi</v>
      </c>
      <c r="C483" s="33" t="s">
        <v>125</v>
      </c>
    </row>
    <row r="484" spans="1:4">
      <c r="A484" s="17" t="s">
        <v>123</v>
      </c>
      <c r="D484" t="str">
        <f>IF(B481&lt;&gt;"","    "&amp;"    "&amp;"    "&amp;LEFT(A484,FIND("&gt;",A484)-1)&amp;IF(B485&lt;&gt;""," "&amp;A485&amp;"="&amp;""""&amp;B485&amp;"""","")&amp;MID(A484,FIND("&gt;",A484),FIND("&gt;",A484))&amp;LEFT(A484,FIND("&lt;",A484))&amp;"/"&amp;MID(A484,FIND("&lt;",A484)+1,FIND("&gt;",A484)),IF(B482&lt;&gt;"","    "&amp;"    "&amp;"    "&amp;LEFT(A484,FIND("&gt;",A484)-1)&amp;IF(B485&lt;&gt;""," "&amp;A485&amp;"="&amp;""""&amp;B485&amp;"""","")&amp;MID(A484,FIND("&gt;",A484),FIND("&gt;",A484))&amp;LEFT(A484,FIND("&lt;",A484))&amp;"/"&amp;MID(A484,FIND("&lt;",A484)+1,FIND("&gt;",A484)),""))</f>
        <v xml:space="preserve">            &lt;relation type="isSupplementedBy"&gt;&lt;/relation&gt;</v>
      </c>
    </row>
    <row r="485" spans="1:4">
      <c r="A485" s="18" t="s">
        <v>68</v>
      </c>
      <c r="B485" s="6" t="str">
        <f>IF(Form!B221&lt;&gt;"",IF(Form!B$225="Is cited by","isCitedBy",IF(Form!B$225="Is referenced by","isReferencedBy",IF(Form!B$225="Is documented by","isDocumentedBy",IF(Form!B$225="Is supplemented by","isSupplementedBy",IF(Form!B$225="Is supplement to","isSupplementTo",IF(Form!B$225="Is reviewed by","isReviewedBy",IF(Form!B$225="Is supported by","isSupportedBy",""))))))),"")</f>
        <v>isSupplementedBy</v>
      </c>
      <c r="C485" s="33" t="s">
        <v>125</v>
      </c>
      <c r="D485" t="str">
        <f>IF(B481&lt;&gt;"","    "&amp;"    "&amp;LEFT(A479,FIND("&lt;",A479))&amp;"/"&amp;MID(A479,FIND("&lt;",A479)+1,FIND("&gt;",A479)),IF(B482&lt;&gt;"","    "&amp;"    "&amp;LEFT(A479,FIND("&lt;",A479))&amp;"/"&amp;MID(A479,FIND("&lt;",A479)+1,FIND("&gt;",A479)),""))</f>
        <v xml:space="preserve">        &lt;/relatedInfo&gt;</v>
      </c>
    </row>
    <row r="486" spans="1:4">
      <c r="A486" s="15" t="s">
        <v>120</v>
      </c>
      <c r="D486" t="str">
        <f>IF(B488&lt;&gt;"","    "&amp;"    "&amp;LEFT(A486,FIND("&gt;",A486)-1)&amp;IF(B487&lt;&gt;""," "&amp;A487&amp;"="&amp;""""&amp;B487&amp;"""","")&amp;MID(A486,FIND("&gt;",A486),FIND("&gt;",A486)),IF(B489&lt;&gt;"","    "&amp;"    "&amp;LEFT(A486,FIND("&gt;",A486)-1)&amp;IF(B487&lt;&gt;""," "&amp;A487&amp;"="&amp;""""&amp;B487&amp;"""","")&amp;MID(A486,FIND("&gt;",A486),FIND("&gt;",A486)),""))</f>
        <v/>
      </c>
    </row>
    <row r="487" spans="1:4">
      <c r="A487" s="16" t="s">
        <v>68</v>
      </c>
      <c r="B487" s="6" t="str">
        <f>IF(Form!B222&lt;&gt;"","publication","")</f>
        <v/>
      </c>
      <c r="C487" s="33" t="s">
        <v>125</v>
      </c>
    </row>
    <row r="488" spans="1:4" ht="15" customHeight="1">
      <c r="A488" s="17" t="s">
        <v>122</v>
      </c>
      <c r="B488" s="7" t="str">
        <f>IF(Form!B222&lt;&gt;"",IF(Form!B$220&lt;&gt;"",Form!B$220,""),"")</f>
        <v/>
      </c>
      <c r="C488" s="33" t="s">
        <v>125</v>
      </c>
      <c r="D488" t="str">
        <f>IF(B488&lt;&gt;"","    "&amp;"    "&amp;"    "&amp;A488&amp;B488&amp;LEFT(A488,FIND("&lt;",A488))&amp;"/"&amp;MID(A488,FIND("&lt;",A488)+1,FIND("&gt;",A488)),"")</f>
        <v/>
      </c>
    </row>
    <row r="489" spans="1:4">
      <c r="A489" s="17" t="s">
        <v>93</v>
      </c>
      <c r="B489" s="7" t="str">
        <f>IF(Form!B222&lt;&gt;"",Form!B222,"")</f>
        <v/>
      </c>
      <c r="C489" s="33" t="s">
        <v>125</v>
      </c>
      <c r="D489" t="str">
        <f>IF(B489&lt;&gt;"","    "&amp;"    "&amp;"    "&amp;LEFT(A489,FIND("&gt;",A489)-1)&amp;IF(B490&lt;&gt;""," "&amp;A490&amp;"="&amp;""""&amp;B490&amp;"""","")&amp;MID(A489,FIND("&gt;",A489),FIND("&gt;",A489))&amp;B489&amp;LEFT(A489,FIND("&lt;",A489))&amp;"/"&amp;MID(A489,FIND("&lt;",A489)+1,FIND("&gt;",A489)),"")</f>
        <v/>
      </c>
    </row>
    <row r="490" spans="1:4">
      <c r="A490" s="18" t="s">
        <v>68</v>
      </c>
      <c r="B490" s="6" t="str">
        <f>IF(Form!B222&lt;&gt;"","handle","")</f>
        <v/>
      </c>
      <c r="C490" s="33" t="s">
        <v>125</v>
      </c>
    </row>
    <row r="491" spans="1:4">
      <c r="A491" s="17" t="s">
        <v>123</v>
      </c>
      <c r="D491" t="str">
        <f>IF(B488&lt;&gt;"","    "&amp;"    "&amp;"    "&amp;LEFT(A491,FIND("&gt;",A491)-1)&amp;IF(B492&lt;&gt;""," "&amp;A492&amp;"="&amp;""""&amp;B492&amp;"""","")&amp;MID(A491,FIND("&gt;",A491),FIND("&gt;",A491))&amp;LEFT(A491,FIND("&lt;",A491))&amp;"/"&amp;MID(A491,FIND("&lt;",A491)+1,FIND("&gt;",A491)),IF(B489&lt;&gt;"","    "&amp;"    "&amp;"    "&amp;LEFT(A491,FIND("&gt;",A491)-1)&amp;IF(B492&lt;&gt;""," "&amp;A492&amp;"="&amp;""""&amp;B492&amp;"""","")&amp;MID(A491,FIND("&gt;",A491),FIND("&gt;",A491))&amp;LEFT(A491,FIND("&lt;",A491))&amp;"/"&amp;MID(A491,FIND("&lt;",A491)+1,FIND("&gt;",A491)),""))</f>
        <v/>
      </c>
    </row>
    <row r="492" spans="1:4">
      <c r="A492" s="18" t="s">
        <v>68</v>
      </c>
      <c r="B492" s="6" t="str">
        <f>IF(Form!B222&lt;&gt;"",IF(Form!B$225="Is cited by","isCitedBy",IF(Form!B$225="Is referenced by","isReferencedBy",IF(Form!B$225="Is documented by","isDocumentedBy",IF(Form!B$225="Is supplemented by","isSupplementedBy",IF(Form!B$225="Is supplement to","isSupplementTo",IF(Form!B$225="Is reviewed by","isReviewedBy",IF(Form!B$225="Is supported by","isSupportedBy",""))))))),"")</f>
        <v/>
      </c>
      <c r="C492" s="33" t="s">
        <v>125</v>
      </c>
      <c r="D492" t="str">
        <f>IF(B488&lt;&gt;"","    "&amp;"    "&amp;LEFT(A486,FIND("&lt;",A486))&amp;"/"&amp;MID(A486,FIND("&lt;",A486)+1,FIND("&gt;",A486)),IF(B489&lt;&gt;"","    "&amp;"    "&amp;LEFT(A486,FIND("&lt;",A486))&amp;"/"&amp;MID(A486,FIND("&lt;",A486)+1,FIND("&gt;",A486)),""))</f>
        <v/>
      </c>
    </row>
    <row r="493" spans="1:4">
      <c r="A493" s="15" t="s">
        <v>120</v>
      </c>
      <c r="D493" t="str">
        <f>IF(B495&lt;&gt;"","    "&amp;"    "&amp;LEFT(A493,FIND("&gt;",A493)-1)&amp;IF(B494&lt;&gt;""," "&amp;A494&amp;"="&amp;""""&amp;B494&amp;"""","")&amp;MID(A493,FIND("&gt;",A493),FIND("&gt;",A493)),IF(B496&lt;&gt;"","    "&amp;"    "&amp;LEFT(A493,FIND("&gt;",A493)-1)&amp;IF(B494&lt;&gt;""," "&amp;A494&amp;"="&amp;""""&amp;B494&amp;"""","")&amp;MID(A493,FIND("&gt;",A493),FIND("&gt;",A493)),""))</f>
        <v/>
      </c>
    </row>
    <row r="494" spans="1:4">
      <c r="A494" s="16" t="s">
        <v>68</v>
      </c>
      <c r="B494" s="6" t="str">
        <f>IF(Form!B223&lt;&gt;"","publication","")</f>
        <v/>
      </c>
      <c r="C494" s="33" t="s">
        <v>125</v>
      </c>
    </row>
    <row r="495" spans="1:4" ht="15" customHeight="1">
      <c r="A495" s="17" t="s">
        <v>122</v>
      </c>
      <c r="B495" s="7" t="str">
        <f>IF(Form!B223&lt;&gt;"",IF(Form!B$220&lt;&gt;"",Form!B$220,""),"")</f>
        <v/>
      </c>
      <c r="C495" s="33" t="s">
        <v>125</v>
      </c>
      <c r="D495" t="str">
        <f>IF(B495&lt;&gt;"","    "&amp;"    "&amp;"    "&amp;A495&amp;B495&amp;LEFT(A495,FIND("&lt;",A495))&amp;"/"&amp;MID(A495,FIND("&lt;",A495)+1,FIND("&gt;",A495)),"")</f>
        <v/>
      </c>
    </row>
    <row r="496" spans="1:4">
      <c r="A496" s="17" t="s">
        <v>93</v>
      </c>
      <c r="B496" s="7" t="str">
        <f>IF(Form!B223&lt;&gt;"",Form!B223,"")</f>
        <v/>
      </c>
      <c r="C496" s="33" t="s">
        <v>125</v>
      </c>
      <c r="D496" t="str">
        <f>IF(B496&lt;&gt;"","    "&amp;"    "&amp;"    "&amp;LEFT(A496,FIND("&gt;",A496)-1)&amp;IF(B497&lt;&gt;""," "&amp;A497&amp;"="&amp;""""&amp;B497&amp;"""","")&amp;MID(A496,FIND("&gt;",A496),FIND("&gt;",A496))&amp;B496&amp;LEFT(A496,FIND("&lt;",A496))&amp;"/"&amp;MID(A496,FIND("&lt;",A496)+1,FIND("&gt;",A496)),"")</f>
        <v/>
      </c>
    </row>
    <row r="497" spans="1:4">
      <c r="A497" s="18" t="s">
        <v>68</v>
      </c>
      <c r="B497" s="6" t="str">
        <f>IF(Form!B223&lt;&gt;"","igsn","")</f>
        <v/>
      </c>
      <c r="C497" s="33" t="s">
        <v>125</v>
      </c>
    </row>
    <row r="498" spans="1:4">
      <c r="A498" s="17" t="s">
        <v>123</v>
      </c>
      <c r="D498" t="str">
        <f>IF(B495&lt;&gt;"","    "&amp;"    "&amp;"    "&amp;LEFT(A498,FIND("&gt;",A498)-1)&amp;IF(B499&lt;&gt;""," "&amp;A499&amp;"="&amp;""""&amp;B499&amp;"""","")&amp;MID(A498,FIND("&gt;",A498),FIND("&gt;",A498))&amp;LEFT(A498,FIND("&lt;",A498))&amp;"/"&amp;MID(A498,FIND("&lt;",A498)+1,FIND("&gt;",A498)),IF(B496&lt;&gt;"","    "&amp;"    "&amp;"    "&amp;LEFT(A498,FIND("&gt;",A498)-1)&amp;IF(B499&lt;&gt;""," "&amp;A499&amp;"="&amp;""""&amp;B499&amp;"""","")&amp;MID(A498,FIND("&gt;",A498),FIND("&gt;",A498))&amp;LEFT(A498,FIND("&lt;",A498))&amp;"/"&amp;MID(A498,FIND("&lt;",A498)+1,FIND("&gt;",A498)),""))</f>
        <v/>
      </c>
    </row>
    <row r="499" spans="1:4">
      <c r="A499" s="18" t="s">
        <v>68</v>
      </c>
      <c r="B499" s="6" t="str">
        <f>IF(Form!B223&lt;&gt;"",IF(Form!B$225="Is cited by","isCitedBy",IF(Form!B$225="Is referenced by","isReferencedBy",IF(Form!B$225="Is documented by","isDocumentedBy",IF(Form!B$225="Is supplemented by","isSupplementedBy",IF(Form!B$225="Is supplement to","isSupplementTo",IF(Form!B$225="Is reviewed by","isReviewedBy",IF(Form!B$225="Is supported by","isSupportedBy",""))))))),"")</f>
        <v/>
      </c>
      <c r="C499" s="33" t="s">
        <v>125</v>
      </c>
      <c r="D499" t="str">
        <f>IF(B495&lt;&gt;"","    "&amp;"    "&amp;LEFT(A493,FIND("&lt;",A493))&amp;"/"&amp;MID(A493,FIND("&lt;",A493)+1,FIND("&gt;",A493)),IF(B496&lt;&gt;"","    "&amp;"    "&amp;LEFT(A493,FIND("&lt;",A493))&amp;"/"&amp;MID(A493,FIND("&lt;",A493)+1,FIND("&gt;",A493)),""))</f>
        <v/>
      </c>
    </row>
    <row r="500" spans="1:4">
      <c r="A500" s="15" t="s">
        <v>120</v>
      </c>
      <c r="D500" t="str">
        <f>IF(B502&lt;&gt;"","    "&amp;"    "&amp;LEFT(A500,FIND("&gt;",A500)-1)&amp;IF(B501&lt;&gt;""," "&amp;A501&amp;"="&amp;""""&amp;B501&amp;"""","")&amp;MID(A500,FIND("&gt;",A500),FIND("&gt;",A500)),IF(B503&lt;&gt;"","    "&amp;"    "&amp;LEFT(A500,FIND("&gt;",A500)-1)&amp;IF(B501&lt;&gt;""," "&amp;A501&amp;"="&amp;""""&amp;B501&amp;"""","")&amp;MID(A500,FIND("&gt;",A500),FIND("&gt;",A500)),""))</f>
        <v/>
      </c>
    </row>
    <row r="501" spans="1:4">
      <c r="A501" s="16" t="s">
        <v>68</v>
      </c>
      <c r="B501" s="6" t="str">
        <f>IF(Form!B224&lt;&gt;"","publication","")</f>
        <v/>
      </c>
      <c r="C501" s="33" t="s">
        <v>125</v>
      </c>
    </row>
    <row r="502" spans="1:4" ht="15" customHeight="1">
      <c r="A502" s="17" t="s">
        <v>122</v>
      </c>
      <c r="B502" s="7" t="str">
        <f>IF(Form!B224&lt;&gt;"",IF(Form!B$220&lt;&gt;"",Form!B$220,""),"")</f>
        <v/>
      </c>
      <c r="C502" s="33" t="s">
        <v>125</v>
      </c>
      <c r="D502" t="str">
        <f>IF(B502&lt;&gt;"","    "&amp;"    "&amp;"    "&amp;A502&amp;B502&amp;LEFT(A502,FIND("&lt;",A502))&amp;"/"&amp;MID(A502,FIND("&lt;",A502)+1,FIND("&gt;",A502)),"")</f>
        <v/>
      </c>
    </row>
    <row r="503" spans="1:4">
      <c r="A503" s="17" t="s">
        <v>93</v>
      </c>
      <c r="B503" s="7" t="str">
        <f>IF(Form!B224&lt;&gt;"",Form!B224,"")</f>
        <v/>
      </c>
      <c r="C503" s="33" t="s">
        <v>125</v>
      </c>
      <c r="D503" t="str">
        <f>IF(B503&lt;&gt;"","    "&amp;"    "&amp;"    "&amp;LEFT(A503,FIND("&gt;",A503)-1)&amp;IF(B504&lt;&gt;""," "&amp;A504&amp;"="&amp;""""&amp;B504&amp;"""","")&amp;MID(A503,FIND("&gt;",A503),FIND("&gt;",A503))&amp;B503&amp;LEFT(A503,FIND("&lt;",A503))&amp;"/"&amp;MID(A503,FIND("&lt;",A503)+1,FIND("&gt;",A503)),"")</f>
        <v/>
      </c>
    </row>
    <row r="504" spans="1:4">
      <c r="A504" s="18" t="s">
        <v>68</v>
      </c>
      <c r="B504" s="6" t="str">
        <f>IF(Form!B224&lt;&gt;"","local","")</f>
        <v/>
      </c>
      <c r="C504" s="33" t="s">
        <v>125</v>
      </c>
    </row>
    <row r="505" spans="1:4">
      <c r="A505" s="17" t="s">
        <v>123</v>
      </c>
      <c r="D505" t="str">
        <f>IF(B502&lt;&gt;"","    "&amp;"    "&amp;"    "&amp;LEFT(A505,FIND("&gt;",A505)-1)&amp;IF(B506&lt;&gt;""," "&amp;A506&amp;"="&amp;""""&amp;B506&amp;"""","")&amp;MID(A505,FIND("&gt;",A505),FIND("&gt;",A505))&amp;LEFT(A505,FIND("&lt;",A505))&amp;"/"&amp;MID(A505,FIND("&lt;",A505)+1,FIND("&gt;",A505)),IF(B503&lt;&gt;"","    "&amp;"    "&amp;"    "&amp;LEFT(A505,FIND("&gt;",A505)-1)&amp;IF(B506&lt;&gt;""," "&amp;A506&amp;"="&amp;""""&amp;B506&amp;"""","")&amp;MID(A505,FIND("&gt;",A505),FIND("&gt;",A505))&amp;LEFT(A505,FIND("&lt;",A505))&amp;"/"&amp;MID(A505,FIND("&lt;",A505)+1,FIND("&gt;",A505)),""))</f>
        <v/>
      </c>
    </row>
    <row r="506" spans="1:4">
      <c r="A506" s="18" t="s">
        <v>68</v>
      </c>
      <c r="B506" s="6" t="str">
        <f>IF(Form!B224&lt;&gt;"",IF(Form!B$225="Is cited by","isCitedBy",IF(Form!B$225="Is referenced by","isReferencedBy",IF(Form!B$225="Is documented by","isDocumentedBy",IF(Form!B$225="Is supplemented by","isSupplementedBy",IF(Form!B$225="Is supplement to","isSupplementTo",IF(Form!B$225="Is reviewed by","isReviewedBy",IF(Form!B$225="Is supported by","isSupportedBy",""))))))),"")</f>
        <v/>
      </c>
      <c r="C506" s="33" t="s">
        <v>125</v>
      </c>
      <c r="D506" t="str">
        <f>IF(B502&lt;&gt;"","    "&amp;"    "&amp;LEFT(A500,FIND("&lt;",A500))&amp;"/"&amp;MID(A500,FIND("&lt;",A500)+1,FIND("&gt;",A500)),IF(B503&lt;&gt;"","    "&amp;"    "&amp;LEFT(A500,FIND("&lt;",A500))&amp;"/"&amp;MID(A500,FIND("&lt;",A500)+1,FIND("&gt;",A500)),""))</f>
        <v/>
      </c>
    </row>
    <row r="507" spans="1:4">
      <c r="A507" s="15" t="s">
        <v>120</v>
      </c>
      <c r="D507" t="str">
        <f>IF(B509&lt;&gt;"","    "&amp;"    "&amp;LEFT(A507,FIND("&gt;",A507)-1)&amp;IF(B508&lt;&gt;""," "&amp;A508&amp;"="&amp;""""&amp;B508&amp;"""","")&amp;MID(A507,FIND("&gt;",A507),FIND("&gt;",A507)),IF(B510&lt;&gt;"","    "&amp;"    "&amp;LEFT(A507,FIND("&gt;",A507)-1)&amp;IF(B508&lt;&gt;""," "&amp;A508&amp;"="&amp;""""&amp;B508&amp;"""","")&amp;MID(A507,FIND("&gt;",A507),FIND("&gt;",A507)),""))</f>
        <v xml:space="preserve">        &lt;relatedInfo type="publication"&gt;</v>
      </c>
    </row>
    <row r="508" spans="1:4">
      <c r="A508" s="16" t="s">
        <v>68</v>
      </c>
      <c r="B508" s="6" t="str">
        <f>IF(Form!B228&lt;&gt;"","publication","")</f>
        <v>publication</v>
      </c>
      <c r="C508" s="33" t="s">
        <v>125</v>
      </c>
    </row>
    <row r="509" spans="1:4" ht="15" customHeight="1">
      <c r="A509" s="17" t="s">
        <v>122</v>
      </c>
      <c r="B509" s="7" t="str">
        <f>IF(Form!B228&lt;&gt;"",IF(Form!B$227&lt;&gt;"",Form!B$227,""),"")</f>
        <v>Improving selection efficiency of crop breeding with a genomic prediction aided partial phenotyping strategy.</v>
      </c>
      <c r="C509" s="33" t="s">
        <v>125</v>
      </c>
      <c r="D509" t="str">
        <f>IF(B509&lt;&gt;"","    "&amp;"    "&amp;"    "&amp;A509&amp;B509&amp;LEFT(A509,FIND("&lt;",A509))&amp;"/"&amp;MID(A509,FIND("&lt;",A509)+1,FIND("&gt;",A509)),"")</f>
        <v xml:space="preserve">            &lt;title&gt;Improving selection efficiency of crop breeding with a genomic prediction aided partial phenotyping strategy.&lt;/title&gt;</v>
      </c>
    </row>
    <row r="510" spans="1:4">
      <c r="A510" s="17" t="s">
        <v>93</v>
      </c>
      <c r="B510" s="7" t="str">
        <f>IF(Form!B228&lt;&gt;"",Form!B228,"")</f>
        <v>https://doi.org/10.3389/fpls.2021.735285</v>
      </c>
      <c r="C510" s="33" t="s">
        <v>125</v>
      </c>
      <c r="D510" t="str">
        <f>IF(B510&lt;&gt;"","    "&amp;"    "&amp;"    "&amp;LEFT(A510,FIND("&gt;",A510)-1)&amp;IF(B511&lt;&gt;""," "&amp;A511&amp;"="&amp;""""&amp;B511&amp;"""","")&amp;MID(A510,FIND("&gt;",A510),FIND("&gt;",A510))&amp;B510&amp;LEFT(A510,FIND("&lt;",A510))&amp;"/"&amp;MID(A510,FIND("&lt;",A510)+1,FIND("&gt;",A510)),"")</f>
        <v xml:space="preserve">            &lt;identifier type="doi"&gt;https://doi.org/10.3389/fpls.2021.735285&lt;/identifier&gt;</v>
      </c>
    </row>
    <row r="511" spans="1:4">
      <c r="A511" s="18" t="s">
        <v>68</v>
      </c>
      <c r="B511" s="6" t="str">
        <f>IF(Form!B228&lt;&gt;"","doi","")</f>
        <v>doi</v>
      </c>
      <c r="C511" s="33" t="s">
        <v>125</v>
      </c>
    </row>
    <row r="512" spans="1:4">
      <c r="A512" s="17" t="s">
        <v>123</v>
      </c>
      <c r="D512" t="str">
        <f>IF(B509&lt;&gt;"","    "&amp;"    "&amp;"    "&amp;LEFT(A512,FIND("&gt;",A512)-1)&amp;IF(B513&lt;&gt;""," "&amp;A513&amp;"="&amp;""""&amp;B513&amp;"""","")&amp;MID(A512,FIND("&gt;",A512),FIND("&gt;",A512))&amp;LEFT(A512,FIND("&lt;",A512))&amp;"/"&amp;MID(A512,FIND("&lt;",A512)+1,FIND("&gt;",A512)),IF(B510&lt;&gt;"","    "&amp;"    "&amp;"    "&amp;LEFT(A512,FIND("&gt;",A512)-1)&amp;IF(B513&lt;&gt;""," "&amp;A513&amp;"="&amp;""""&amp;B513&amp;"""","")&amp;MID(A512,FIND("&gt;",A512),FIND("&gt;",A512))&amp;LEFT(A512,FIND("&lt;",A512))&amp;"/"&amp;MID(A512,FIND("&lt;",A512)+1,FIND("&gt;",A512)),""))</f>
        <v xml:space="preserve">            &lt;relation type="isCitedBy"&gt;&lt;/relation&gt;</v>
      </c>
    </row>
    <row r="513" spans="1:4">
      <c r="A513" s="18" t="s">
        <v>68</v>
      </c>
      <c r="B513" s="6" t="str">
        <f>IF(Form!B228&lt;&gt;"",IF(Form!B$232="Is cited by","isCitedBy",IF(Form!B$232="Is referenced by","isReferencedBy",IF(Form!B$232="Is documented by","isDocumentedBy",IF(Form!B$232="Is supplemented by","isSupplementedBy",IF(Form!B$232="Is supplement to","isSupplementTo",IF(Form!B$232="Is reviewed by","isReviewedBy",IF(Form!B$232="Is supported by","isSupportedBy",""))))))),"")</f>
        <v>isCitedBy</v>
      </c>
      <c r="C513" s="33" t="s">
        <v>125</v>
      </c>
      <c r="D513" t="str">
        <f>IF(B509&lt;&gt;"","    "&amp;"    "&amp;LEFT(A507,FIND("&lt;",A507))&amp;"/"&amp;MID(A507,FIND("&lt;",A507)+1,FIND("&gt;",A507)),IF(B510&lt;&gt;"","    "&amp;"    "&amp;LEFT(A507,FIND("&lt;",A507))&amp;"/"&amp;MID(A507,FIND("&lt;",A507)+1,FIND("&gt;",A507)),""))</f>
        <v xml:space="preserve">        &lt;/relatedInfo&gt;</v>
      </c>
    </row>
    <row r="514" spans="1:4">
      <c r="A514" s="15" t="s">
        <v>120</v>
      </c>
      <c r="D514" t="str">
        <f>IF(B516&lt;&gt;"","    "&amp;"    "&amp;LEFT(A514,FIND("&gt;",A514)-1)&amp;IF(B515&lt;&gt;""," "&amp;A515&amp;"="&amp;""""&amp;B515&amp;"""","")&amp;MID(A514,FIND("&gt;",A514),FIND("&gt;",A514)),IF(B517&lt;&gt;"","    "&amp;"    "&amp;LEFT(A514,FIND("&gt;",A514)-1)&amp;IF(B515&lt;&gt;""," "&amp;A515&amp;"="&amp;""""&amp;B515&amp;"""","")&amp;MID(A514,FIND("&gt;",A514),FIND("&gt;",A514)),""))</f>
        <v/>
      </c>
    </row>
    <row r="515" spans="1:4">
      <c r="A515" s="16" t="s">
        <v>68</v>
      </c>
      <c r="B515" s="6" t="str">
        <f>IF(Form!B229&lt;&gt;"","publication","")</f>
        <v/>
      </c>
      <c r="C515" s="33" t="s">
        <v>125</v>
      </c>
    </row>
    <row r="516" spans="1:4" ht="15" customHeight="1">
      <c r="A516" s="17" t="s">
        <v>122</v>
      </c>
      <c r="B516" s="7" t="str">
        <f>IF(Form!B229&lt;&gt;"",IF(Form!B$227&lt;&gt;"",Form!B$227,""),"")</f>
        <v/>
      </c>
      <c r="C516" s="33" t="s">
        <v>125</v>
      </c>
      <c r="D516" t="str">
        <f>IF(B516&lt;&gt;"","    "&amp;"    "&amp;"    "&amp;A516&amp;B516&amp;LEFT(A516,FIND("&lt;",A516))&amp;"/"&amp;MID(A516,FIND("&lt;",A516)+1,FIND("&gt;",A516)),"")</f>
        <v/>
      </c>
    </row>
    <row r="517" spans="1:4">
      <c r="A517" s="17" t="s">
        <v>93</v>
      </c>
      <c r="B517" s="7" t="str">
        <f>IF(Form!B229&lt;&gt;"",Form!B229,"")</f>
        <v/>
      </c>
      <c r="C517" s="33" t="s">
        <v>125</v>
      </c>
      <c r="D517" t="str">
        <f>IF(B517&lt;&gt;"","    "&amp;"    "&amp;"    "&amp;LEFT(A517,FIND("&gt;",A517)-1)&amp;IF(B518&lt;&gt;""," "&amp;A518&amp;"="&amp;""""&amp;B518&amp;"""","")&amp;MID(A517,FIND("&gt;",A517),FIND("&gt;",A517))&amp;B517&amp;LEFT(A517,FIND("&lt;",A517))&amp;"/"&amp;MID(A517,FIND("&lt;",A517)+1,FIND("&gt;",A517)),"")</f>
        <v/>
      </c>
    </row>
    <row r="518" spans="1:4">
      <c r="A518" s="18" t="s">
        <v>68</v>
      </c>
      <c r="B518" s="6" t="str">
        <f>IF(Form!B229&lt;&gt;"","handle","")</f>
        <v/>
      </c>
      <c r="C518" s="33" t="s">
        <v>125</v>
      </c>
    </row>
    <row r="519" spans="1:4">
      <c r="A519" s="17" t="s">
        <v>123</v>
      </c>
      <c r="D519" t="str">
        <f>IF(B516&lt;&gt;"","    "&amp;"    "&amp;"    "&amp;LEFT(A519,FIND("&gt;",A519)-1)&amp;IF(B520&lt;&gt;""," "&amp;A520&amp;"="&amp;""""&amp;B520&amp;"""","")&amp;MID(A519,FIND("&gt;",A519),FIND("&gt;",A519))&amp;LEFT(A519,FIND("&lt;",A519))&amp;"/"&amp;MID(A519,FIND("&lt;",A519)+1,FIND("&gt;",A519)),IF(B517&lt;&gt;"","    "&amp;"    "&amp;"    "&amp;LEFT(A519,FIND("&gt;",A519)-1)&amp;IF(B520&lt;&gt;""," "&amp;A520&amp;"="&amp;""""&amp;B520&amp;"""","")&amp;MID(A519,FIND("&gt;",A519),FIND("&gt;",A519))&amp;LEFT(A519,FIND("&lt;",A519))&amp;"/"&amp;MID(A519,FIND("&lt;",A519)+1,FIND("&gt;",A519)),""))</f>
        <v/>
      </c>
    </row>
    <row r="520" spans="1:4">
      <c r="A520" s="18" t="s">
        <v>68</v>
      </c>
      <c r="B520" s="6" t="str">
        <f>IF(Form!B229&lt;&gt;"",IF(Form!B$232="Is cited by","isCitedBy",IF(Form!B$232="Is referenced by","isReferencedBy",IF(Form!B$232="Is documented by","isDocumentedBy",IF(Form!B$232="Is supplemented by","isSupplementedBy",IF(Form!B$232="Is supplement to","isSupplementTo",IF(Form!B$232="Is reviewed by","isReviewedBy",IF(Form!B$232="Is supported by","isSupportedBy",""))))))),"")</f>
        <v/>
      </c>
      <c r="C520" s="33" t="s">
        <v>125</v>
      </c>
      <c r="D520" t="str">
        <f>IF(B516&lt;&gt;"","    "&amp;"    "&amp;LEFT(A514,FIND("&lt;",A514))&amp;"/"&amp;MID(A514,FIND("&lt;",A514)+1,FIND("&gt;",A514)),IF(B517&lt;&gt;"","    "&amp;"    "&amp;LEFT(A514,FIND("&lt;",A514))&amp;"/"&amp;MID(A514,FIND("&lt;",A514)+1,FIND("&gt;",A514)),""))</f>
        <v/>
      </c>
    </row>
    <row r="521" spans="1:4">
      <c r="A521" s="15" t="s">
        <v>120</v>
      </c>
      <c r="D521" t="str">
        <f>IF(B523&lt;&gt;"","    "&amp;"    "&amp;LEFT(A521,FIND("&gt;",A521)-1)&amp;IF(B522&lt;&gt;""," "&amp;A522&amp;"="&amp;""""&amp;B522&amp;"""","")&amp;MID(A521,FIND("&gt;",A521),FIND("&gt;",A521)),IF(B524&lt;&gt;"","    "&amp;"    "&amp;LEFT(A521,FIND("&gt;",A521)-1)&amp;IF(B522&lt;&gt;""," "&amp;A522&amp;"="&amp;""""&amp;B522&amp;"""","")&amp;MID(A521,FIND("&gt;",A521),FIND("&gt;",A521)),""))</f>
        <v/>
      </c>
    </row>
    <row r="522" spans="1:4">
      <c r="A522" s="16" t="s">
        <v>68</v>
      </c>
      <c r="B522" s="6" t="str">
        <f>IF(Form!B230&lt;&gt;"","publication","")</f>
        <v/>
      </c>
      <c r="C522" s="33" t="s">
        <v>125</v>
      </c>
    </row>
    <row r="523" spans="1:4" ht="15" customHeight="1">
      <c r="A523" s="17" t="s">
        <v>122</v>
      </c>
      <c r="B523" s="7" t="str">
        <f>IF(Form!B230&lt;&gt;"",IF(Form!B$227&lt;&gt;"",Form!B$227,""),"")</f>
        <v/>
      </c>
      <c r="C523" s="33" t="s">
        <v>125</v>
      </c>
      <c r="D523" t="str">
        <f>IF(B523&lt;&gt;"","    "&amp;"    "&amp;"    "&amp;A523&amp;B523&amp;LEFT(A523,FIND("&lt;",A523))&amp;"/"&amp;MID(A523,FIND("&lt;",A523)+1,FIND("&gt;",A523)),"")</f>
        <v/>
      </c>
    </row>
    <row r="524" spans="1:4">
      <c r="A524" s="17" t="s">
        <v>93</v>
      </c>
      <c r="B524" s="7" t="str">
        <f>IF(Form!B230&lt;&gt;"",Form!B230,"")</f>
        <v/>
      </c>
      <c r="C524" s="33" t="s">
        <v>125</v>
      </c>
      <c r="D524" t="str">
        <f>IF(B524&lt;&gt;"","    "&amp;"    "&amp;"    "&amp;LEFT(A524,FIND("&gt;",A524)-1)&amp;IF(B525&lt;&gt;""," "&amp;A525&amp;"="&amp;""""&amp;B525&amp;"""","")&amp;MID(A524,FIND("&gt;",A524),FIND("&gt;",A524))&amp;B524&amp;LEFT(A524,FIND("&lt;",A524))&amp;"/"&amp;MID(A524,FIND("&lt;",A524)+1,FIND("&gt;",A524)),"")</f>
        <v/>
      </c>
    </row>
    <row r="525" spans="1:4">
      <c r="A525" s="18" t="s">
        <v>68</v>
      </c>
      <c r="B525" s="6" t="str">
        <f>IF(Form!B230&lt;&gt;"","igsn","")</f>
        <v/>
      </c>
      <c r="C525" s="33" t="s">
        <v>125</v>
      </c>
    </row>
    <row r="526" spans="1:4">
      <c r="A526" s="17" t="s">
        <v>123</v>
      </c>
      <c r="D526" t="str">
        <f>IF(B523&lt;&gt;"","    "&amp;"    "&amp;"    "&amp;LEFT(A526,FIND("&gt;",A526)-1)&amp;IF(B527&lt;&gt;""," "&amp;A527&amp;"="&amp;""""&amp;B527&amp;"""","")&amp;MID(A526,FIND("&gt;",A526),FIND("&gt;",A526))&amp;LEFT(A526,FIND("&lt;",A526))&amp;"/"&amp;MID(A526,FIND("&lt;",A526)+1,FIND("&gt;",A526)),IF(B524&lt;&gt;"","    "&amp;"    "&amp;"    "&amp;LEFT(A526,FIND("&gt;",A526)-1)&amp;IF(B527&lt;&gt;""," "&amp;A527&amp;"="&amp;""""&amp;B527&amp;"""","")&amp;MID(A526,FIND("&gt;",A526),FIND("&gt;",A526))&amp;LEFT(A526,FIND("&lt;",A526))&amp;"/"&amp;MID(A526,FIND("&lt;",A526)+1,FIND("&gt;",A526)),""))</f>
        <v/>
      </c>
    </row>
    <row r="527" spans="1:4">
      <c r="A527" s="18" t="s">
        <v>68</v>
      </c>
      <c r="B527" s="6" t="str">
        <f>IF(Form!B230&lt;&gt;"",IF(Form!B$232="Is cited by","isCitedBy",IF(Form!B$232="Is referenced by","isReferencedBy",IF(Form!B$232="Is documented by","isDocumentedBy",IF(Form!B$232="Is supplemented by","isSupplementedBy",IF(Form!B$232="Is supplement to","isSupplementTo",IF(Form!B$232="Is reviewed by","isReviewedBy",IF(Form!B$232="Is supported by","isSupportedBy",""))))))),"")</f>
        <v/>
      </c>
      <c r="C527" s="33" t="s">
        <v>125</v>
      </c>
      <c r="D527" t="str">
        <f>IF(B523&lt;&gt;"","    "&amp;"    "&amp;LEFT(A521,FIND("&lt;",A521))&amp;"/"&amp;MID(A521,FIND("&lt;",A521)+1,FIND("&gt;",A521)),IF(B524&lt;&gt;"","    "&amp;"    "&amp;LEFT(A521,FIND("&lt;",A521))&amp;"/"&amp;MID(A521,FIND("&lt;",A521)+1,FIND("&gt;",A521)),""))</f>
        <v/>
      </c>
    </row>
    <row r="528" spans="1:4">
      <c r="A528" s="15" t="s">
        <v>120</v>
      </c>
      <c r="D528" t="str">
        <f>IF(B530&lt;&gt;"","    "&amp;"    "&amp;LEFT(A528,FIND("&gt;",A528)-1)&amp;IF(B529&lt;&gt;""," "&amp;A529&amp;"="&amp;""""&amp;B529&amp;"""","")&amp;MID(A528,FIND("&gt;",A528),FIND("&gt;",A528)),IF(B531&lt;&gt;"","    "&amp;"    "&amp;LEFT(A528,FIND("&gt;",A528)-1)&amp;IF(B529&lt;&gt;""," "&amp;A529&amp;"="&amp;""""&amp;B529&amp;"""","")&amp;MID(A528,FIND("&gt;",A528),FIND("&gt;",A528)),""))</f>
        <v/>
      </c>
    </row>
    <row r="529" spans="1:4">
      <c r="A529" s="16" t="s">
        <v>68</v>
      </c>
      <c r="B529" s="6" t="str">
        <f>IF(Form!B231&lt;&gt;"","publication","")</f>
        <v/>
      </c>
      <c r="C529" s="33" t="s">
        <v>125</v>
      </c>
    </row>
    <row r="530" spans="1:4" ht="15" customHeight="1">
      <c r="A530" s="17" t="s">
        <v>122</v>
      </c>
      <c r="B530" s="7" t="str">
        <f>IF(Form!B231&lt;&gt;"",IF(Form!B$227&lt;&gt;"",Form!B$227,""),"")</f>
        <v/>
      </c>
      <c r="C530" s="33" t="s">
        <v>125</v>
      </c>
      <c r="D530" t="str">
        <f>IF(B530&lt;&gt;"","    "&amp;"    "&amp;"    "&amp;A530&amp;B530&amp;LEFT(A530,FIND("&lt;",A530))&amp;"/"&amp;MID(A530,FIND("&lt;",A530)+1,FIND("&gt;",A530)),"")</f>
        <v/>
      </c>
    </row>
    <row r="531" spans="1:4">
      <c r="A531" s="17" t="s">
        <v>93</v>
      </c>
      <c r="B531" s="7" t="str">
        <f>IF(Form!B231&lt;&gt;"",Form!B231,"")</f>
        <v/>
      </c>
      <c r="C531" s="33" t="s">
        <v>125</v>
      </c>
      <c r="D531" t="str">
        <f>IF(B531&lt;&gt;"","    "&amp;"    "&amp;"    "&amp;LEFT(A531,FIND("&gt;",A531)-1)&amp;IF(B532&lt;&gt;""," "&amp;A532&amp;"="&amp;""""&amp;B532&amp;"""","")&amp;MID(A531,FIND("&gt;",A531),FIND("&gt;",A531))&amp;B531&amp;LEFT(A531,FIND("&lt;",A531))&amp;"/"&amp;MID(A531,FIND("&lt;",A531)+1,FIND("&gt;",A531)),"")</f>
        <v/>
      </c>
    </row>
    <row r="532" spans="1:4">
      <c r="A532" s="18" t="s">
        <v>68</v>
      </c>
      <c r="B532" s="6" t="str">
        <f>IF(Form!B231&lt;&gt;"","local","")</f>
        <v/>
      </c>
      <c r="C532" s="33" t="s">
        <v>125</v>
      </c>
    </row>
    <row r="533" spans="1:4">
      <c r="A533" s="17" t="s">
        <v>123</v>
      </c>
      <c r="D533" t="str">
        <f>IF(B530&lt;&gt;"","    "&amp;"    "&amp;"    "&amp;LEFT(A533,FIND("&gt;",A533)-1)&amp;IF(B534&lt;&gt;""," "&amp;A534&amp;"="&amp;""""&amp;B534&amp;"""","")&amp;MID(A533,FIND("&gt;",A533),FIND("&gt;",A533))&amp;LEFT(A533,FIND("&lt;",A533))&amp;"/"&amp;MID(A533,FIND("&lt;",A533)+1,FIND("&gt;",A533)),IF(B531&lt;&gt;"","    "&amp;"    "&amp;"    "&amp;LEFT(A533,FIND("&gt;",A533)-1)&amp;IF(B534&lt;&gt;""," "&amp;A534&amp;"="&amp;""""&amp;B534&amp;"""","")&amp;MID(A533,FIND("&gt;",A533),FIND("&gt;",A533))&amp;LEFT(A533,FIND("&lt;",A533))&amp;"/"&amp;MID(A533,FIND("&lt;",A533)+1,FIND("&gt;",A533)),""))</f>
        <v/>
      </c>
    </row>
    <row r="534" spans="1:4">
      <c r="A534" s="18" t="s">
        <v>68</v>
      </c>
      <c r="B534" s="6" t="str">
        <f>IF(Form!B231&lt;&gt;"",IF(Form!B$232="Is cited by","isCitedBy",IF(Form!B$232="Is referenced by","isReferencedBy",IF(Form!B$232="Is documented by","isDocumentedBy",IF(Form!B$232="Is supplemented by","isSupplementedBy",IF(Form!B$232="Is supplement to","isSupplementTo",IF(Form!B$232="Is reviewed by","isReviewedBy",IF(Form!B$232="Is supported by","isSupportedBy",""))))))),"")</f>
        <v/>
      </c>
      <c r="C534" s="33" t="s">
        <v>125</v>
      </c>
      <c r="D534" t="str">
        <f>IF(B530&lt;&gt;"","    "&amp;"    "&amp;LEFT(A528,FIND("&lt;",A528))&amp;"/"&amp;MID(A528,FIND("&lt;",A528)+1,FIND("&gt;",A528)),IF(B531&lt;&gt;"","    "&amp;"    "&amp;LEFT(A528,FIND("&lt;",A528))&amp;"/"&amp;MID(A528,FIND("&lt;",A528)+1,FIND("&gt;",A528)),""))</f>
        <v/>
      </c>
    </row>
    <row r="535" spans="1:4">
      <c r="A535" s="15" t="s">
        <v>120</v>
      </c>
      <c r="D535" t="str">
        <f>IF(B537&lt;&gt;"","    "&amp;"    "&amp;LEFT(A535,FIND("&gt;",A535)-1)&amp;IF(B536&lt;&gt;""," "&amp;A536&amp;"="&amp;""""&amp;B536&amp;"""","")&amp;MID(A535,FIND("&gt;",A535),FIND("&gt;",A535)),IF(B538&lt;&gt;"","    "&amp;"    "&amp;LEFT(A535,FIND("&gt;",A535)-1)&amp;IF(B536&lt;&gt;""," "&amp;A536&amp;"="&amp;""""&amp;B536&amp;"""","")&amp;MID(A535,FIND("&gt;",A535),FIND("&gt;",A535)),""))</f>
        <v xml:space="preserve">        &lt;relatedInfo type="publication"&gt;</v>
      </c>
    </row>
    <row r="536" spans="1:4">
      <c r="A536" s="16" t="s">
        <v>68</v>
      </c>
      <c r="B536" s="6" t="str">
        <f>IF(Form!B235&lt;&gt;"","publication","")</f>
        <v>publication</v>
      </c>
      <c r="C536" s="33" t="s">
        <v>125</v>
      </c>
    </row>
    <row r="537" spans="1:4" ht="15" customHeight="1">
      <c r="A537" s="17" t="s">
        <v>122</v>
      </c>
      <c r="B537" s="7" t="str">
        <f>IF(Form!B235&lt;&gt;"",IF(Form!B$234&lt;&gt;"",Form!B$234,""),"")</f>
        <v>Extension of a haplotype based genomic prediction model to manage multi environment wheat data using environmental covariates</v>
      </c>
      <c r="C537" s="33" t="s">
        <v>125</v>
      </c>
      <c r="D537" t="str">
        <f>IF(B537&lt;&gt;"","    "&amp;"    "&amp;"    "&amp;A537&amp;B537&amp;LEFT(A537,FIND("&lt;",A537))&amp;"/"&amp;MID(A537,FIND("&lt;",A537)+1,FIND("&gt;",A537)),"")</f>
        <v xml:space="preserve">            &lt;title&gt;Extension of a haplotype based genomic prediction model to manage multi environment wheat data using environmental covariates&lt;/title&gt;</v>
      </c>
    </row>
    <row r="538" spans="1:4">
      <c r="A538" s="17" t="s">
        <v>93</v>
      </c>
      <c r="B538" s="7" t="str">
        <f>IF(Form!B235&lt;&gt;"",Form!B235,"")</f>
        <v>https://doi.org/10.1007/s00122-019-03413-1</v>
      </c>
      <c r="C538" s="33" t="s">
        <v>125</v>
      </c>
      <c r="D538" t="str">
        <f>IF(B538&lt;&gt;"","    "&amp;"    "&amp;"    "&amp;LEFT(A538,FIND("&gt;",A538)-1)&amp;IF(B539&lt;&gt;""," "&amp;A539&amp;"="&amp;""""&amp;B539&amp;"""","")&amp;MID(A538,FIND("&gt;",A538),FIND("&gt;",A538))&amp;B538&amp;LEFT(A538,FIND("&lt;",A538))&amp;"/"&amp;MID(A538,FIND("&lt;",A538)+1,FIND("&gt;",A538)),"")</f>
        <v xml:space="preserve">            &lt;identifier type="doi"&gt;https://doi.org/10.1007/s00122-019-03413-1&lt;/identifier&gt;</v>
      </c>
    </row>
    <row r="539" spans="1:4">
      <c r="A539" s="18" t="s">
        <v>68</v>
      </c>
      <c r="B539" s="6" t="str">
        <f>IF(Form!B235&lt;&gt;"","doi","")</f>
        <v>doi</v>
      </c>
      <c r="C539" s="33" t="s">
        <v>125</v>
      </c>
    </row>
    <row r="540" spans="1:4">
      <c r="A540" s="17" t="s">
        <v>123</v>
      </c>
      <c r="D540" t="str">
        <f>IF(B537&lt;&gt;"","    "&amp;"    "&amp;"    "&amp;LEFT(A540,FIND("&gt;",A540)-1)&amp;IF(B541&lt;&gt;""," "&amp;A541&amp;"="&amp;""""&amp;B541&amp;"""","")&amp;MID(A540,FIND("&gt;",A540),FIND("&gt;",A540))&amp;LEFT(A540,FIND("&lt;",A540))&amp;"/"&amp;MID(A540,FIND("&lt;",A540)+1,FIND("&gt;",A540)),IF(B538&lt;&gt;"","    "&amp;"    "&amp;"    "&amp;LEFT(A540,FIND("&gt;",A540)-1)&amp;IF(B541&lt;&gt;""," "&amp;A541&amp;"="&amp;""""&amp;B541&amp;"""","")&amp;MID(A540,FIND("&gt;",A540),FIND("&gt;",A540))&amp;LEFT(A540,FIND("&lt;",A540))&amp;"/"&amp;MID(A540,FIND("&lt;",A540)+1,FIND("&gt;",A540)),""))</f>
        <v xml:space="preserve">            &lt;relation type="isSupplementedBy"&gt;&lt;/relation&gt;</v>
      </c>
    </row>
    <row r="541" spans="1:4">
      <c r="A541" s="18" t="s">
        <v>68</v>
      </c>
      <c r="B541" s="6" t="str">
        <f>IF(Form!B235&lt;&gt;"",IF(Form!B$239="Is cited by","isCitedBy",IF(Form!B$239="Is referenced by","isReferencedBy",IF(Form!B$239="Is documented by","isDocumentedBy",IF(Form!B$239="Is supplemented by","isSupplementedBy",IF(Form!B$239="Is supplement to","isSupplementTo",IF(Form!B$239="Is reviewed by","isReviewedBy",IF(Form!B$239="Is supported by","isSupportedBy",""))))))),"")</f>
        <v>isSupplementedBy</v>
      </c>
      <c r="C541" s="33" t="s">
        <v>125</v>
      </c>
      <c r="D541" t="str">
        <f>IF(B537&lt;&gt;"","    "&amp;"    "&amp;LEFT(A535,FIND("&lt;",A535))&amp;"/"&amp;MID(A535,FIND("&lt;",A535)+1,FIND("&gt;",A535)),IF(B538&lt;&gt;"","    "&amp;"    "&amp;LEFT(A535,FIND("&lt;",A535))&amp;"/"&amp;MID(A535,FIND("&lt;",A535)+1,FIND("&gt;",A535)),""))</f>
        <v xml:space="preserve">        &lt;/relatedInfo&gt;</v>
      </c>
    </row>
    <row r="542" spans="1:4">
      <c r="A542" s="15" t="s">
        <v>120</v>
      </c>
      <c r="D542" t="str">
        <f>IF(B544&lt;&gt;"","    "&amp;"    "&amp;LEFT(A542,FIND("&gt;",A542)-1)&amp;IF(B543&lt;&gt;""," "&amp;A543&amp;"="&amp;""""&amp;B543&amp;"""","")&amp;MID(A542,FIND("&gt;",A542),FIND("&gt;",A542)),IF(B545&lt;&gt;"","    "&amp;"    "&amp;LEFT(A542,FIND("&gt;",A542)-1)&amp;IF(B543&lt;&gt;""," "&amp;A543&amp;"="&amp;""""&amp;B543&amp;"""","")&amp;MID(A542,FIND("&gt;",A542),FIND("&gt;",A542)),""))</f>
        <v/>
      </c>
    </row>
    <row r="543" spans="1:4">
      <c r="A543" s="16" t="s">
        <v>68</v>
      </c>
      <c r="B543" s="6" t="str">
        <f>IF(Form!B236&lt;&gt;"","publication","")</f>
        <v/>
      </c>
      <c r="C543" s="33" t="s">
        <v>125</v>
      </c>
    </row>
    <row r="544" spans="1:4" ht="15" customHeight="1">
      <c r="A544" s="17" t="s">
        <v>122</v>
      </c>
      <c r="B544" s="7" t="str">
        <f>IF(Form!B236&lt;&gt;"",IF(Form!B$234&lt;&gt;"",Form!B$234,""),"")</f>
        <v/>
      </c>
      <c r="C544" s="33" t="s">
        <v>125</v>
      </c>
      <c r="D544" t="str">
        <f>IF(B544&lt;&gt;"","    "&amp;"    "&amp;"    "&amp;A544&amp;B544&amp;LEFT(A544,FIND("&lt;",A544))&amp;"/"&amp;MID(A544,FIND("&lt;",A544)+1,FIND("&gt;",A544)),"")</f>
        <v/>
      </c>
    </row>
    <row r="545" spans="1:4">
      <c r="A545" s="17" t="s">
        <v>93</v>
      </c>
      <c r="B545" s="7" t="str">
        <f>IF(Form!B236&lt;&gt;"",Form!B236,"")</f>
        <v/>
      </c>
      <c r="C545" s="33" t="s">
        <v>125</v>
      </c>
      <c r="D545" t="str">
        <f>IF(B545&lt;&gt;"","    "&amp;"    "&amp;"    "&amp;LEFT(A545,FIND("&gt;",A545)-1)&amp;IF(B546&lt;&gt;""," "&amp;A546&amp;"="&amp;""""&amp;B546&amp;"""","")&amp;MID(A545,FIND("&gt;",A545),FIND("&gt;",A545))&amp;B545&amp;LEFT(A545,FIND("&lt;",A545))&amp;"/"&amp;MID(A545,FIND("&lt;",A545)+1,FIND("&gt;",A545)),"")</f>
        <v/>
      </c>
    </row>
    <row r="546" spans="1:4">
      <c r="A546" s="18" t="s">
        <v>68</v>
      </c>
      <c r="B546" s="6" t="str">
        <f>IF(Form!B236&lt;&gt;"","handle","")</f>
        <v/>
      </c>
      <c r="C546" s="33" t="s">
        <v>125</v>
      </c>
    </row>
    <row r="547" spans="1:4">
      <c r="A547" s="17" t="s">
        <v>123</v>
      </c>
      <c r="D547" t="str">
        <f>IF(B544&lt;&gt;"","    "&amp;"    "&amp;"    "&amp;LEFT(A547,FIND("&gt;",A547)-1)&amp;IF(B548&lt;&gt;""," "&amp;A548&amp;"="&amp;""""&amp;B548&amp;"""","")&amp;MID(A547,FIND("&gt;",A547),FIND("&gt;",A547))&amp;LEFT(A547,FIND("&lt;",A547))&amp;"/"&amp;MID(A547,FIND("&lt;",A547)+1,FIND("&gt;",A547)),IF(B545&lt;&gt;"","    "&amp;"    "&amp;"    "&amp;LEFT(A547,FIND("&gt;",A547)-1)&amp;IF(B548&lt;&gt;""," "&amp;A548&amp;"="&amp;""""&amp;B548&amp;"""","")&amp;MID(A547,FIND("&gt;",A547),FIND("&gt;",A547))&amp;LEFT(A547,FIND("&lt;",A547))&amp;"/"&amp;MID(A547,FIND("&lt;",A547)+1,FIND("&gt;",A547)),""))</f>
        <v/>
      </c>
    </row>
    <row r="548" spans="1:4">
      <c r="A548" s="18" t="s">
        <v>68</v>
      </c>
      <c r="B548" s="6" t="str">
        <f>IF(Form!B236&lt;&gt;"",IF(Form!B$239="Is cited by","isCitedBy",IF(Form!B$239="Is referenced by","isReferencedBy",IF(Form!B$239="Is documented by","isDocumentedBy",IF(Form!B$239="Is supplemented by","isSupplementedBy",IF(Form!B$239="Is supplement to","isSupplementTo",IF(Form!B$239="Is reviewed by","isReviewedBy",IF(Form!B$239="Is supported by","isSupportedBy",""))))))),"")</f>
        <v/>
      </c>
      <c r="C548" s="33" t="s">
        <v>125</v>
      </c>
      <c r="D548" t="str">
        <f>IF(B544&lt;&gt;"","    "&amp;"    "&amp;LEFT(A542,FIND("&lt;",A542))&amp;"/"&amp;MID(A542,FIND("&lt;",A542)+1,FIND("&gt;",A542)),IF(B545&lt;&gt;"","    "&amp;"    "&amp;LEFT(A542,FIND("&lt;",A542))&amp;"/"&amp;MID(A542,FIND("&lt;",A542)+1,FIND("&gt;",A542)),""))</f>
        <v/>
      </c>
    </row>
    <row r="549" spans="1:4">
      <c r="A549" s="15" t="s">
        <v>120</v>
      </c>
      <c r="D549" t="str">
        <f>IF(B551&lt;&gt;"","    "&amp;"    "&amp;LEFT(A549,FIND("&gt;",A549)-1)&amp;IF(B550&lt;&gt;""," "&amp;A550&amp;"="&amp;""""&amp;B550&amp;"""","")&amp;MID(A549,FIND("&gt;",A549),FIND("&gt;",A549)),IF(B552&lt;&gt;"","    "&amp;"    "&amp;LEFT(A549,FIND("&gt;",A549)-1)&amp;IF(B550&lt;&gt;""," "&amp;A550&amp;"="&amp;""""&amp;B550&amp;"""","")&amp;MID(A549,FIND("&gt;",A549),FIND("&gt;",A549)),""))</f>
        <v/>
      </c>
    </row>
    <row r="550" spans="1:4">
      <c r="A550" s="16" t="s">
        <v>68</v>
      </c>
      <c r="B550" s="6" t="str">
        <f>IF(Form!B237&lt;&gt;"","publication","")</f>
        <v/>
      </c>
      <c r="C550" s="33" t="s">
        <v>125</v>
      </c>
    </row>
    <row r="551" spans="1:4" ht="15" customHeight="1">
      <c r="A551" s="17" t="s">
        <v>122</v>
      </c>
      <c r="B551" s="7" t="str">
        <f>IF(Form!B237&lt;&gt;"",IF(Form!B$234&lt;&gt;"",Form!B$234,""),"")</f>
        <v/>
      </c>
      <c r="C551" s="33" t="s">
        <v>125</v>
      </c>
      <c r="D551" t="str">
        <f>IF(B551&lt;&gt;"","    "&amp;"    "&amp;"    "&amp;A551&amp;B551&amp;LEFT(A551,FIND("&lt;",A551))&amp;"/"&amp;MID(A551,FIND("&lt;",A551)+1,FIND("&gt;",A551)),"")</f>
        <v/>
      </c>
    </row>
    <row r="552" spans="1:4">
      <c r="A552" s="17" t="s">
        <v>93</v>
      </c>
      <c r="B552" s="7" t="str">
        <f>IF(Form!B237&lt;&gt;"",Form!B237,"")</f>
        <v/>
      </c>
      <c r="C552" s="33" t="s">
        <v>125</v>
      </c>
      <c r="D552" t="str">
        <f>IF(B552&lt;&gt;"","    "&amp;"    "&amp;"    "&amp;LEFT(A552,FIND("&gt;",A552)-1)&amp;IF(B553&lt;&gt;""," "&amp;A553&amp;"="&amp;""""&amp;B553&amp;"""","")&amp;MID(A552,FIND("&gt;",A552),FIND("&gt;",A552))&amp;B552&amp;LEFT(A552,FIND("&lt;",A552))&amp;"/"&amp;MID(A552,FIND("&lt;",A552)+1,FIND("&gt;",A552)),"")</f>
        <v/>
      </c>
    </row>
    <row r="553" spans="1:4">
      <c r="A553" s="18" t="s">
        <v>68</v>
      </c>
      <c r="B553" s="6" t="str">
        <f>IF(Form!B237&lt;&gt;"","igsn","")</f>
        <v/>
      </c>
      <c r="C553" s="33" t="s">
        <v>125</v>
      </c>
    </row>
    <row r="554" spans="1:4">
      <c r="A554" s="17" t="s">
        <v>123</v>
      </c>
      <c r="D554" t="str">
        <f>IF(B551&lt;&gt;"","    "&amp;"    "&amp;"    "&amp;LEFT(A554,FIND("&gt;",A554)-1)&amp;IF(B555&lt;&gt;""," "&amp;A555&amp;"="&amp;""""&amp;B555&amp;"""","")&amp;MID(A554,FIND("&gt;",A554),FIND("&gt;",A554))&amp;LEFT(A554,FIND("&lt;",A554))&amp;"/"&amp;MID(A554,FIND("&lt;",A554)+1,FIND("&gt;",A554)),IF(B552&lt;&gt;"","    "&amp;"    "&amp;"    "&amp;LEFT(A554,FIND("&gt;",A554)-1)&amp;IF(B555&lt;&gt;""," "&amp;A555&amp;"="&amp;""""&amp;B555&amp;"""","")&amp;MID(A554,FIND("&gt;",A554),FIND("&gt;",A554))&amp;LEFT(A554,FIND("&lt;",A554))&amp;"/"&amp;MID(A554,FIND("&lt;",A554)+1,FIND("&gt;",A554)),""))</f>
        <v/>
      </c>
    </row>
    <row r="555" spans="1:4">
      <c r="A555" s="18" t="s">
        <v>68</v>
      </c>
      <c r="B555" s="6" t="str">
        <f>IF(Form!B237&lt;&gt;"",IF(Form!B$239="Is cited by","isCitedBy",IF(Form!B$239="Is referenced by","isReferencedBy",IF(Form!B$239="Is documented by","isDocumentedBy",IF(Form!B$239="Is supplemented by","isSupplementedBy",IF(Form!B$239="Is supplement to","isSupplementTo",IF(Form!B$239="Is reviewed by","isReviewedBy",IF(Form!B$239="Is supported by","isSupportedBy",""))))))),"")</f>
        <v/>
      </c>
      <c r="C555" s="33" t="s">
        <v>125</v>
      </c>
      <c r="D555" t="str">
        <f>IF(B551&lt;&gt;"","    "&amp;"    "&amp;LEFT(A549,FIND("&lt;",A549))&amp;"/"&amp;MID(A549,FIND("&lt;",A549)+1,FIND("&gt;",A549)),IF(B552&lt;&gt;"","    "&amp;"    "&amp;LEFT(A549,FIND("&lt;",A549))&amp;"/"&amp;MID(A549,FIND("&lt;",A549)+1,FIND("&gt;",A549)),""))</f>
        <v/>
      </c>
    </row>
    <row r="556" spans="1:4">
      <c r="A556" s="15" t="s">
        <v>120</v>
      </c>
      <c r="D556" t="str">
        <f>IF(B558&lt;&gt;"","    "&amp;"    "&amp;LEFT(A556,FIND("&gt;",A556)-1)&amp;IF(B557&lt;&gt;""," "&amp;A557&amp;"="&amp;""""&amp;B557&amp;"""","")&amp;MID(A556,FIND("&gt;",A556),FIND("&gt;",A556)),IF(B559&lt;&gt;"","    "&amp;"    "&amp;LEFT(A556,FIND("&gt;",A556)-1)&amp;IF(B557&lt;&gt;""," "&amp;A557&amp;"="&amp;""""&amp;B557&amp;"""","")&amp;MID(A556,FIND("&gt;",A556),FIND("&gt;",A556)),""))</f>
        <v/>
      </c>
    </row>
    <row r="557" spans="1:4">
      <c r="A557" s="16" t="s">
        <v>68</v>
      </c>
      <c r="B557" s="6" t="str">
        <f>IF(Form!B238&lt;&gt;"","publication","")</f>
        <v/>
      </c>
      <c r="C557" s="33" t="s">
        <v>125</v>
      </c>
    </row>
    <row r="558" spans="1:4" ht="15" customHeight="1">
      <c r="A558" s="17" t="s">
        <v>122</v>
      </c>
      <c r="B558" s="7" t="str">
        <f>IF(Form!B238&lt;&gt;"",IF(Form!B$234&lt;&gt;"",Form!B$234,""),"")</f>
        <v/>
      </c>
      <c r="C558" s="33" t="s">
        <v>125</v>
      </c>
      <c r="D558" t="str">
        <f>IF(B558&lt;&gt;"","    "&amp;"    "&amp;"    "&amp;A558&amp;B558&amp;LEFT(A558,FIND("&lt;",A558))&amp;"/"&amp;MID(A558,FIND("&lt;",A558)+1,FIND("&gt;",A558)),"")</f>
        <v/>
      </c>
    </row>
    <row r="559" spans="1:4">
      <c r="A559" s="17" t="s">
        <v>93</v>
      </c>
      <c r="B559" s="7" t="str">
        <f>IF(Form!B238&lt;&gt;"",Form!B238,"")</f>
        <v/>
      </c>
      <c r="C559" s="33" t="s">
        <v>125</v>
      </c>
      <c r="D559" t="str">
        <f>IF(B559&lt;&gt;"","    "&amp;"    "&amp;"    "&amp;LEFT(A559,FIND("&gt;",A559)-1)&amp;IF(B560&lt;&gt;""," "&amp;A560&amp;"="&amp;""""&amp;B560&amp;"""","")&amp;MID(A559,FIND("&gt;",A559),FIND("&gt;",A559))&amp;B559&amp;LEFT(A559,FIND("&lt;",A559))&amp;"/"&amp;MID(A559,FIND("&lt;",A559)+1,FIND("&gt;",A559)),"")</f>
        <v/>
      </c>
    </row>
    <row r="560" spans="1:4">
      <c r="A560" s="18" t="s">
        <v>68</v>
      </c>
      <c r="B560" s="6" t="str">
        <f>IF(Form!B238&lt;&gt;"","local","")</f>
        <v/>
      </c>
      <c r="C560" s="33" t="s">
        <v>125</v>
      </c>
    </row>
    <row r="561" spans="1:4">
      <c r="A561" s="17" t="s">
        <v>123</v>
      </c>
      <c r="D561" t="str">
        <f>IF(B558&lt;&gt;"","    "&amp;"    "&amp;"    "&amp;LEFT(A561,FIND("&gt;",A561)-1)&amp;IF(B562&lt;&gt;""," "&amp;A562&amp;"="&amp;""""&amp;B562&amp;"""","")&amp;MID(A561,FIND("&gt;",A561),FIND("&gt;",A561))&amp;LEFT(A561,FIND("&lt;",A561))&amp;"/"&amp;MID(A561,FIND("&lt;",A561)+1,FIND("&gt;",A561)),IF(B559&lt;&gt;"","    "&amp;"    "&amp;"    "&amp;LEFT(A561,FIND("&gt;",A561)-1)&amp;IF(B562&lt;&gt;""," "&amp;A562&amp;"="&amp;""""&amp;B562&amp;"""","")&amp;MID(A561,FIND("&gt;",A561),FIND("&gt;",A561))&amp;LEFT(A561,FIND("&lt;",A561))&amp;"/"&amp;MID(A561,FIND("&lt;",A561)+1,FIND("&gt;",A561)),""))</f>
        <v/>
      </c>
    </row>
    <row r="562" spans="1:4">
      <c r="A562" s="18" t="s">
        <v>68</v>
      </c>
      <c r="B562" s="6" t="str">
        <f>IF(Form!B238&lt;&gt;"",IF(Form!B$239="Is cited by","isCitedBy",IF(Form!B$239="Is referenced by","isReferencedBy",IF(Form!B$239="Is documented by","isDocumentedBy",IF(Form!B$239="Is supplemented by","isSupplementedBy",IF(Form!B$239="Is supplement to","isSupplementTo",IF(Form!B$239="Is reviewed by","isReviewedBy",IF(Form!B$239="Is supported by","isSupportedBy",""))))))),"")</f>
        <v/>
      </c>
      <c r="C562" s="33" t="s">
        <v>125</v>
      </c>
      <c r="D562" t="str">
        <f>IF(B558&lt;&gt;"","    "&amp;"    "&amp;LEFT(A556,FIND("&lt;",A556))&amp;"/"&amp;MID(A556,FIND("&lt;",A556)+1,FIND("&gt;",A556)),IF(B559&lt;&gt;"","    "&amp;"    "&amp;LEFT(A556,FIND("&lt;",A556))&amp;"/"&amp;MID(A556,FIND("&lt;",A556)+1,FIND("&gt;",A556)),""))</f>
        <v/>
      </c>
    </row>
    <row r="563" spans="1:4">
      <c r="A563" s="15" t="s">
        <v>120</v>
      </c>
      <c r="D563" t="str">
        <f>IF(B565&lt;&gt;"","    "&amp;"    "&amp;LEFT(A563,FIND("&gt;",A563)-1)&amp;IF(B564&lt;&gt;""," "&amp;A564&amp;"="&amp;""""&amp;B564&amp;"""","")&amp;MID(A563,FIND("&gt;",A563),FIND("&gt;",A563)),IF(B566&lt;&gt;"","    "&amp;"    "&amp;LEFT(A563,FIND("&gt;",A563)-1)&amp;IF(B564&lt;&gt;""," "&amp;A564&amp;"="&amp;""""&amp;B564&amp;"""","")&amp;MID(A563,FIND("&gt;",A563),FIND("&gt;",A563)),""))</f>
        <v xml:space="preserve">        &lt;relatedInfo type="publication"&gt;</v>
      </c>
    </row>
    <row r="564" spans="1:4">
      <c r="A564" s="16" t="s">
        <v>68</v>
      </c>
      <c r="B564" s="6" t="str">
        <f>IF(Form!B242&lt;&gt;"","publication","")</f>
        <v>publication</v>
      </c>
      <c r="C564" s="33" t="s">
        <v>125</v>
      </c>
    </row>
    <row r="565" spans="1:4" ht="15" customHeight="1">
      <c r="A565" s="17" t="s">
        <v>122</v>
      </c>
      <c r="B565" s="7" t="str">
        <f>IF(Form!B242&lt;&gt;"",IF(Form!B$241&lt;&gt;"",Form!B$241,""),"")</f>
        <v>Genomic selection can accelerate the biofortification of spring wheat.</v>
      </c>
      <c r="C565" s="33" t="s">
        <v>125</v>
      </c>
      <c r="D565" t="str">
        <f>IF(B565&lt;&gt;"","    "&amp;"    "&amp;"    "&amp;A565&amp;B565&amp;LEFT(A565,FIND("&lt;",A565))&amp;"/"&amp;MID(A565,FIND("&lt;",A565)+1,FIND("&gt;",A565)),"")</f>
        <v xml:space="preserve">            &lt;title&gt;Genomic selection can accelerate the biofortification of spring wheat.&lt;/title&gt;</v>
      </c>
    </row>
    <row r="566" spans="1:4">
      <c r="A566" s="17" t="s">
        <v>93</v>
      </c>
      <c r="B566" s="7" t="str">
        <f>IF(Form!B242&lt;&gt;"",Form!B242,"")</f>
        <v>https://doi.org/10.1007/s00122-021-03900-4</v>
      </c>
      <c r="C566" s="33" t="s">
        <v>125</v>
      </c>
      <c r="D566" t="str">
        <f>IF(B566&lt;&gt;"","    "&amp;"    "&amp;"    "&amp;LEFT(A566,FIND("&gt;",A566)-1)&amp;IF(B567&lt;&gt;""," "&amp;A567&amp;"="&amp;""""&amp;B567&amp;"""","")&amp;MID(A566,FIND("&gt;",A566),FIND("&gt;",A566))&amp;B566&amp;LEFT(A566,FIND("&lt;",A566))&amp;"/"&amp;MID(A566,FIND("&lt;",A566)+1,FIND("&gt;",A566)),"")</f>
        <v xml:space="preserve">            &lt;identifier type="doi"&gt;https://doi.org/10.1007/s00122-021-03900-4&lt;/identifier&gt;</v>
      </c>
    </row>
    <row r="567" spans="1:4">
      <c r="A567" s="18" t="s">
        <v>68</v>
      </c>
      <c r="B567" s="6" t="str">
        <f>IF(Form!B242&lt;&gt;"","doi","")</f>
        <v>doi</v>
      </c>
      <c r="C567" s="33" t="s">
        <v>125</v>
      </c>
    </row>
    <row r="568" spans="1:4">
      <c r="A568" s="17" t="s">
        <v>123</v>
      </c>
      <c r="D568" t="str">
        <f>IF(B565&lt;&gt;"","    "&amp;"    "&amp;"    "&amp;LEFT(A568,FIND("&gt;",A568)-1)&amp;IF(B569&lt;&gt;""," "&amp;A569&amp;"="&amp;""""&amp;B569&amp;"""","")&amp;MID(A568,FIND("&gt;",A568),FIND("&gt;",A568))&amp;LEFT(A568,FIND("&lt;",A568))&amp;"/"&amp;MID(A568,FIND("&lt;",A568)+1,FIND("&gt;",A568)),IF(B566&lt;&gt;"","    "&amp;"    "&amp;"    "&amp;LEFT(A568,FIND("&gt;",A568)-1)&amp;IF(B569&lt;&gt;""," "&amp;A569&amp;"="&amp;""""&amp;B569&amp;"""","")&amp;MID(A568,FIND("&gt;",A568),FIND("&gt;",A568))&amp;LEFT(A568,FIND("&lt;",A568))&amp;"/"&amp;MID(A568,FIND("&lt;",A568)+1,FIND("&gt;",A568)),""))</f>
        <v xml:space="preserve">            &lt;relation type="isDocumentedBy"&gt;&lt;/relation&gt;</v>
      </c>
    </row>
    <row r="569" spans="1:4">
      <c r="A569" s="18" t="s">
        <v>68</v>
      </c>
      <c r="B569" s="6" t="str">
        <f>IF(Form!B242&lt;&gt;"",IF(Form!B$246="Is cited by","isCitedBy",IF(Form!B$246="Is referenced by","isReferencedBy",IF(Form!B$246="Is documented by","isDocumentedBy",IF(Form!B$246="Is supplemented by","isSupplementedBy",IF(Form!B$246="Is supplement to","isSupplementTo",IF(Form!B$246="Is reviewed by","isReviewedBy",IF(Form!B$246="Is supported by","isSupportedBy",""))))))),"")</f>
        <v>isDocumentedBy</v>
      </c>
      <c r="C569" s="33" t="s">
        <v>125</v>
      </c>
      <c r="D569" t="str">
        <f>IF(B565&lt;&gt;"","    "&amp;"    "&amp;LEFT(A563,FIND("&lt;",A563))&amp;"/"&amp;MID(A563,FIND("&lt;",A563)+1,FIND("&gt;",A563)),IF(B566&lt;&gt;"","    "&amp;"    "&amp;LEFT(A563,FIND("&lt;",A563))&amp;"/"&amp;MID(A563,FIND("&lt;",A563)+1,FIND("&gt;",A563)),""))</f>
        <v xml:space="preserve">        &lt;/relatedInfo&gt;</v>
      </c>
    </row>
    <row r="570" spans="1:4">
      <c r="A570" s="15" t="s">
        <v>120</v>
      </c>
      <c r="D570" t="str">
        <f>IF(B572&lt;&gt;"","    "&amp;"    "&amp;LEFT(A570,FIND("&gt;",A570)-1)&amp;IF(B571&lt;&gt;""," "&amp;A571&amp;"="&amp;""""&amp;B571&amp;"""","")&amp;MID(A570,FIND("&gt;",A570),FIND("&gt;",A570)),IF(B573&lt;&gt;"","    "&amp;"    "&amp;LEFT(A570,FIND("&gt;",A570)-1)&amp;IF(B571&lt;&gt;""," "&amp;A571&amp;"="&amp;""""&amp;B571&amp;"""","")&amp;MID(A570,FIND("&gt;",A570),FIND("&gt;",A570)),""))</f>
        <v/>
      </c>
    </row>
    <row r="571" spans="1:4">
      <c r="A571" s="16" t="s">
        <v>68</v>
      </c>
      <c r="B571" s="6" t="str">
        <f>IF(Form!B243&lt;&gt;"","publication","")</f>
        <v/>
      </c>
      <c r="C571" s="33" t="s">
        <v>125</v>
      </c>
    </row>
    <row r="572" spans="1:4" ht="15" customHeight="1">
      <c r="A572" s="17" t="s">
        <v>122</v>
      </c>
      <c r="B572" s="7" t="str">
        <f>IF(Form!B243&lt;&gt;"",IF(Form!B$241&lt;&gt;"",Form!B$241,""),"")</f>
        <v/>
      </c>
      <c r="C572" s="33" t="s">
        <v>125</v>
      </c>
      <c r="D572" t="str">
        <f>IF(B572&lt;&gt;"","    "&amp;"    "&amp;"    "&amp;A572&amp;B572&amp;LEFT(A572,FIND("&lt;",A572))&amp;"/"&amp;MID(A572,FIND("&lt;",A572)+1,FIND("&gt;",A572)),"")</f>
        <v/>
      </c>
    </row>
    <row r="573" spans="1:4">
      <c r="A573" s="17" t="s">
        <v>93</v>
      </c>
      <c r="B573" s="7" t="str">
        <f>IF(Form!B243&lt;&gt;"",Form!B243,"")</f>
        <v/>
      </c>
      <c r="C573" s="33" t="s">
        <v>125</v>
      </c>
      <c r="D573" t="str">
        <f>IF(B573&lt;&gt;"","    "&amp;"    "&amp;"    "&amp;LEFT(A573,FIND("&gt;",A573)-1)&amp;IF(B574&lt;&gt;""," "&amp;A574&amp;"="&amp;""""&amp;B574&amp;"""","")&amp;MID(A573,FIND("&gt;",A573),FIND("&gt;",A573))&amp;B573&amp;LEFT(A573,FIND("&lt;",A573))&amp;"/"&amp;MID(A573,FIND("&lt;",A573)+1,FIND("&gt;",A573)),"")</f>
        <v/>
      </c>
    </row>
    <row r="574" spans="1:4">
      <c r="A574" s="18" t="s">
        <v>68</v>
      </c>
      <c r="B574" s="6" t="str">
        <f>IF(Form!B243&lt;&gt;"","handle","")</f>
        <v/>
      </c>
      <c r="C574" s="33" t="s">
        <v>125</v>
      </c>
    </row>
    <row r="575" spans="1:4">
      <c r="A575" s="17" t="s">
        <v>123</v>
      </c>
      <c r="D575" t="str">
        <f>IF(B572&lt;&gt;"","    "&amp;"    "&amp;"    "&amp;LEFT(A575,FIND("&gt;",A575)-1)&amp;IF(B576&lt;&gt;""," "&amp;A576&amp;"="&amp;""""&amp;B576&amp;"""","")&amp;MID(A575,FIND("&gt;",A575),FIND("&gt;",A575))&amp;LEFT(A575,FIND("&lt;",A575))&amp;"/"&amp;MID(A575,FIND("&lt;",A575)+1,FIND("&gt;",A575)),IF(B573&lt;&gt;"","    "&amp;"    "&amp;"    "&amp;LEFT(A575,FIND("&gt;",A575)-1)&amp;IF(B576&lt;&gt;""," "&amp;A576&amp;"="&amp;""""&amp;B576&amp;"""","")&amp;MID(A575,FIND("&gt;",A575),FIND("&gt;",A575))&amp;LEFT(A575,FIND("&lt;",A575))&amp;"/"&amp;MID(A575,FIND("&lt;",A575)+1,FIND("&gt;",A575)),""))</f>
        <v/>
      </c>
    </row>
    <row r="576" spans="1:4">
      <c r="A576" s="18" t="s">
        <v>68</v>
      </c>
      <c r="B576" s="6" t="str">
        <f>IF(Form!B243&lt;&gt;"",IF(Form!B$246="Is cited by","isCitedBy",IF(Form!B$246="Is referenced by","isReferencedBy",IF(Form!B$246="Is documented by","isDocumentedBy",IF(Form!B$246="Is supplemented by","isSupplementedBy",IF(Form!B$246="Is supplement to","isSupplementTo",IF(Form!B$246="Is reviewed by","isReviewedBy",IF(Form!B$246="Is supported by","isSupportedBy",""))))))),"")</f>
        <v/>
      </c>
      <c r="C576" s="33" t="s">
        <v>125</v>
      </c>
      <c r="D576" t="str">
        <f>IF(B572&lt;&gt;"","    "&amp;"    "&amp;LEFT(A570,FIND("&lt;",A570))&amp;"/"&amp;MID(A570,FIND("&lt;",A570)+1,FIND("&gt;",A570)),IF(B573&lt;&gt;"","    "&amp;"    "&amp;LEFT(A570,FIND("&lt;",A570))&amp;"/"&amp;MID(A570,FIND("&lt;",A570)+1,FIND("&gt;",A570)),""))</f>
        <v/>
      </c>
    </row>
    <row r="577" spans="1:4">
      <c r="A577" s="15" t="s">
        <v>120</v>
      </c>
      <c r="D577" t="str">
        <f>IF(B579&lt;&gt;"","    "&amp;"    "&amp;LEFT(A577,FIND("&gt;",A577)-1)&amp;IF(B578&lt;&gt;""," "&amp;A578&amp;"="&amp;""""&amp;B578&amp;"""","")&amp;MID(A577,FIND("&gt;",A577),FIND("&gt;",A577)),IF(B580&lt;&gt;"","    "&amp;"    "&amp;LEFT(A577,FIND("&gt;",A577)-1)&amp;IF(B578&lt;&gt;""," "&amp;A578&amp;"="&amp;""""&amp;B578&amp;"""","")&amp;MID(A577,FIND("&gt;",A577),FIND("&gt;",A577)),""))</f>
        <v/>
      </c>
    </row>
    <row r="578" spans="1:4">
      <c r="A578" s="16" t="s">
        <v>68</v>
      </c>
      <c r="B578" s="6" t="str">
        <f>IF(Form!B244&lt;&gt;"","publication","")</f>
        <v/>
      </c>
      <c r="C578" s="33" t="s">
        <v>125</v>
      </c>
    </row>
    <row r="579" spans="1:4" ht="15" customHeight="1">
      <c r="A579" s="17" t="s">
        <v>122</v>
      </c>
      <c r="B579" s="7" t="str">
        <f>IF(Form!B244&lt;&gt;"",IF(Form!B$241&lt;&gt;"",Form!B$241,""),"")</f>
        <v/>
      </c>
      <c r="C579" s="33" t="s">
        <v>125</v>
      </c>
      <c r="D579" t="str">
        <f>IF(B579&lt;&gt;"","    "&amp;"    "&amp;"    "&amp;A579&amp;B579&amp;LEFT(A579,FIND("&lt;",A579))&amp;"/"&amp;MID(A579,FIND("&lt;",A579)+1,FIND("&gt;",A579)),"")</f>
        <v/>
      </c>
    </row>
    <row r="580" spans="1:4">
      <c r="A580" s="17" t="s">
        <v>93</v>
      </c>
      <c r="B580" s="7" t="str">
        <f>IF(Form!B244&lt;&gt;"",Form!B244,"")</f>
        <v/>
      </c>
      <c r="C580" s="33" t="s">
        <v>125</v>
      </c>
      <c r="D580" t="str">
        <f>IF(B580&lt;&gt;"","    "&amp;"    "&amp;"    "&amp;LEFT(A580,FIND("&gt;",A580)-1)&amp;IF(B581&lt;&gt;""," "&amp;A581&amp;"="&amp;""""&amp;B581&amp;"""","")&amp;MID(A580,FIND("&gt;",A580),FIND("&gt;",A580))&amp;B580&amp;LEFT(A580,FIND("&lt;",A580))&amp;"/"&amp;MID(A580,FIND("&lt;",A580)+1,FIND("&gt;",A580)),"")</f>
        <v/>
      </c>
    </row>
    <row r="581" spans="1:4">
      <c r="A581" s="18" t="s">
        <v>68</v>
      </c>
      <c r="B581" s="6" t="str">
        <f>IF(Form!B244&lt;&gt;"","igsn","")</f>
        <v/>
      </c>
      <c r="C581" s="33" t="s">
        <v>125</v>
      </c>
    </row>
    <row r="582" spans="1:4">
      <c r="A582" s="17" t="s">
        <v>123</v>
      </c>
      <c r="D582" t="str">
        <f>IF(B579&lt;&gt;"","    "&amp;"    "&amp;"    "&amp;LEFT(A582,FIND("&gt;",A582)-1)&amp;IF(B583&lt;&gt;""," "&amp;A583&amp;"="&amp;""""&amp;B583&amp;"""","")&amp;MID(A582,FIND("&gt;",A582),FIND("&gt;",A582))&amp;LEFT(A582,FIND("&lt;",A582))&amp;"/"&amp;MID(A582,FIND("&lt;",A582)+1,FIND("&gt;",A582)),IF(B580&lt;&gt;"","    "&amp;"    "&amp;"    "&amp;LEFT(A582,FIND("&gt;",A582)-1)&amp;IF(B583&lt;&gt;""," "&amp;A583&amp;"="&amp;""""&amp;B583&amp;"""","")&amp;MID(A582,FIND("&gt;",A582),FIND("&gt;",A582))&amp;LEFT(A582,FIND("&lt;",A582))&amp;"/"&amp;MID(A582,FIND("&lt;",A582)+1,FIND("&gt;",A582)),""))</f>
        <v/>
      </c>
    </row>
    <row r="583" spans="1:4">
      <c r="A583" s="18" t="s">
        <v>68</v>
      </c>
      <c r="B583" s="6" t="str">
        <f>IF(Form!B244&lt;&gt;"",IF(Form!B$246="Is cited by","isCitedBy",IF(Form!B$246="Is referenced by","isReferencedBy",IF(Form!B$246="Is documented by","isDocumentedBy",IF(Form!B$246="Is supplemented by","isSupplementedBy",IF(Form!B$246="Is supplement to","isSupplementTo",IF(Form!B$246="Is reviewed by","isReviewedBy",IF(Form!B$246="Is supported by","isSupportedBy",""))))))),"")</f>
        <v/>
      </c>
      <c r="C583" s="33" t="s">
        <v>125</v>
      </c>
      <c r="D583" t="str">
        <f>IF(B579&lt;&gt;"","    "&amp;"    "&amp;LEFT(A577,FIND("&lt;",A577))&amp;"/"&amp;MID(A577,FIND("&lt;",A577)+1,FIND("&gt;",A577)),IF(B580&lt;&gt;"","    "&amp;"    "&amp;LEFT(A577,FIND("&lt;",A577))&amp;"/"&amp;MID(A577,FIND("&lt;",A577)+1,FIND("&gt;",A577)),""))</f>
        <v/>
      </c>
    </row>
    <row r="584" spans="1:4">
      <c r="A584" s="15" t="s">
        <v>120</v>
      </c>
      <c r="D584" t="str">
        <f>IF(B586&lt;&gt;"","    "&amp;"    "&amp;LEFT(A584,FIND("&gt;",A584)-1)&amp;IF(B585&lt;&gt;""," "&amp;A585&amp;"="&amp;""""&amp;B585&amp;"""","")&amp;MID(A584,FIND("&gt;",A584),FIND("&gt;",A584)),IF(B587&lt;&gt;"","    "&amp;"    "&amp;LEFT(A584,FIND("&gt;",A584)-1)&amp;IF(B585&lt;&gt;""," "&amp;A585&amp;"="&amp;""""&amp;B585&amp;"""","")&amp;MID(A584,FIND("&gt;",A584),FIND("&gt;",A584)),""))</f>
        <v/>
      </c>
    </row>
    <row r="585" spans="1:4">
      <c r="A585" s="16" t="s">
        <v>68</v>
      </c>
      <c r="B585" s="6" t="str">
        <f>IF(Form!B245&lt;&gt;"","publication","")</f>
        <v/>
      </c>
      <c r="C585" s="33" t="s">
        <v>125</v>
      </c>
    </row>
    <row r="586" spans="1:4" ht="15" customHeight="1">
      <c r="A586" s="17" t="s">
        <v>122</v>
      </c>
      <c r="B586" s="7" t="str">
        <f>IF(Form!B245&lt;&gt;"",IF(Form!B$241&lt;&gt;"",Form!B$241,""),"")</f>
        <v/>
      </c>
      <c r="C586" s="33" t="s">
        <v>125</v>
      </c>
      <c r="D586" t="str">
        <f>IF(B586&lt;&gt;"","    "&amp;"    "&amp;"    "&amp;A586&amp;B586&amp;LEFT(A586,FIND("&lt;",A586))&amp;"/"&amp;MID(A586,FIND("&lt;",A586)+1,FIND("&gt;",A586)),"")</f>
        <v/>
      </c>
    </row>
    <row r="587" spans="1:4">
      <c r="A587" s="17" t="s">
        <v>93</v>
      </c>
      <c r="B587" s="7" t="str">
        <f>IF(Form!B245&lt;&gt;"",Form!B245,"")</f>
        <v/>
      </c>
      <c r="C587" s="33" t="s">
        <v>125</v>
      </c>
      <c r="D587" t="str">
        <f>IF(B587&lt;&gt;"","    "&amp;"    "&amp;"    "&amp;LEFT(A587,FIND("&gt;",A587)-1)&amp;IF(B588&lt;&gt;""," "&amp;A588&amp;"="&amp;""""&amp;B588&amp;"""","")&amp;MID(A587,FIND("&gt;",A587),FIND("&gt;",A587))&amp;B587&amp;LEFT(A587,FIND("&lt;",A587))&amp;"/"&amp;MID(A587,FIND("&lt;",A587)+1,FIND("&gt;",A587)),"")</f>
        <v/>
      </c>
    </row>
    <row r="588" spans="1:4">
      <c r="A588" s="18" t="s">
        <v>68</v>
      </c>
      <c r="B588" s="6" t="str">
        <f>IF(Form!B245&lt;&gt;"","local","")</f>
        <v/>
      </c>
      <c r="C588" s="33" t="s">
        <v>125</v>
      </c>
    </row>
    <row r="589" spans="1:4">
      <c r="A589" s="17" t="s">
        <v>123</v>
      </c>
      <c r="D589" t="str">
        <f>IF(B586&lt;&gt;"","    "&amp;"    "&amp;"    "&amp;LEFT(A589,FIND("&gt;",A589)-1)&amp;IF(B590&lt;&gt;""," "&amp;A590&amp;"="&amp;""""&amp;B590&amp;"""","")&amp;MID(A589,FIND("&gt;",A589),FIND("&gt;",A589))&amp;LEFT(A589,FIND("&lt;",A589))&amp;"/"&amp;MID(A589,FIND("&lt;",A589)+1,FIND("&gt;",A589)),IF(B587&lt;&gt;"","    "&amp;"    "&amp;"    "&amp;LEFT(A589,FIND("&gt;",A589)-1)&amp;IF(B590&lt;&gt;""," "&amp;A590&amp;"="&amp;""""&amp;B590&amp;"""","")&amp;MID(A589,FIND("&gt;",A589),FIND("&gt;",A589))&amp;LEFT(A589,FIND("&lt;",A589))&amp;"/"&amp;MID(A589,FIND("&lt;",A589)+1,FIND("&gt;",A589)),""))</f>
        <v/>
      </c>
    </row>
    <row r="590" spans="1:4">
      <c r="A590" s="18" t="s">
        <v>68</v>
      </c>
      <c r="B590" s="6" t="str">
        <f>IF(Form!B245&lt;&gt;"",IF(Form!B$246="Is cited by","isCitedBy",IF(Form!B$246="Is referenced by","isReferencedBy",IF(Form!B$246="Is documented by","isDocumentedBy",IF(Form!B$246="Is supplemented by","isSupplementedBy",IF(Form!B$246="Is supplement to","isSupplementTo",IF(Form!B$246="Is reviewed by","isReviewedBy",IF(Form!B$246="Is supported by","isSupportedBy",""))))))),"")</f>
        <v/>
      </c>
      <c r="C590" s="33" t="s">
        <v>125</v>
      </c>
      <c r="D590" t="str">
        <f>IF(B586&lt;&gt;"","    "&amp;"    "&amp;LEFT(A584,FIND("&lt;",A584))&amp;"/"&amp;MID(A584,FIND("&lt;",A584)+1,FIND("&gt;",A584)),IF(B587&lt;&gt;"","    "&amp;"    "&amp;LEFT(A584,FIND("&lt;",A584))&amp;"/"&amp;MID(A584,FIND("&lt;",A584)+1,FIND("&gt;",A584)),""))</f>
        <v/>
      </c>
    </row>
    <row r="591" spans="1:4">
      <c r="A591" s="15" t="s">
        <v>120</v>
      </c>
      <c r="D591" t="str">
        <f>IF(B593&lt;&gt;"","    "&amp;"    "&amp;LEFT(A591,FIND("&gt;",A591)-1)&amp;IF(B592&lt;&gt;""," "&amp;A592&amp;"="&amp;""""&amp;B592&amp;"""","")&amp;MID(A591,FIND("&gt;",A591),FIND("&gt;",A591)),IF(B594&lt;&gt;"","    "&amp;"    "&amp;LEFT(A591,FIND("&gt;",A591)-1)&amp;IF(B592&lt;&gt;""," "&amp;A592&amp;"="&amp;""""&amp;B592&amp;"""","")&amp;MID(A591,FIND("&gt;",A591),FIND("&gt;",A591)),""))</f>
        <v xml:space="preserve">        &lt;relatedInfo type="publication"&gt;</v>
      </c>
    </row>
    <row r="592" spans="1:4">
      <c r="A592" s="16" t="s">
        <v>68</v>
      </c>
      <c r="B592" s="6" t="str">
        <f>IF(Form!B249&lt;&gt;"","publication","")</f>
        <v>publication</v>
      </c>
      <c r="C592" s="33" t="s">
        <v>125</v>
      </c>
    </row>
    <row r="593" spans="1:4" ht="15" customHeight="1">
      <c r="A593" s="17" t="s">
        <v>122</v>
      </c>
      <c r="B593" s="7" t="str">
        <f>IF(Form!B249&lt;&gt;"",IF(Form!B$248&lt;&gt;"",Form!B$248,""),"")</f>
        <v>Meta-analysis of genome-wide association studies reveal common loci controlling agronomic and quality traits in a wide range of normal and heat stressed environments</v>
      </c>
      <c r="C593" s="33" t="s">
        <v>125</v>
      </c>
      <c r="D593" t="str">
        <f>IF(B593&lt;&gt;"","    "&amp;"    "&amp;"    "&amp;A593&amp;B593&amp;LEFT(A593,FIND("&lt;",A593))&amp;"/"&amp;MID(A593,FIND("&lt;",A593)+1,FIND("&gt;",A593)),"")</f>
        <v xml:space="preserve">            &lt;title&gt;Meta-analysis of genome-wide association studies reveal common loci controlling agronomic and quality traits in a wide range of normal and heat stressed environments&lt;/title&gt;</v>
      </c>
    </row>
    <row r="594" spans="1:4">
      <c r="A594" s="17" t="s">
        <v>93</v>
      </c>
      <c r="B594" s="7" t="str">
        <f>IF(Form!B249&lt;&gt;"",Form!B249,"")</f>
        <v>https://doi.org/10.1007/s00122-021-03809-y</v>
      </c>
      <c r="C594" s="33" t="s">
        <v>125</v>
      </c>
      <c r="D594" t="str">
        <f>IF(B594&lt;&gt;"","    "&amp;"    "&amp;"    "&amp;LEFT(A594,FIND("&gt;",A594)-1)&amp;IF(B595&lt;&gt;""," "&amp;A595&amp;"="&amp;""""&amp;B595&amp;"""","")&amp;MID(A594,FIND("&gt;",A594),FIND("&gt;",A594))&amp;B594&amp;LEFT(A594,FIND("&lt;",A594))&amp;"/"&amp;MID(A594,FIND("&lt;",A594)+1,FIND("&gt;",A594)),"")</f>
        <v xml:space="preserve">            &lt;identifier type="doi"&gt;https://doi.org/10.1007/s00122-021-03809-y&lt;/identifier&gt;</v>
      </c>
    </row>
    <row r="595" spans="1:4">
      <c r="A595" s="18" t="s">
        <v>68</v>
      </c>
      <c r="B595" s="6" t="str">
        <f>IF(Form!B249&lt;&gt;"","doi","")</f>
        <v>doi</v>
      </c>
      <c r="C595" s="33" t="s">
        <v>125</v>
      </c>
    </row>
    <row r="596" spans="1:4">
      <c r="A596" s="17" t="s">
        <v>123</v>
      </c>
      <c r="D596" t="str">
        <f>IF(B593&lt;&gt;"","    "&amp;"    "&amp;"    "&amp;LEFT(A596,FIND("&gt;",A596)-1)&amp;IF(B597&lt;&gt;""," "&amp;A597&amp;"="&amp;""""&amp;B597&amp;"""","")&amp;MID(A596,FIND("&gt;",A596),FIND("&gt;",A596))&amp;LEFT(A596,FIND("&lt;",A596))&amp;"/"&amp;MID(A596,FIND("&lt;",A596)+1,FIND("&gt;",A596)),IF(B594&lt;&gt;"","    "&amp;"    "&amp;"    "&amp;LEFT(A596,FIND("&gt;",A596)-1)&amp;IF(B597&lt;&gt;""," "&amp;A597&amp;"="&amp;""""&amp;B597&amp;"""","")&amp;MID(A596,FIND("&gt;",A596),FIND("&gt;",A596))&amp;LEFT(A596,FIND("&lt;",A596))&amp;"/"&amp;MID(A596,FIND("&lt;",A596)+1,FIND("&gt;",A596)),""))</f>
        <v xml:space="preserve">            &lt;relation type="isSupplementedBy"&gt;&lt;/relation&gt;</v>
      </c>
    </row>
    <row r="597" spans="1:4">
      <c r="A597" s="18" t="s">
        <v>68</v>
      </c>
      <c r="B597" s="6" t="str">
        <f>IF(Form!B249&lt;&gt;"",IF(Form!B$253="Is cited by","isCitedBy",IF(Form!B$253="Is referenced by","isReferencedBy",IF(Form!B$253="Is documented by","isDocumentedBy",IF(Form!B$253="Is supplemented by","isSupplementedBy",IF(Form!B$253="Is supplement to","isSupplementTo",IF(Form!B$253="Is reviewed by","isReviewedBy",IF(Form!B$253="Is supported by","isSupportedBy",""))))))),"")</f>
        <v>isSupplementedBy</v>
      </c>
      <c r="C597" s="33" t="s">
        <v>125</v>
      </c>
      <c r="D597" t="str">
        <f>IF(B593&lt;&gt;"","    "&amp;"    "&amp;LEFT(A591,FIND("&lt;",A591))&amp;"/"&amp;MID(A591,FIND("&lt;",A591)+1,FIND("&gt;",A591)),IF(B594&lt;&gt;"","    "&amp;"    "&amp;LEFT(A591,FIND("&lt;",A591))&amp;"/"&amp;MID(A591,FIND("&lt;",A591)+1,FIND("&gt;",A591)),""))</f>
        <v xml:space="preserve">        &lt;/relatedInfo&gt;</v>
      </c>
    </row>
    <row r="598" spans="1:4">
      <c r="A598" s="15" t="s">
        <v>120</v>
      </c>
      <c r="D598" t="str">
        <f>IF(B600&lt;&gt;"","    "&amp;"    "&amp;LEFT(A598,FIND("&gt;",A598)-1)&amp;IF(B599&lt;&gt;""," "&amp;A599&amp;"="&amp;""""&amp;B599&amp;"""","")&amp;MID(A598,FIND("&gt;",A598),FIND("&gt;",A598)),IF(B601&lt;&gt;"","    "&amp;"    "&amp;LEFT(A598,FIND("&gt;",A598)-1)&amp;IF(B599&lt;&gt;""," "&amp;A599&amp;"="&amp;""""&amp;B599&amp;"""","")&amp;MID(A598,FIND("&gt;",A598),FIND("&gt;",A598)),""))</f>
        <v/>
      </c>
    </row>
    <row r="599" spans="1:4">
      <c r="A599" s="16" t="s">
        <v>68</v>
      </c>
      <c r="B599" s="6" t="str">
        <f>IF(Form!B250&lt;&gt;"","publication","")</f>
        <v/>
      </c>
      <c r="C599" s="33" t="s">
        <v>125</v>
      </c>
    </row>
    <row r="600" spans="1:4" ht="15" customHeight="1">
      <c r="A600" s="17" t="s">
        <v>122</v>
      </c>
      <c r="B600" s="7" t="str">
        <f>IF(Form!B250&lt;&gt;"",IF(Form!B$248&lt;&gt;"",Form!B$248,""),"")</f>
        <v/>
      </c>
      <c r="C600" s="33" t="s">
        <v>125</v>
      </c>
      <c r="D600" t="str">
        <f>IF(B600&lt;&gt;"","    "&amp;"    "&amp;"    "&amp;A600&amp;B600&amp;LEFT(A600,FIND("&lt;",A600))&amp;"/"&amp;MID(A600,FIND("&lt;",A600)+1,FIND("&gt;",A600)),"")</f>
        <v/>
      </c>
    </row>
    <row r="601" spans="1:4">
      <c r="A601" s="17" t="s">
        <v>93</v>
      </c>
      <c r="B601" s="7" t="str">
        <f>IF(Form!B250&lt;&gt;"",Form!B250,"")</f>
        <v/>
      </c>
      <c r="C601" s="33" t="s">
        <v>125</v>
      </c>
      <c r="D601" t="str">
        <f>IF(B601&lt;&gt;"","    "&amp;"    "&amp;"    "&amp;LEFT(A601,FIND("&gt;",A601)-1)&amp;IF(B602&lt;&gt;""," "&amp;A602&amp;"="&amp;""""&amp;B602&amp;"""","")&amp;MID(A601,FIND("&gt;",A601),FIND("&gt;",A601))&amp;B601&amp;LEFT(A601,FIND("&lt;",A601))&amp;"/"&amp;MID(A601,FIND("&lt;",A601)+1,FIND("&gt;",A601)),"")</f>
        <v/>
      </c>
    </row>
    <row r="602" spans="1:4">
      <c r="A602" s="18" t="s">
        <v>68</v>
      </c>
      <c r="B602" s="6" t="str">
        <f>IF(Form!B250&lt;&gt;"","handle","")</f>
        <v/>
      </c>
      <c r="C602" s="33" t="s">
        <v>125</v>
      </c>
    </row>
    <row r="603" spans="1:4">
      <c r="A603" s="17" t="s">
        <v>123</v>
      </c>
      <c r="D603" t="str">
        <f>IF(B600&lt;&gt;"","    "&amp;"    "&amp;"    "&amp;LEFT(A603,FIND("&gt;",A603)-1)&amp;IF(B604&lt;&gt;""," "&amp;A604&amp;"="&amp;""""&amp;B604&amp;"""","")&amp;MID(A603,FIND("&gt;",A603),FIND("&gt;",A603))&amp;LEFT(A603,FIND("&lt;",A603))&amp;"/"&amp;MID(A603,FIND("&lt;",A603)+1,FIND("&gt;",A603)),IF(B601&lt;&gt;"","    "&amp;"    "&amp;"    "&amp;LEFT(A603,FIND("&gt;",A603)-1)&amp;IF(B604&lt;&gt;""," "&amp;A604&amp;"="&amp;""""&amp;B604&amp;"""","")&amp;MID(A603,FIND("&gt;",A603),FIND("&gt;",A603))&amp;LEFT(A603,FIND("&lt;",A603))&amp;"/"&amp;MID(A603,FIND("&lt;",A603)+1,FIND("&gt;",A603)),""))</f>
        <v/>
      </c>
    </row>
    <row r="604" spans="1:4">
      <c r="A604" s="18" t="s">
        <v>68</v>
      </c>
      <c r="B604" s="6" t="str">
        <f>IF(Form!B250&lt;&gt;"",IF(Form!B$253="Is cited by","isCitedBy",IF(Form!B$253="Is referenced by","isReferencedBy",IF(Form!B$253="Is documented by","isDocumentedBy",IF(Form!B$253="Is supplemented by","isSupplementedBy",IF(Form!B$253="Is supplement to","isSupplementTo",IF(Form!B$253="Is reviewed by","isReviewedBy",IF(Form!B$253="Is supported by","isSupportedBy",""))))))),"")</f>
        <v/>
      </c>
      <c r="C604" s="33" t="s">
        <v>125</v>
      </c>
      <c r="D604" t="str">
        <f>IF(B600&lt;&gt;"","    "&amp;"    "&amp;LEFT(A598,FIND("&lt;",A598))&amp;"/"&amp;MID(A598,FIND("&lt;",A598)+1,FIND("&gt;",A598)),IF(B601&lt;&gt;"","    "&amp;"    "&amp;LEFT(A598,FIND("&lt;",A598))&amp;"/"&amp;MID(A598,FIND("&lt;",A598)+1,FIND("&gt;",A598)),""))</f>
        <v/>
      </c>
    </row>
    <row r="605" spans="1:4">
      <c r="A605" s="15" t="s">
        <v>120</v>
      </c>
      <c r="D605" t="str">
        <f>IF(B607&lt;&gt;"","    "&amp;"    "&amp;LEFT(A605,FIND("&gt;",A605)-1)&amp;IF(B606&lt;&gt;""," "&amp;A606&amp;"="&amp;""""&amp;B606&amp;"""","")&amp;MID(A605,FIND("&gt;",A605),FIND("&gt;",A605)),IF(B608&lt;&gt;"","    "&amp;"    "&amp;LEFT(A605,FIND("&gt;",A605)-1)&amp;IF(B606&lt;&gt;""," "&amp;A606&amp;"="&amp;""""&amp;B606&amp;"""","")&amp;MID(A605,FIND("&gt;",A605),FIND("&gt;",A605)),""))</f>
        <v/>
      </c>
    </row>
    <row r="606" spans="1:4">
      <c r="A606" s="16" t="s">
        <v>68</v>
      </c>
      <c r="B606" s="6" t="str">
        <f>IF(Form!B251&lt;&gt;"","publication","")</f>
        <v/>
      </c>
      <c r="C606" s="33" t="s">
        <v>125</v>
      </c>
    </row>
    <row r="607" spans="1:4" ht="15" customHeight="1">
      <c r="A607" s="17" t="s">
        <v>122</v>
      </c>
      <c r="B607" s="7" t="str">
        <f>IF(Form!B251&lt;&gt;"",IF(Form!B$248&lt;&gt;"",Form!B$248,""),"")</f>
        <v/>
      </c>
      <c r="C607" s="33" t="s">
        <v>125</v>
      </c>
      <c r="D607" t="str">
        <f>IF(B607&lt;&gt;"","    "&amp;"    "&amp;"    "&amp;A607&amp;B607&amp;LEFT(A607,FIND("&lt;",A607))&amp;"/"&amp;MID(A607,FIND("&lt;",A607)+1,FIND("&gt;",A607)),"")</f>
        <v/>
      </c>
    </row>
    <row r="608" spans="1:4">
      <c r="A608" s="17" t="s">
        <v>93</v>
      </c>
      <c r="B608" s="7" t="str">
        <f>IF(Form!B251&lt;&gt;"",Form!B251,"")</f>
        <v/>
      </c>
      <c r="C608" s="33" t="s">
        <v>125</v>
      </c>
      <c r="D608" t="str">
        <f>IF(B608&lt;&gt;"","    "&amp;"    "&amp;"    "&amp;LEFT(A608,FIND("&gt;",A608)-1)&amp;IF(B609&lt;&gt;""," "&amp;A609&amp;"="&amp;""""&amp;B609&amp;"""","")&amp;MID(A608,FIND("&gt;",A608),FIND("&gt;",A608))&amp;B608&amp;LEFT(A608,FIND("&lt;",A608))&amp;"/"&amp;MID(A608,FIND("&lt;",A608)+1,FIND("&gt;",A608)),"")</f>
        <v/>
      </c>
    </row>
    <row r="609" spans="1:4">
      <c r="A609" s="18" t="s">
        <v>68</v>
      </c>
      <c r="B609" s="6" t="str">
        <f>IF(Form!B251&lt;&gt;"","igsn","")</f>
        <v/>
      </c>
      <c r="C609" s="33" t="s">
        <v>125</v>
      </c>
    </row>
    <row r="610" spans="1:4">
      <c r="A610" s="17" t="s">
        <v>123</v>
      </c>
      <c r="D610" t="str">
        <f>IF(B607&lt;&gt;"","    "&amp;"    "&amp;"    "&amp;LEFT(A610,FIND("&gt;",A610)-1)&amp;IF(B611&lt;&gt;""," "&amp;A611&amp;"="&amp;""""&amp;B611&amp;"""","")&amp;MID(A610,FIND("&gt;",A610),FIND("&gt;",A610))&amp;LEFT(A610,FIND("&lt;",A610))&amp;"/"&amp;MID(A610,FIND("&lt;",A610)+1,FIND("&gt;",A610)),IF(B608&lt;&gt;"","    "&amp;"    "&amp;"    "&amp;LEFT(A610,FIND("&gt;",A610)-1)&amp;IF(B611&lt;&gt;""," "&amp;A611&amp;"="&amp;""""&amp;B611&amp;"""","")&amp;MID(A610,FIND("&gt;",A610),FIND("&gt;",A610))&amp;LEFT(A610,FIND("&lt;",A610))&amp;"/"&amp;MID(A610,FIND("&lt;",A610)+1,FIND("&gt;",A610)),""))</f>
        <v/>
      </c>
    </row>
    <row r="611" spans="1:4">
      <c r="A611" s="18" t="s">
        <v>68</v>
      </c>
      <c r="B611" s="6" t="str">
        <f>IF(Form!B251&lt;&gt;"",IF(Form!B$253="Is cited by","isCitedBy",IF(Form!B$253="Is referenced by","isReferencedBy",IF(Form!B$253="Is documented by","isDocumentedBy",IF(Form!B$253="Is supplemented by","isSupplementedBy",IF(Form!B$253="Is supplement to","isSupplementTo",IF(Form!B$253="Is reviewed by","isReviewedBy",IF(Form!B$253="Is supported by","isSupportedBy",""))))))),"")</f>
        <v/>
      </c>
      <c r="C611" s="33" t="s">
        <v>125</v>
      </c>
      <c r="D611" t="str">
        <f>IF(B607&lt;&gt;"","    "&amp;"    "&amp;LEFT(A605,FIND("&lt;",A605))&amp;"/"&amp;MID(A605,FIND("&lt;",A605)+1,FIND("&gt;",A605)),IF(B608&lt;&gt;"","    "&amp;"    "&amp;LEFT(A605,FIND("&lt;",A605))&amp;"/"&amp;MID(A605,FIND("&lt;",A605)+1,FIND("&gt;",A605)),""))</f>
        <v/>
      </c>
    </row>
    <row r="612" spans="1:4">
      <c r="A612" s="15" t="s">
        <v>120</v>
      </c>
      <c r="D612" t="str">
        <f>IF(B614&lt;&gt;"","    "&amp;"    "&amp;LEFT(A612,FIND("&gt;",A612)-1)&amp;IF(B613&lt;&gt;""," "&amp;A613&amp;"="&amp;""""&amp;B613&amp;"""","")&amp;MID(A612,FIND("&gt;",A612),FIND("&gt;",A612)),IF(B615&lt;&gt;"","    "&amp;"    "&amp;LEFT(A612,FIND("&gt;",A612)-1)&amp;IF(B613&lt;&gt;""," "&amp;A613&amp;"="&amp;""""&amp;B613&amp;"""","")&amp;MID(A612,FIND("&gt;",A612),FIND("&gt;",A612)),""))</f>
        <v/>
      </c>
    </row>
    <row r="613" spans="1:4">
      <c r="A613" s="16" t="s">
        <v>68</v>
      </c>
      <c r="B613" s="6" t="str">
        <f>IF(Form!B252&lt;&gt;"","publication","")</f>
        <v/>
      </c>
      <c r="C613" s="33" t="s">
        <v>125</v>
      </c>
    </row>
    <row r="614" spans="1:4" ht="15" customHeight="1">
      <c r="A614" s="17" t="s">
        <v>122</v>
      </c>
      <c r="B614" s="7" t="str">
        <f>IF(Form!B252&lt;&gt;"",IF(Form!B$248&lt;&gt;"",Form!B$248,""),"")</f>
        <v/>
      </c>
      <c r="C614" s="33" t="s">
        <v>125</v>
      </c>
      <c r="D614" t="str">
        <f>IF(B614&lt;&gt;"","    "&amp;"    "&amp;"    "&amp;A614&amp;B614&amp;LEFT(A614,FIND("&lt;",A614))&amp;"/"&amp;MID(A614,FIND("&lt;",A614)+1,FIND("&gt;",A614)),"")</f>
        <v/>
      </c>
    </row>
    <row r="615" spans="1:4">
      <c r="A615" s="17" t="s">
        <v>93</v>
      </c>
      <c r="B615" s="7" t="str">
        <f>IF(Form!B252&lt;&gt;"",Form!B252,"")</f>
        <v/>
      </c>
      <c r="C615" s="33" t="s">
        <v>125</v>
      </c>
      <c r="D615" t="str">
        <f>IF(B615&lt;&gt;"","    "&amp;"    "&amp;"    "&amp;LEFT(A615,FIND("&gt;",A615)-1)&amp;IF(B616&lt;&gt;""," "&amp;A616&amp;"="&amp;""""&amp;B616&amp;"""","")&amp;MID(A615,FIND("&gt;",A615),FIND("&gt;",A615))&amp;B615&amp;LEFT(A615,FIND("&lt;",A615))&amp;"/"&amp;MID(A615,FIND("&lt;",A615)+1,FIND("&gt;",A615)),"")</f>
        <v/>
      </c>
    </row>
    <row r="616" spans="1:4">
      <c r="A616" s="18" t="s">
        <v>68</v>
      </c>
      <c r="B616" s="6" t="str">
        <f>IF(Form!B252&lt;&gt;"","local","")</f>
        <v/>
      </c>
      <c r="C616" s="33" t="s">
        <v>125</v>
      </c>
    </row>
    <row r="617" spans="1:4">
      <c r="A617" s="17" t="s">
        <v>123</v>
      </c>
      <c r="D617" t="str">
        <f>IF(B614&lt;&gt;"","    "&amp;"    "&amp;"    "&amp;LEFT(A617,FIND("&gt;",A617)-1)&amp;IF(B618&lt;&gt;""," "&amp;A618&amp;"="&amp;""""&amp;B618&amp;"""","")&amp;MID(A617,FIND("&gt;",A617),FIND("&gt;",A617))&amp;LEFT(A617,FIND("&lt;",A617))&amp;"/"&amp;MID(A617,FIND("&lt;",A617)+1,FIND("&gt;",A617)),IF(B615&lt;&gt;"","    "&amp;"    "&amp;"    "&amp;LEFT(A617,FIND("&gt;",A617)-1)&amp;IF(B618&lt;&gt;""," "&amp;A618&amp;"="&amp;""""&amp;B618&amp;"""","")&amp;MID(A617,FIND("&gt;",A617),FIND("&gt;",A617))&amp;LEFT(A617,FIND("&lt;",A617))&amp;"/"&amp;MID(A617,FIND("&lt;",A617)+1,FIND("&gt;",A617)),""))</f>
        <v/>
      </c>
    </row>
    <row r="618" spans="1:4">
      <c r="A618" s="18" t="s">
        <v>68</v>
      </c>
      <c r="B618" s="6" t="str">
        <f>IF(Form!B252&lt;&gt;"",IF(Form!B$253="Is cited by","isCitedBy",IF(Form!B$253="Is referenced by","isReferencedBy",IF(Form!B$253="Is documented by","isDocumentedBy",IF(Form!B$253="Is supplemented by","isSupplementedBy",IF(Form!B$253="Is supplement to","isSupplementTo",IF(Form!B$253="Is reviewed by","isReviewedBy",IF(Form!B$253="Is supported by","isSupportedBy",""))))))),"")</f>
        <v/>
      </c>
      <c r="C618" s="33" t="s">
        <v>125</v>
      </c>
      <c r="D618" t="str">
        <f>IF(B614&lt;&gt;"","    "&amp;"    "&amp;LEFT(A612,FIND("&lt;",A612))&amp;"/"&amp;MID(A612,FIND("&lt;",A612)+1,FIND("&gt;",A612)),IF(B615&lt;&gt;"","    "&amp;"    "&amp;LEFT(A612,FIND("&lt;",A612))&amp;"/"&amp;MID(A612,FIND("&lt;",A612)+1,FIND("&gt;",A612)),""))</f>
        <v/>
      </c>
    </row>
    <row r="619" spans="1:4">
      <c r="A619" s="15" t="s">
        <v>120</v>
      </c>
      <c r="D619" t="str">
        <f>IF(B621&lt;&gt;"","    "&amp;"    "&amp;LEFT(A619,FIND("&gt;",A619)-1)&amp;IF(B620&lt;&gt;""," "&amp;A620&amp;"="&amp;""""&amp;B620&amp;"""","")&amp;MID(A619,FIND("&gt;",A619),FIND("&gt;",A619)),IF(B622&lt;&gt;"","    "&amp;"    "&amp;LEFT(A619,FIND("&gt;",A619)-1)&amp;IF(B620&lt;&gt;""," "&amp;A620&amp;"="&amp;""""&amp;B620&amp;"""","")&amp;MID(A619,FIND("&gt;",A619),FIND("&gt;",A619)),""))</f>
        <v xml:space="preserve">        &lt;relatedInfo type="publication"&gt;</v>
      </c>
    </row>
    <row r="620" spans="1:4">
      <c r="A620" s="16" t="s">
        <v>68</v>
      </c>
      <c r="B620" s="6" t="str">
        <f>IF(Form!B256&lt;&gt;"","publication","")</f>
        <v>publication</v>
      </c>
      <c r="C620" s="33" t="s">
        <v>125</v>
      </c>
    </row>
    <row r="621" spans="1:4" ht="15" customHeight="1">
      <c r="A621" s="17" t="s">
        <v>122</v>
      </c>
      <c r="B621" s="7" t="str">
        <f>IF(Form!B256&lt;&gt;"",IF(Form!B$255&lt;&gt;"",Form!B$255,""),"")</f>
        <v>A phenotyping strategy for evaluating the high-temperature tolerance of wheat.</v>
      </c>
      <c r="C621" s="33" t="s">
        <v>125</v>
      </c>
      <c r="D621" t="str">
        <f>IF(B621&lt;&gt;"","    "&amp;"    "&amp;"    "&amp;A621&amp;B621&amp;LEFT(A621,FIND("&lt;",A621))&amp;"/"&amp;MID(A621,FIND("&lt;",A621)+1,FIND("&gt;",A621)),"")</f>
        <v xml:space="preserve">            &lt;title&gt;A phenotyping strategy for evaluating the high-temperature tolerance of wheat.&lt;/title&gt;</v>
      </c>
    </row>
    <row r="622" spans="1:4">
      <c r="A622" s="17" t="s">
        <v>93</v>
      </c>
      <c r="B622" s="7" t="str">
        <f>IF(Form!B256&lt;&gt;"",Form!B256,"")</f>
        <v>https://doi.org/10.1016/j.fcr.2020.107905</v>
      </c>
      <c r="C622" s="33" t="s">
        <v>125</v>
      </c>
      <c r="D622" t="str">
        <f>IF(B622&lt;&gt;"","    "&amp;"    "&amp;"    "&amp;LEFT(A622,FIND("&gt;",A622)-1)&amp;IF(B623&lt;&gt;""," "&amp;A623&amp;"="&amp;""""&amp;B623&amp;"""","")&amp;MID(A622,FIND("&gt;",A622),FIND("&gt;",A622))&amp;B622&amp;LEFT(A622,FIND("&lt;",A622))&amp;"/"&amp;MID(A622,FIND("&lt;",A622)+1,FIND("&gt;",A622)),"")</f>
        <v xml:space="preserve">            &lt;identifier type="doi"&gt;https://doi.org/10.1016/j.fcr.2020.107905&lt;/identifier&gt;</v>
      </c>
    </row>
    <row r="623" spans="1:4">
      <c r="A623" s="18" t="s">
        <v>68</v>
      </c>
      <c r="B623" s="6" t="str">
        <f>IF(Form!B256&lt;&gt;"","doi","")</f>
        <v>doi</v>
      </c>
      <c r="C623" s="33" t="s">
        <v>125</v>
      </c>
    </row>
    <row r="624" spans="1:4">
      <c r="A624" s="17" t="s">
        <v>123</v>
      </c>
      <c r="D624" t="str">
        <f>IF(B621&lt;&gt;"","    "&amp;"    "&amp;"    "&amp;LEFT(A624,FIND("&gt;",A624)-1)&amp;IF(B625&lt;&gt;""," "&amp;A625&amp;"="&amp;""""&amp;B625&amp;"""","")&amp;MID(A624,FIND("&gt;",A624),FIND("&gt;",A624))&amp;LEFT(A624,FIND("&lt;",A624))&amp;"/"&amp;MID(A624,FIND("&lt;",A624)+1,FIND("&gt;",A624)),IF(B622&lt;&gt;"","    "&amp;"    "&amp;"    "&amp;LEFT(A624,FIND("&gt;",A624)-1)&amp;IF(B625&lt;&gt;""," "&amp;A625&amp;"="&amp;""""&amp;B625&amp;"""","")&amp;MID(A624,FIND("&gt;",A624),FIND("&gt;",A624))&amp;LEFT(A624,FIND("&lt;",A624))&amp;"/"&amp;MID(A624,FIND("&lt;",A624)+1,FIND("&gt;",A624)),""))</f>
        <v xml:space="preserve">            &lt;relation type="isReviewedBy"&gt;&lt;/relation&gt;</v>
      </c>
    </row>
    <row r="625" spans="1:4">
      <c r="A625" s="18" t="s">
        <v>68</v>
      </c>
      <c r="B625" s="6" t="str">
        <f>IF(Form!B256&lt;&gt;"",IF(Form!B$260="Is cited by","isCitedBy",IF(Form!B$260="Is referenced by","isReferencedBy",IF(Form!B$260="Is documented by","isDocumentedBy",IF(Form!B$260="Is supplemented by","isSupplementedBy",IF(Form!B$260="Is supplement to","isSupplementTo",IF(Form!B$260="Is reviewed by","isReviewedBy",IF(Form!B$260="Is supported by","isSupportedBy",""))))))),"")</f>
        <v>isReviewedBy</v>
      </c>
      <c r="C625" s="33" t="s">
        <v>125</v>
      </c>
      <c r="D625" t="str">
        <f>IF(B621&lt;&gt;"","    "&amp;"    "&amp;LEFT(A619,FIND("&lt;",A619))&amp;"/"&amp;MID(A619,FIND("&lt;",A619)+1,FIND("&gt;",A619)),IF(B622&lt;&gt;"","    "&amp;"    "&amp;LEFT(A619,FIND("&lt;",A619))&amp;"/"&amp;MID(A619,FIND("&lt;",A619)+1,FIND("&gt;",A619)),""))</f>
        <v xml:space="preserve">        &lt;/relatedInfo&gt;</v>
      </c>
    </row>
    <row r="626" spans="1:4">
      <c r="A626" s="15" t="s">
        <v>120</v>
      </c>
      <c r="D626" t="str">
        <f>IF(B628&lt;&gt;"","    "&amp;"    "&amp;LEFT(A626,FIND("&gt;",A626)-1)&amp;IF(B627&lt;&gt;""," "&amp;A627&amp;"="&amp;""""&amp;B627&amp;"""","")&amp;MID(A626,FIND("&gt;",A626),FIND("&gt;",A626)),IF(B629&lt;&gt;"","    "&amp;"    "&amp;LEFT(A626,FIND("&gt;",A626)-1)&amp;IF(B627&lt;&gt;""," "&amp;A627&amp;"="&amp;""""&amp;B627&amp;"""","")&amp;MID(A626,FIND("&gt;",A626),FIND("&gt;",A626)),""))</f>
        <v/>
      </c>
    </row>
    <row r="627" spans="1:4">
      <c r="A627" s="16" t="s">
        <v>68</v>
      </c>
      <c r="B627" s="6" t="str">
        <f>IF(Form!B257&lt;&gt;"","publication","")</f>
        <v/>
      </c>
      <c r="C627" s="33" t="s">
        <v>125</v>
      </c>
    </row>
    <row r="628" spans="1:4" ht="15" customHeight="1">
      <c r="A628" s="17" t="s">
        <v>122</v>
      </c>
      <c r="B628" s="7" t="str">
        <f>IF(Form!B257&lt;&gt;"",IF(Form!B$255&lt;&gt;"",Form!B$255,""),"")</f>
        <v/>
      </c>
      <c r="C628" s="33" t="s">
        <v>125</v>
      </c>
      <c r="D628" t="str">
        <f>IF(B628&lt;&gt;"","    "&amp;"    "&amp;"    "&amp;A628&amp;B628&amp;LEFT(A628,FIND("&lt;",A628))&amp;"/"&amp;MID(A628,FIND("&lt;",A628)+1,FIND("&gt;",A628)),"")</f>
        <v/>
      </c>
    </row>
    <row r="629" spans="1:4">
      <c r="A629" s="17" t="s">
        <v>93</v>
      </c>
      <c r="B629" s="7" t="str">
        <f>IF(Form!B257&lt;&gt;"",Form!B257,"")</f>
        <v/>
      </c>
      <c r="C629" s="33" t="s">
        <v>125</v>
      </c>
      <c r="D629" t="str">
        <f>IF(B629&lt;&gt;"","    "&amp;"    "&amp;"    "&amp;LEFT(A629,FIND("&gt;",A629)-1)&amp;IF(B630&lt;&gt;""," "&amp;A630&amp;"="&amp;""""&amp;B630&amp;"""","")&amp;MID(A629,FIND("&gt;",A629),FIND("&gt;",A629))&amp;B629&amp;LEFT(A629,FIND("&lt;",A629))&amp;"/"&amp;MID(A629,FIND("&lt;",A629)+1,FIND("&gt;",A629)),"")</f>
        <v/>
      </c>
    </row>
    <row r="630" spans="1:4">
      <c r="A630" s="18" t="s">
        <v>68</v>
      </c>
      <c r="B630" s="6" t="str">
        <f>IF(Form!B257&lt;&gt;"","handle","")</f>
        <v/>
      </c>
      <c r="C630" s="33" t="s">
        <v>125</v>
      </c>
    </row>
    <row r="631" spans="1:4">
      <c r="A631" s="17" t="s">
        <v>123</v>
      </c>
      <c r="D631" t="str">
        <f>IF(B628&lt;&gt;"","    "&amp;"    "&amp;"    "&amp;LEFT(A631,FIND("&gt;",A631)-1)&amp;IF(B632&lt;&gt;""," "&amp;A632&amp;"="&amp;""""&amp;B632&amp;"""","")&amp;MID(A631,FIND("&gt;",A631),FIND("&gt;",A631))&amp;LEFT(A631,FIND("&lt;",A631))&amp;"/"&amp;MID(A631,FIND("&lt;",A631)+1,FIND("&gt;",A631)),IF(B629&lt;&gt;"","    "&amp;"    "&amp;"    "&amp;LEFT(A631,FIND("&gt;",A631)-1)&amp;IF(B632&lt;&gt;""," "&amp;A632&amp;"="&amp;""""&amp;B632&amp;"""","")&amp;MID(A631,FIND("&gt;",A631),FIND("&gt;",A631))&amp;LEFT(A631,FIND("&lt;",A631))&amp;"/"&amp;MID(A631,FIND("&lt;",A631)+1,FIND("&gt;",A631)),""))</f>
        <v/>
      </c>
    </row>
    <row r="632" spans="1:4">
      <c r="A632" s="18" t="s">
        <v>68</v>
      </c>
      <c r="B632" s="6" t="str">
        <f>IF(Form!B257&lt;&gt;"",IF(Form!B$260="Is cited by","isCitedBy",IF(Form!B$260="Is referenced by","isReferencedBy",IF(Form!B$260="Is documented by","isDocumentedBy",IF(Form!B$260="Is supplemented by","isSupplementedBy",IF(Form!B$260="Is supplement to","isSupplementTo",IF(Form!B$260="Is reviewed by","isReviewedBy",IF(Form!B$260="Is supported by","isSupportedBy",""))))))),"")</f>
        <v/>
      </c>
      <c r="C632" s="33" t="s">
        <v>125</v>
      </c>
      <c r="D632" t="str">
        <f>IF(B628&lt;&gt;"","    "&amp;"    "&amp;LEFT(A626,FIND("&lt;",A626))&amp;"/"&amp;MID(A626,FIND("&lt;",A626)+1,FIND("&gt;",A626)),IF(B629&lt;&gt;"","    "&amp;"    "&amp;LEFT(A626,FIND("&lt;",A626))&amp;"/"&amp;MID(A626,FIND("&lt;",A626)+1,FIND("&gt;",A626)),""))</f>
        <v/>
      </c>
    </row>
    <row r="633" spans="1:4">
      <c r="A633" s="15" t="s">
        <v>120</v>
      </c>
      <c r="D633" t="str">
        <f>IF(B635&lt;&gt;"","    "&amp;"    "&amp;LEFT(A633,FIND("&gt;",A633)-1)&amp;IF(B634&lt;&gt;""," "&amp;A634&amp;"="&amp;""""&amp;B634&amp;"""","")&amp;MID(A633,FIND("&gt;",A633),FIND("&gt;",A633)),IF(B636&lt;&gt;"","    "&amp;"    "&amp;LEFT(A633,FIND("&gt;",A633)-1)&amp;IF(B634&lt;&gt;""," "&amp;A634&amp;"="&amp;""""&amp;B634&amp;"""","")&amp;MID(A633,FIND("&gt;",A633),FIND("&gt;",A633)),""))</f>
        <v/>
      </c>
    </row>
    <row r="634" spans="1:4">
      <c r="A634" s="16" t="s">
        <v>68</v>
      </c>
      <c r="B634" s="6" t="str">
        <f>IF(Form!B258&lt;&gt;"","publication","")</f>
        <v/>
      </c>
      <c r="C634" s="33" t="s">
        <v>125</v>
      </c>
    </row>
    <row r="635" spans="1:4" ht="15" customHeight="1">
      <c r="A635" s="17" t="s">
        <v>122</v>
      </c>
      <c r="B635" s="7" t="str">
        <f>IF(Form!B258&lt;&gt;"",IF(Form!B$255&lt;&gt;"",Form!B$255,""),"")</f>
        <v/>
      </c>
      <c r="C635" s="33" t="s">
        <v>125</v>
      </c>
      <c r="D635" t="str">
        <f>IF(B635&lt;&gt;"","    "&amp;"    "&amp;"    "&amp;A635&amp;B635&amp;LEFT(A635,FIND("&lt;",A635))&amp;"/"&amp;MID(A635,FIND("&lt;",A635)+1,FIND("&gt;",A635)),"")</f>
        <v/>
      </c>
    </row>
    <row r="636" spans="1:4">
      <c r="A636" s="17" t="s">
        <v>93</v>
      </c>
      <c r="B636" s="7" t="str">
        <f>IF(Form!B258&lt;&gt;"",Form!B258,"")</f>
        <v/>
      </c>
      <c r="C636" s="33" t="s">
        <v>125</v>
      </c>
      <c r="D636" t="str">
        <f>IF(B636&lt;&gt;"","    "&amp;"    "&amp;"    "&amp;LEFT(A636,FIND("&gt;",A636)-1)&amp;IF(B637&lt;&gt;""," "&amp;A637&amp;"="&amp;""""&amp;B637&amp;"""","")&amp;MID(A636,FIND("&gt;",A636),FIND("&gt;",A636))&amp;B636&amp;LEFT(A636,FIND("&lt;",A636))&amp;"/"&amp;MID(A636,FIND("&lt;",A636)+1,FIND("&gt;",A636)),"")</f>
        <v/>
      </c>
    </row>
    <row r="637" spans="1:4">
      <c r="A637" s="18" t="s">
        <v>68</v>
      </c>
      <c r="B637" s="6" t="str">
        <f>IF(Form!B258&lt;&gt;"","igsn","")</f>
        <v/>
      </c>
      <c r="C637" s="33" t="s">
        <v>125</v>
      </c>
    </row>
    <row r="638" spans="1:4">
      <c r="A638" s="17" t="s">
        <v>123</v>
      </c>
      <c r="D638" t="str">
        <f>IF(B635&lt;&gt;"","    "&amp;"    "&amp;"    "&amp;LEFT(A638,FIND("&gt;",A638)-1)&amp;IF(B639&lt;&gt;""," "&amp;A639&amp;"="&amp;""""&amp;B639&amp;"""","")&amp;MID(A638,FIND("&gt;",A638),FIND("&gt;",A638))&amp;LEFT(A638,FIND("&lt;",A638))&amp;"/"&amp;MID(A638,FIND("&lt;",A638)+1,FIND("&gt;",A638)),IF(B636&lt;&gt;"","    "&amp;"    "&amp;"    "&amp;LEFT(A638,FIND("&gt;",A638)-1)&amp;IF(B639&lt;&gt;""," "&amp;A639&amp;"="&amp;""""&amp;B639&amp;"""","")&amp;MID(A638,FIND("&gt;",A638),FIND("&gt;",A638))&amp;LEFT(A638,FIND("&lt;",A638))&amp;"/"&amp;MID(A638,FIND("&lt;",A638)+1,FIND("&gt;",A638)),""))</f>
        <v/>
      </c>
    </row>
    <row r="639" spans="1:4">
      <c r="A639" s="18" t="s">
        <v>68</v>
      </c>
      <c r="B639" s="6" t="str">
        <f>IF(Form!B258&lt;&gt;"",IF(Form!B$260="Is cited by","isCitedBy",IF(Form!B$260="Is referenced by","isReferencedBy",IF(Form!B$260="Is documented by","isDocumentedBy",IF(Form!B$260="Is supplemented by","isSupplementedBy",IF(Form!B$260="Is supplement to","isSupplementTo",IF(Form!B$260="Is reviewed by","isReviewedBy",IF(Form!B$260="Is supported by","isSupportedBy",""))))))),"")</f>
        <v/>
      </c>
      <c r="C639" s="33" t="s">
        <v>125</v>
      </c>
      <c r="D639" t="str">
        <f>IF(B635&lt;&gt;"","    "&amp;"    "&amp;LEFT(A633,FIND("&lt;",A633))&amp;"/"&amp;MID(A633,FIND("&lt;",A633)+1,FIND("&gt;",A633)),IF(B636&lt;&gt;"","    "&amp;"    "&amp;LEFT(A633,FIND("&lt;",A633))&amp;"/"&amp;MID(A633,FIND("&lt;",A633)+1,FIND("&gt;",A633)),""))</f>
        <v/>
      </c>
    </row>
    <row r="640" spans="1:4">
      <c r="A640" s="15" t="s">
        <v>120</v>
      </c>
      <c r="D640" t="str">
        <f>IF(B642&lt;&gt;"","    "&amp;"    "&amp;LEFT(A640,FIND("&gt;",A640)-1)&amp;IF(B641&lt;&gt;""," "&amp;A641&amp;"="&amp;""""&amp;B641&amp;"""","")&amp;MID(A640,FIND("&gt;",A640),FIND("&gt;",A640)),IF(B643&lt;&gt;"","    "&amp;"    "&amp;LEFT(A640,FIND("&gt;",A640)-1)&amp;IF(B641&lt;&gt;""," "&amp;A641&amp;"="&amp;""""&amp;B641&amp;"""","")&amp;MID(A640,FIND("&gt;",A640),FIND("&gt;",A640)),""))</f>
        <v/>
      </c>
    </row>
    <row r="641" spans="1:4">
      <c r="A641" s="16" t="s">
        <v>68</v>
      </c>
      <c r="B641" s="6" t="str">
        <f>IF(Form!B259&lt;&gt;"","publication","")</f>
        <v/>
      </c>
      <c r="C641" s="33" t="s">
        <v>125</v>
      </c>
    </row>
    <row r="642" spans="1:4" ht="15" customHeight="1">
      <c r="A642" s="17" t="s">
        <v>122</v>
      </c>
      <c r="B642" s="7" t="str">
        <f>IF(Form!B259&lt;&gt;"",IF(Form!B$255&lt;&gt;"",Form!B$255,""),"")</f>
        <v/>
      </c>
      <c r="C642" s="33" t="s">
        <v>125</v>
      </c>
      <c r="D642" t="str">
        <f>IF(B642&lt;&gt;"","    "&amp;"    "&amp;"    "&amp;A642&amp;B642&amp;LEFT(A642,FIND("&lt;",A642))&amp;"/"&amp;MID(A642,FIND("&lt;",A642)+1,FIND("&gt;",A642)),"")</f>
        <v/>
      </c>
    </row>
    <row r="643" spans="1:4">
      <c r="A643" s="17" t="s">
        <v>93</v>
      </c>
      <c r="B643" s="7" t="str">
        <f>IF(Form!B259&lt;&gt;"",Form!B259,"")</f>
        <v/>
      </c>
      <c r="C643" s="33" t="s">
        <v>125</v>
      </c>
      <c r="D643" t="str">
        <f>IF(B643&lt;&gt;"","    "&amp;"    "&amp;"    "&amp;LEFT(A643,FIND("&gt;",A643)-1)&amp;IF(B644&lt;&gt;""," "&amp;A644&amp;"="&amp;""""&amp;B644&amp;"""","")&amp;MID(A643,FIND("&gt;",A643),FIND("&gt;",A643))&amp;B643&amp;LEFT(A643,FIND("&lt;",A643))&amp;"/"&amp;MID(A643,FIND("&lt;",A643)+1,FIND("&gt;",A643)),"")</f>
        <v/>
      </c>
    </row>
    <row r="644" spans="1:4">
      <c r="A644" s="18" t="s">
        <v>68</v>
      </c>
      <c r="B644" s="6" t="str">
        <f>IF(Form!B259&lt;&gt;"","local","")</f>
        <v/>
      </c>
      <c r="C644" s="33" t="s">
        <v>125</v>
      </c>
    </row>
    <row r="645" spans="1:4">
      <c r="A645" s="17" t="s">
        <v>123</v>
      </c>
      <c r="D645" t="str">
        <f>IF(B642&lt;&gt;"","    "&amp;"    "&amp;"    "&amp;LEFT(A645,FIND("&gt;",A645)-1)&amp;IF(B646&lt;&gt;""," "&amp;A646&amp;"="&amp;""""&amp;B646&amp;"""","")&amp;MID(A645,FIND("&gt;",A645),FIND("&gt;",A645))&amp;LEFT(A645,FIND("&lt;",A645))&amp;"/"&amp;MID(A645,FIND("&lt;",A645)+1,FIND("&gt;",A645)),IF(B643&lt;&gt;"","    "&amp;"    "&amp;"    "&amp;LEFT(A645,FIND("&gt;",A645)-1)&amp;IF(B646&lt;&gt;""," "&amp;A646&amp;"="&amp;""""&amp;B646&amp;"""","")&amp;MID(A645,FIND("&gt;",A645),FIND("&gt;",A645))&amp;LEFT(A645,FIND("&lt;",A645))&amp;"/"&amp;MID(A645,FIND("&lt;",A645)+1,FIND("&gt;",A645)),""))</f>
        <v/>
      </c>
    </row>
    <row r="646" spans="1:4">
      <c r="A646" s="18" t="s">
        <v>68</v>
      </c>
      <c r="B646" s="6" t="str">
        <f>IF(Form!B259&lt;&gt;"",IF(Form!B$260="Is cited by","isCitedBy",IF(Form!B$260="Is referenced by","isReferencedBy",IF(Form!B$260="Is documented by","isDocumentedBy",IF(Form!B$260="Is supplemented by","isSupplementedBy",IF(Form!B$260="Is supplement to","isSupplementTo",IF(Form!B$260="Is reviewed by","isReviewedBy",IF(Form!B$260="Is supported by","isSupportedBy",""))))))),"")</f>
        <v/>
      </c>
      <c r="C646" s="33" t="s">
        <v>125</v>
      </c>
      <c r="D646" t="str">
        <f>IF(B642&lt;&gt;"","    "&amp;"    "&amp;LEFT(A640,FIND("&lt;",A640))&amp;"/"&amp;MID(A640,FIND("&lt;",A640)+1,FIND("&gt;",A640)),IF(B643&lt;&gt;"","    "&amp;"    "&amp;LEFT(A640,FIND("&lt;",A640))&amp;"/"&amp;MID(A640,FIND("&lt;",A640)+1,FIND("&gt;",A640)),""))</f>
        <v/>
      </c>
    </row>
    <row r="647" spans="1:4">
      <c r="A647" s="15" t="s">
        <v>120</v>
      </c>
      <c r="D647" t="str">
        <f>IF(B649&lt;&gt;"","    "&amp;"    "&amp;LEFT(A647,FIND("&gt;",A647)-1)&amp;IF(B648&lt;&gt;""," "&amp;A648&amp;"="&amp;""""&amp;B648&amp;"""","")&amp;MID(A647,FIND("&gt;",A647),FIND("&gt;",A647)),IF(B650&lt;&gt;"","    "&amp;"    "&amp;LEFT(A647,FIND("&gt;",A647)-1)&amp;IF(B648&lt;&gt;""," "&amp;A648&amp;"="&amp;""""&amp;B648&amp;"""","")&amp;MID(A647,FIND("&gt;",A647),FIND("&gt;",A647)),""))</f>
        <v xml:space="preserve">        &lt;relatedInfo type="publication"&gt;</v>
      </c>
    </row>
    <row r="648" spans="1:4">
      <c r="A648" s="16" t="s">
        <v>68</v>
      </c>
      <c r="B648" s="6" t="str">
        <f>IF(Form!B263&lt;&gt;"","publication","")</f>
        <v>publication</v>
      </c>
      <c r="C648" s="33" t="s">
        <v>125</v>
      </c>
    </row>
    <row r="649" spans="1:4" ht="15" customHeight="1">
      <c r="A649" s="17" t="s">
        <v>122</v>
      </c>
      <c r="B649" s="7" t="str">
        <f>IF(Form!B263&lt;&gt;"",IF(Form!B$262&lt;&gt;"",Form!B$262,""),"")</f>
        <v>Genetic Contribution of Emmer Wheat (Triticum dicoccon Schrank) to Heat Tolerance of Bread Wheat.</v>
      </c>
      <c r="C649" s="33" t="s">
        <v>125</v>
      </c>
      <c r="D649" t="str">
        <f>IF(B649&lt;&gt;"","    "&amp;"    "&amp;"    "&amp;A649&amp;B649&amp;LEFT(A649,FIND("&lt;",A649))&amp;"/"&amp;MID(A649,FIND("&lt;",A649)+1,FIND("&gt;",A649)),"")</f>
        <v xml:space="preserve">            &lt;title&gt;Genetic Contribution of Emmer Wheat (Triticum dicoccon Schrank) to Heat Tolerance of Bread Wheat.&lt;/title&gt;</v>
      </c>
    </row>
    <row r="650" spans="1:4">
      <c r="A650" s="17" t="s">
        <v>93</v>
      </c>
      <c r="B650" s="7" t="str">
        <f>IF(Form!B263&lt;&gt;"",Form!B263,"")</f>
        <v>https://doi.org/10.3389/fpls.2018.01529</v>
      </c>
      <c r="C650" s="33" t="s">
        <v>125</v>
      </c>
      <c r="D650" t="str">
        <f>IF(B650&lt;&gt;"","    "&amp;"    "&amp;"    "&amp;LEFT(A650,FIND("&gt;",A650)-1)&amp;IF(B651&lt;&gt;""," "&amp;A651&amp;"="&amp;""""&amp;B651&amp;"""","")&amp;MID(A650,FIND("&gt;",A650),FIND("&gt;",A650))&amp;B650&amp;LEFT(A650,FIND("&lt;",A650))&amp;"/"&amp;MID(A650,FIND("&lt;",A650)+1,FIND("&gt;",A650)),"")</f>
        <v xml:space="preserve">            &lt;identifier type="doi"&gt;https://doi.org/10.3389/fpls.2018.01529&lt;/identifier&gt;</v>
      </c>
    </row>
    <row r="651" spans="1:4">
      <c r="A651" s="18" t="s">
        <v>68</v>
      </c>
      <c r="B651" s="6" t="str">
        <f>IF(Form!B263&lt;&gt;"","doi","")</f>
        <v>doi</v>
      </c>
      <c r="C651" s="33" t="s">
        <v>125</v>
      </c>
    </row>
    <row r="652" spans="1:4">
      <c r="A652" s="17" t="s">
        <v>123</v>
      </c>
      <c r="D652" t="str">
        <f>IF(B649&lt;&gt;"","    "&amp;"    "&amp;"    "&amp;LEFT(A652,FIND("&gt;",A652)-1)&amp;IF(B653&lt;&gt;""," "&amp;A653&amp;"="&amp;""""&amp;B653&amp;"""","")&amp;MID(A652,FIND("&gt;",A652),FIND("&gt;",A652))&amp;LEFT(A652,FIND("&lt;",A652))&amp;"/"&amp;MID(A652,FIND("&lt;",A652)+1,FIND("&gt;",A652)),IF(B650&lt;&gt;"","    "&amp;"    "&amp;"    "&amp;LEFT(A652,FIND("&gt;",A652)-1)&amp;IF(B653&lt;&gt;""," "&amp;A653&amp;"="&amp;""""&amp;B653&amp;"""","")&amp;MID(A652,FIND("&gt;",A652),FIND("&gt;",A652))&amp;LEFT(A652,FIND("&lt;",A652))&amp;"/"&amp;MID(A652,FIND("&lt;",A652)+1,FIND("&gt;",A652)),""))</f>
        <v xml:space="preserve">            &lt;relation type="isSupplementedBy"&gt;&lt;/relation&gt;</v>
      </c>
    </row>
    <row r="653" spans="1:4">
      <c r="A653" s="18" t="s">
        <v>68</v>
      </c>
      <c r="B653" s="6" t="str">
        <f>IF(Form!B263&lt;&gt;"",IF(Form!B$267="Is cited by","isCitedBy",IF(Form!B$267="Is referenced by","isReferencedBy",IF(Form!B$267="Is documented by","isDocumentedBy",IF(Form!B$267="Is supplemented by","isSupplementedBy",IF(Form!B$267="Is supplement to","isSupplementTo",IF(Form!B$267="Is reviewed by","isReviewedBy",IF(Form!B$267="Is supported by","isSupportedBy",""))))))),"")</f>
        <v>isSupplementedBy</v>
      </c>
      <c r="C653" s="33" t="s">
        <v>125</v>
      </c>
      <c r="D653" t="str">
        <f>IF(B649&lt;&gt;"","    "&amp;"    "&amp;LEFT(A647,FIND("&lt;",A647))&amp;"/"&amp;MID(A647,FIND("&lt;",A647)+1,FIND("&gt;",A647)),IF(B650&lt;&gt;"","    "&amp;"    "&amp;LEFT(A647,FIND("&lt;",A647))&amp;"/"&amp;MID(A647,FIND("&lt;",A647)+1,FIND("&gt;",A647)),""))</f>
        <v xml:space="preserve">        &lt;/relatedInfo&gt;</v>
      </c>
    </row>
    <row r="654" spans="1:4">
      <c r="A654" s="15" t="s">
        <v>120</v>
      </c>
      <c r="D654" t="str">
        <f>IF(B656&lt;&gt;"","    "&amp;"    "&amp;LEFT(A654,FIND("&gt;",A654)-1)&amp;IF(B655&lt;&gt;""," "&amp;A655&amp;"="&amp;""""&amp;B655&amp;"""","")&amp;MID(A654,FIND("&gt;",A654),FIND("&gt;",A654)),IF(B657&lt;&gt;"","    "&amp;"    "&amp;LEFT(A654,FIND("&gt;",A654)-1)&amp;IF(B655&lt;&gt;""," "&amp;A655&amp;"="&amp;""""&amp;B655&amp;"""","")&amp;MID(A654,FIND("&gt;",A654),FIND("&gt;",A654)),""))</f>
        <v/>
      </c>
    </row>
    <row r="655" spans="1:4">
      <c r="A655" s="16" t="s">
        <v>68</v>
      </c>
      <c r="B655" s="6" t="str">
        <f>IF(Form!B264&lt;&gt;"","publication","")</f>
        <v/>
      </c>
      <c r="C655" s="33" t="s">
        <v>125</v>
      </c>
    </row>
    <row r="656" spans="1:4" ht="15" customHeight="1">
      <c r="A656" s="17" t="s">
        <v>122</v>
      </c>
      <c r="B656" s="7" t="str">
        <f>IF(Form!B264&lt;&gt;"",IF(Form!B$262&lt;&gt;"",Form!B$262,""),"")</f>
        <v/>
      </c>
      <c r="C656" s="33" t="s">
        <v>125</v>
      </c>
      <c r="D656" t="str">
        <f>IF(B656&lt;&gt;"","    "&amp;"    "&amp;"    "&amp;A656&amp;B656&amp;LEFT(A656,FIND("&lt;",A656))&amp;"/"&amp;MID(A656,FIND("&lt;",A656)+1,FIND("&gt;",A656)),"")</f>
        <v/>
      </c>
    </row>
    <row r="657" spans="1:4">
      <c r="A657" s="17" t="s">
        <v>93</v>
      </c>
      <c r="B657" s="7" t="str">
        <f>IF(Form!B264&lt;&gt;"",Form!B264,"")</f>
        <v/>
      </c>
      <c r="C657" s="33" t="s">
        <v>125</v>
      </c>
      <c r="D657" t="str">
        <f>IF(B657&lt;&gt;"","    "&amp;"    "&amp;"    "&amp;LEFT(A657,FIND("&gt;",A657)-1)&amp;IF(B658&lt;&gt;""," "&amp;A658&amp;"="&amp;""""&amp;B658&amp;"""","")&amp;MID(A657,FIND("&gt;",A657),FIND("&gt;",A657))&amp;B657&amp;LEFT(A657,FIND("&lt;",A657))&amp;"/"&amp;MID(A657,FIND("&lt;",A657)+1,FIND("&gt;",A657)),"")</f>
        <v/>
      </c>
    </row>
    <row r="658" spans="1:4">
      <c r="A658" s="18" t="s">
        <v>68</v>
      </c>
      <c r="B658" s="6" t="str">
        <f>IF(Form!B264&lt;&gt;"","handle","")</f>
        <v/>
      </c>
      <c r="C658" s="33" t="s">
        <v>125</v>
      </c>
    </row>
    <row r="659" spans="1:4">
      <c r="A659" s="17" t="s">
        <v>123</v>
      </c>
      <c r="D659" t="str">
        <f>IF(B656&lt;&gt;"","    "&amp;"    "&amp;"    "&amp;LEFT(A659,FIND("&gt;",A659)-1)&amp;IF(B660&lt;&gt;""," "&amp;A660&amp;"="&amp;""""&amp;B660&amp;"""","")&amp;MID(A659,FIND("&gt;",A659),FIND("&gt;",A659))&amp;LEFT(A659,FIND("&lt;",A659))&amp;"/"&amp;MID(A659,FIND("&lt;",A659)+1,FIND("&gt;",A659)),IF(B657&lt;&gt;"","    "&amp;"    "&amp;"    "&amp;LEFT(A659,FIND("&gt;",A659)-1)&amp;IF(B660&lt;&gt;""," "&amp;A660&amp;"="&amp;""""&amp;B660&amp;"""","")&amp;MID(A659,FIND("&gt;",A659),FIND("&gt;",A659))&amp;LEFT(A659,FIND("&lt;",A659))&amp;"/"&amp;MID(A659,FIND("&lt;",A659)+1,FIND("&gt;",A659)),""))</f>
        <v/>
      </c>
    </row>
    <row r="660" spans="1:4">
      <c r="A660" s="18" t="s">
        <v>68</v>
      </c>
      <c r="B660" s="6" t="str">
        <f>IF(Form!B264&lt;&gt;"",IF(Form!B$267="Is cited by","isCitedBy",IF(Form!B$267="Is referenced by","isReferencedBy",IF(Form!B$267="Is documented by","isDocumentedBy",IF(Form!B$267="Is supplemented by","isSupplementedBy",IF(Form!B$267="Is supplement to","isSupplementTo",IF(Form!B$267="Is reviewed by","isReviewedBy",IF(Form!B$267="Is supported by","isSupportedBy",""))))))),"")</f>
        <v/>
      </c>
      <c r="C660" s="33" t="s">
        <v>125</v>
      </c>
      <c r="D660" t="str">
        <f>IF(B656&lt;&gt;"","    "&amp;"    "&amp;LEFT(A654,FIND("&lt;",A654))&amp;"/"&amp;MID(A654,FIND("&lt;",A654)+1,FIND("&gt;",A654)),IF(B657&lt;&gt;"","    "&amp;"    "&amp;LEFT(A654,FIND("&lt;",A654))&amp;"/"&amp;MID(A654,FIND("&lt;",A654)+1,FIND("&gt;",A654)),""))</f>
        <v/>
      </c>
    </row>
    <row r="661" spans="1:4">
      <c r="A661" s="15" t="s">
        <v>120</v>
      </c>
      <c r="D661" t="str">
        <f>IF(B663&lt;&gt;"","    "&amp;"    "&amp;LEFT(A661,FIND("&gt;",A661)-1)&amp;IF(B662&lt;&gt;""," "&amp;A662&amp;"="&amp;""""&amp;B662&amp;"""","")&amp;MID(A661,FIND("&gt;",A661),FIND("&gt;",A661)),IF(B664&lt;&gt;"","    "&amp;"    "&amp;LEFT(A661,FIND("&gt;",A661)-1)&amp;IF(B662&lt;&gt;""," "&amp;A662&amp;"="&amp;""""&amp;B662&amp;"""","")&amp;MID(A661,FIND("&gt;",A661),FIND("&gt;",A661)),""))</f>
        <v/>
      </c>
    </row>
    <row r="662" spans="1:4">
      <c r="A662" s="16" t="s">
        <v>68</v>
      </c>
      <c r="B662" s="6" t="str">
        <f>IF(Form!B265&lt;&gt;"","publication","")</f>
        <v/>
      </c>
      <c r="C662" s="33" t="s">
        <v>125</v>
      </c>
    </row>
    <row r="663" spans="1:4" ht="15" customHeight="1">
      <c r="A663" s="17" t="s">
        <v>122</v>
      </c>
      <c r="B663" s="7" t="str">
        <f>IF(Form!B265&lt;&gt;"",IF(Form!B$262&lt;&gt;"",Form!B$262,""),"")</f>
        <v/>
      </c>
      <c r="C663" s="33" t="s">
        <v>125</v>
      </c>
      <c r="D663" t="str">
        <f>IF(B663&lt;&gt;"","    "&amp;"    "&amp;"    "&amp;A663&amp;B663&amp;LEFT(A663,FIND("&lt;",A663))&amp;"/"&amp;MID(A663,FIND("&lt;",A663)+1,FIND("&gt;",A663)),"")</f>
        <v/>
      </c>
    </row>
    <row r="664" spans="1:4">
      <c r="A664" s="17" t="s">
        <v>93</v>
      </c>
      <c r="B664" s="7" t="str">
        <f>IF(Form!B265&lt;&gt;"",Form!B265,"")</f>
        <v/>
      </c>
      <c r="C664" s="33" t="s">
        <v>125</v>
      </c>
      <c r="D664" t="str">
        <f>IF(B664&lt;&gt;"","    "&amp;"    "&amp;"    "&amp;LEFT(A664,FIND("&gt;",A664)-1)&amp;IF(B665&lt;&gt;""," "&amp;A665&amp;"="&amp;""""&amp;B665&amp;"""","")&amp;MID(A664,FIND("&gt;",A664),FIND("&gt;",A664))&amp;B664&amp;LEFT(A664,FIND("&lt;",A664))&amp;"/"&amp;MID(A664,FIND("&lt;",A664)+1,FIND("&gt;",A664)),"")</f>
        <v/>
      </c>
    </row>
    <row r="665" spans="1:4">
      <c r="A665" s="18" t="s">
        <v>68</v>
      </c>
      <c r="B665" s="6" t="str">
        <f>IF(Form!B265&lt;&gt;"","igsn","")</f>
        <v/>
      </c>
      <c r="C665" s="33" t="s">
        <v>125</v>
      </c>
    </row>
    <row r="666" spans="1:4">
      <c r="A666" s="17" t="s">
        <v>123</v>
      </c>
      <c r="D666" t="str">
        <f>IF(B663&lt;&gt;"","    "&amp;"    "&amp;"    "&amp;LEFT(A666,FIND("&gt;",A666)-1)&amp;IF(B667&lt;&gt;""," "&amp;A667&amp;"="&amp;""""&amp;B667&amp;"""","")&amp;MID(A666,FIND("&gt;",A666),FIND("&gt;",A666))&amp;LEFT(A666,FIND("&lt;",A666))&amp;"/"&amp;MID(A666,FIND("&lt;",A666)+1,FIND("&gt;",A666)),IF(B664&lt;&gt;"","    "&amp;"    "&amp;"    "&amp;LEFT(A666,FIND("&gt;",A666)-1)&amp;IF(B667&lt;&gt;""," "&amp;A667&amp;"="&amp;""""&amp;B667&amp;"""","")&amp;MID(A666,FIND("&gt;",A666),FIND("&gt;",A666))&amp;LEFT(A666,FIND("&lt;",A666))&amp;"/"&amp;MID(A666,FIND("&lt;",A666)+1,FIND("&gt;",A666)),""))</f>
        <v/>
      </c>
    </row>
    <row r="667" spans="1:4">
      <c r="A667" s="18" t="s">
        <v>68</v>
      </c>
      <c r="B667" s="6" t="str">
        <f>IF(Form!B265&lt;&gt;"",IF(Form!B$267="Is cited by","isCitedBy",IF(Form!B$267="Is referenced by","isReferencedBy",IF(Form!B$267="Is documented by","isDocumentedBy",IF(Form!B$267="Is supplemented by","isSupplementedBy",IF(Form!B$267="Is supplement to","isSupplementTo",IF(Form!B$267="Is reviewed by","isReviewedBy",IF(Form!B$267="Is supported by","isSupportedBy",""))))))),"")</f>
        <v/>
      </c>
      <c r="C667" s="33" t="s">
        <v>125</v>
      </c>
      <c r="D667" t="str">
        <f>IF(B663&lt;&gt;"","    "&amp;"    "&amp;LEFT(A661,FIND("&lt;",A661))&amp;"/"&amp;MID(A661,FIND("&lt;",A661)+1,FIND("&gt;",A661)),IF(B664&lt;&gt;"","    "&amp;"    "&amp;LEFT(A661,FIND("&lt;",A661))&amp;"/"&amp;MID(A661,FIND("&lt;",A661)+1,FIND("&gt;",A661)),""))</f>
        <v/>
      </c>
    </row>
    <row r="668" spans="1:4">
      <c r="A668" s="15" t="s">
        <v>120</v>
      </c>
      <c r="D668" t="str">
        <f>IF(B670&lt;&gt;"","    "&amp;"    "&amp;LEFT(A668,FIND("&gt;",A668)-1)&amp;IF(B669&lt;&gt;""," "&amp;A669&amp;"="&amp;""""&amp;B669&amp;"""","")&amp;MID(A668,FIND("&gt;",A668),FIND("&gt;",A668)),IF(B671&lt;&gt;"","    "&amp;"    "&amp;LEFT(A668,FIND("&gt;",A668)-1)&amp;IF(B669&lt;&gt;""," "&amp;A669&amp;"="&amp;""""&amp;B669&amp;"""","")&amp;MID(A668,FIND("&gt;",A668),FIND("&gt;",A668)),""))</f>
        <v/>
      </c>
    </row>
    <row r="669" spans="1:4">
      <c r="A669" s="16" t="s">
        <v>68</v>
      </c>
      <c r="B669" s="6" t="str">
        <f>IF(Form!B266&lt;&gt;"","publication","")</f>
        <v/>
      </c>
      <c r="C669" s="33" t="s">
        <v>125</v>
      </c>
    </row>
    <row r="670" spans="1:4" ht="15" customHeight="1">
      <c r="A670" s="17" t="s">
        <v>122</v>
      </c>
      <c r="B670" s="7" t="str">
        <f>IF(Form!B266&lt;&gt;"",IF(Form!B$262&lt;&gt;"",Form!B$262,""),"")</f>
        <v/>
      </c>
      <c r="C670" s="33" t="s">
        <v>125</v>
      </c>
      <c r="D670" t="str">
        <f>IF(B670&lt;&gt;"","    "&amp;"    "&amp;"    "&amp;A670&amp;B670&amp;LEFT(A670,FIND("&lt;",A670))&amp;"/"&amp;MID(A670,FIND("&lt;",A670)+1,FIND("&gt;",A670)),"")</f>
        <v/>
      </c>
    </row>
    <row r="671" spans="1:4">
      <c r="A671" s="17" t="s">
        <v>93</v>
      </c>
      <c r="B671" s="7" t="str">
        <f>IF(Form!B266&lt;&gt;"",Form!B266,"")</f>
        <v/>
      </c>
      <c r="C671" s="33" t="s">
        <v>125</v>
      </c>
      <c r="D671" t="str">
        <f>IF(B671&lt;&gt;"","    "&amp;"    "&amp;"    "&amp;LEFT(A671,FIND("&gt;",A671)-1)&amp;IF(B672&lt;&gt;""," "&amp;A672&amp;"="&amp;""""&amp;B672&amp;"""","")&amp;MID(A671,FIND("&gt;",A671),FIND("&gt;",A671))&amp;B671&amp;LEFT(A671,FIND("&lt;",A671))&amp;"/"&amp;MID(A671,FIND("&lt;",A671)+1,FIND("&gt;",A671)),"")</f>
        <v/>
      </c>
    </row>
    <row r="672" spans="1:4">
      <c r="A672" s="18" t="s">
        <v>68</v>
      </c>
      <c r="B672" s="6" t="str">
        <f>IF(Form!B266&lt;&gt;"","local","")</f>
        <v/>
      </c>
      <c r="C672" s="33" t="s">
        <v>125</v>
      </c>
    </row>
    <row r="673" spans="1:4">
      <c r="A673" s="17" t="s">
        <v>123</v>
      </c>
      <c r="D673" t="str">
        <f>IF(B670&lt;&gt;"","    "&amp;"    "&amp;"    "&amp;LEFT(A673,FIND("&gt;",A673)-1)&amp;IF(B674&lt;&gt;""," "&amp;A674&amp;"="&amp;""""&amp;B674&amp;"""","")&amp;MID(A673,FIND("&gt;",A673),FIND("&gt;",A673))&amp;LEFT(A673,FIND("&lt;",A673))&amp;"/"&amp;MID(A673,FIND("&lt;",A673)+1,FIND("&gt;",A673)),IF(B671&lt;&gt;"","    "&amp;"    "&amp;"    "&amp;LEFT(A673,FIND("&gt;",A673)-1)&amp;IF(B674&lt;&gt;""," "&amp;A674&amp;"="&amp;""""&amp;B674&amp;"""","")&amp;MID(A673,FIND("&gt;",A673),FIND("&gt;",A673))&amp;LEFT(A673,FIND("&lt;",A673))&amp;"/"&amp;MID(A673,FIND("&lt;",A673)+1,FIND("&gt;",A673)),""))</f>
        <v/>
      </c>
    </row>
    <row r="674" spans="1:4">
      <c r="A674" s="18" t="s">
        <v>68</v>
      </c>
      <c r="B674" s="6" t="str">
        <f>IF(Form!B266&lt;&gt;"",IF(Form!B$267="Is cited by","isCitedBy",IF(Form!B$267="Is referenced by","isReferencedBy",IF(Form!B$267="Is documented by","isDocumentedBy",IF(Form!B$267="Is supplemented by","isSupplementedBy",IF(Form!B$267="Is supplement to","isSupplementTo",IF(Form!B$267="Is reviewed by","isReviewedBy",IF(Form!B$267="Is supported by","isSupportedBy",""))))))),"")</f>
        <v/>
      </c>
      <c r="C674" s="33" t="s">
        <v>125</v>
      </c>
      <c r="D674" t="str">
        <f>IF(B670&lt;&gt;"","    "&amp;"    "&amp;LEFT(A668,FIND("&lt;",A668))&amp;"/"&amp;MID(A668,FIND("&lt;",A668)+1,FIND("&gt;",A668)),IF(B671&lt;&gt;"","    "&amp;"    "&amp;LEFT(A668,FIND("&lt;",A668))&amp;"/"&amp;MID(A668,FIND("&lt;",A668)+1,FIND("&gt;",A668)),""))</f>
        <v/>
      </c>
    </row>
    <row r="675" spans="1:4">
      <c r="A675" s="15" t="s">
        <v>120</v>
      </c>
      <c r="D675" t="str">
        <f>IF(B677&lt;&gt;"","    "&amp;"    "&amp;LEFT(A675,FIND("&gt;",A675)-1)&amp;IF(B676&lt;&gt;""," "&amp;A676&amp;"="&amp;""""&amp;B676&amp;"""","")&amp;MID(A675,FIND("&gt;",A675),FIND("&gt;",A675)),IF(B678&lt;&gt;"","    "&amp;"    "&amp;LEFT(A675,FIND("&gt;",A675)-1)&amp;IF(B676&lt;&gt;""," "&amp;A676&amp;"="&amp;""""&amp;B676&amp;"""","")&amp;MID(A675,FIND("&gt;",A675),FIND("&gt;",A675)),""))</f>
        <v/>
      </c>
    </row>
    <row r="676" spans="1:4">
      <c r="A676" s="16" t="s">
        <v>68</v>
      </c>
      <c r="B676" s="6" t="str">
        <f>IF(Form!B270&lt;&gt;"","publication","")</f>
        <v/>
      </c>
      <c r="C676" s="33" t="s">
        <v>125</v>
      </c>
    </row>
    <row r="677" spans="1:4" ht="15" customHeight="1">
      <c r="A677" s="17" t="s">
        <v>122</v>
      </c>
      <c r="B677" s="7" t="str">
        <f>IF(Form!B270&lt;&gt;"",IF(Form!B$269&lt;&gt;"",Form!B$269,""),"")</f>
        <v/>
      </c>
      <c r="C677" s="33" t="s">
        <v>125</v>
      </c>
      <c r="D677" t="str">
        <f>IF(B677&lt;&gt;"","    "&amp;"    "&amp;"    "&amp;A677&amp;B677&amp;LEFT(A677,FIND("&lt;",A677))&amp;"/"&amp;MID(A677,FIND("&lt;",A677)+1,FIND("&gt;",A677)),"")</f>
        <v/>
      </c>
    </row>
    <row r="678" spans="1:4">
      <c r="A678" s="17" t="s">
        <v>93</v>
      </c>
      <c r="B678" s="7" t="str">
        <f>IF(Form!B270&lt;&gt;"",Form!B270,"")</f>
        <v/>
      </c>
      <c r="C678" s="33" t="s">
        <v>125</v>
      </c>
      <c r="D678" t="str">
        <f>IF(B678&lt;&gt;"","    "&amp;"    "&amp;"    "&amp;LEFT(A678,FIND("&gt;",A678)-1)&amp;IF(B679&lt;&gt;""," "&amp;A679&amp;"="&amp;""""&amp;B679&amp;"""","")&amp;MID(A678,FIND("&gt;",A678),FIND("&gt;",A678))&amp;B678&amp;LEFT(A678,FIND("&lt;",A678))&amp;"/"&amp;MID(A678,FIND("&lt;",A678)+1,FIND("&gt;",A678)),"")</f>
        <v/>
      </c>
    </row>
    <row r="679" spans="1:4">
      <c r="A679" s="18" t="s">
        <v>68</v>
      </c>
      <c r="B679" s="6" t="str">
        <f>IF(Form!B270&lt;&gt;"","doi","")</f>
        <v/>
      </c>
      <c r="C679" s="33" t="s">
        <v>125</v>
      </c>
    </row>
    <row r="680" spans="1:4">
      <c r="A680" s="17" t="s">
        <v>123</v>
      </c>
      <c r="D680" t="str">
        <f>IF(B677&lt;&gt;"","    "&amp;"    "&amp;"    "&amp;LEFT(A680,FIND("&gt;",A680)-1)&amp;IF(B681&lt;&gt;""," "&amp;A681&amp;"="&amp;""""&amp;B681&amp;"""","")&amp;MID(A680,FIND("&gt;",A680),FIND("&gt;",A680))&amp;LEFT(A680,FIND("&lt;",A680))&amp;"/"&amp;MID(A680,FIND("&lt;",A680)+1,FIND("&gt;",A680)),IF(B678&lt;&gt;"","    "&amp;"    "&amp;"    "&amp;LEFT(A680,FIND("&gt;",A680)-1)&amp;IF(B681&lt;&gt;""," "&amp;A681&amp;"="&amp;""""&amp;B681&amp;"""","")&amp;MID(A680,FIND("&gt;",A680),FIND("&gt;",A680))&amp;LEFT(A680,FIND("&lt;",A680))&amp;"/"&amp;MID(A680,FIND("&lt;",A680)+1,FIND("&gt;",A680)),""))</f>
        <v/>
      </c>
    </row>
    <row r="681" spans="1:4">
      <c r="A681" s="18" t="s">
        <v>68</v>
      </c>
      <c r="B681" s="6" t="str">
        <f>IF(Form!B270&lt;&gt;"",IF(Form!B$274="Is cited by","isCitedBy",IF(Form!B$274="Is referenced by","isReferencedBy",IF(Form!B$274="Is documented by","isDocumentedBy",IF(Form!B$274="Is supplemented by","isSupplementedBy",IF(Form!B$274="Is supplement to","isSupplementTo",IF(Form!B$274="Is reviewed by","isReviewedBy",IF(Form!B$274="Is supported by","isSupportedBy",""))))))),"")</f>
        <v/>
      </c>
      <c r="C681" s="33" t="s">
        <v>125</v>
      </c>
      <c r="D681" t="str">
        <f>IF(B677&lt;&gt;"","    "&amp;"    "&amp;LEFT(A675,FIND("&lt;",A675))&amp;"/"&amp;MID(A675,FIND("&lt;",A675)+1,FIND("&gt;",A675)),IF(B678&lt;&gt;"","    "&amp;"    "&amp;LEFT(A675,FIND("&lt;",A675))&amp;"/"&amp;MID(A675,FIND("&lt;",A675)+1,FIND("&gt;",A675)),""))</f>
        <v/>
      </c>
    </row>
    <row r="682" spans="1:4">
      <c r="A682" s="15" t="s">
        <v>120</v>
      </c>
      <c r="D682" t="str">
        <f>IF(B684&lt;&gt;"","    "&amp;"    "&amp;LEFT(A682,FIND("&gt;",A682)-1)&amp;IF(B683&lt;&gt;""," "&amp;A683&amp;"="&amp;""""&amp;B683&amp;"""","")&amp;MID(A682,FIND("&gt;",A682),FIND("&gt;",A682)),IF(B685&lt;&gt;"","    "&amp;"    "&amp;LEFT(A682,FIND("&gt;",A682)-1)&amp;IF(B683&lt;&gt;""," "&amp;A683&amp;"="&amp;""""&amp;B683&amp;"""","")&amp;MID(A682,FIND("&gt;",A682),FIND("&gt;",A682)),""))</f>
        <v xml:space="preserve">        &lt;relatedInfo type="publication"&gt;</v>
      </c>
    </row>
    <row r="683" spans="1:4">
      <c r="A683" s="16" t="s">
        <v>68</v>
      </c>
      <c r="B683" s="6" t="str">
        <f>IF(Form!B271&lt;&gt;"","publication","")</f>
        <v>publication</v>
      </c>
      <c r="C683" s="33" t="s">
        <v>125</v>
      </c>
    </row>
    <row r="684" spans="1:4" ht="15" customHeight="1">
      <c r="A684" s="17" t="s">
        <v>122</v>
      </c>
      <c r="B684" s="7" t="str">
        <f>IF(Form!B271&lt;&gt;"",IF(Form!B$269&lt;&gt;"",Form!B$269,""),"")</f>
        <v>Identification of genetic variation in heat stress, genotype screening for and mechanisms of tolerance in wheat.</v>
      </c>
      <c r="C684" s="33" t="s">
        <v>125</v>
      </c>
      <c r="D684" t="str">
        <f>IF(B684&lt;&gt;"","    "&amp;"    "&amp;"    "&amp;A684&amp;B684&amp;LEFT(A684,FIND("&lt;",A684))&amp;"/"&amp;MID(A684,FIND("&lt;",A684)+1,FIND("&gt;",A684)),"")</f>
        <v xml:space="preserve">            &lt;title&gt;Identification of genetic variation in heat stress, genotype screening for and mechanisms of tolerance in wheat.&lt;/title&gt;</v>
      </c>
    </row>
    <row r="685" spans="1:4">
      <c r="A685" s="17" t="s">
        <v>93</v>
      </c>
      <c r="B685" s="7" t="str">
        <f>IF(Form!B271&lt;&gt;"",Form!B271,"")</f>
        <v>http://hdl.handle.net/2123/17339</v>
      </c>
      <c r="C685" s="33" t="s">
        <v>125</v>
      </c>
      <c r="D685" t="str">
        <f>IF(B685&lt;&gt;"","    "&amp;"    "&amp;"    "&amp;LEFT(A685,FIND("&gt;",A685)-1)&amp;IF(B686&lt;&gt;""," "&amp;A686&amp;"="&amp;""""&amp;B686&amp;"""","")&amp;MID(A685,FIND("&gt;",A685),FIND("&gt;",A685))&amp;B685&amp;LEFT(A685,FIND("&lt;",A685))&amp;"/"&amp;MID(A685,FIND("&lt;",A685)+1,FIND("&gt;",A685)),"")</f>
        <v xml:space="preserve">            &lt;identifier type="handle"&gt;http://hdl.handle.net/2123/17339&lt;/identifier&gt;</v>
      </c>
    </row>
    <row r="686" spans="1:4">
      <c r="A686" s="18" t="s">
        <v>68</v>
      </c>
      <c r="B686" s="6" t="str">
        <f>IF(Form!B271&lt;&gt;"","handle","")</f>
        <v>handle</v>
      </c>
      <c r="C686" s="33" t="s">
        <v>125</v>
      </c>
    </row>
    <row r="687" spans="1:4">
      <c r="A687" s="17" t="s">
        <v>123</v>
      </c>
      <c r="D687" t="str">
        <f>IF(B684&lt;&gt;"","    "&amp;"    "&amp;"    "&amp;LEFT(A687,FIND("&gt;",A687)-1)&amp;IF(B688&lt;&gt;""," "&amp;A688&amp;"="&amp;""""&amp;B688&amp;"""","")&amp;MID(A687,FIND("&gt;",A687),FIND("&gt;",A687))&amp;LEFT(A687,FIND("&lt;",A687))&amp;"/"&amp;MID(A687,FIND("&lt;",A687)+1,FIND("&gt;",A687)),IF(B685&lt;&gt;"","    "&amp;"    "&amp;"    "&amp;LEFT(A687,FIND("&gt;",A687)-1)&amp;IF(B688&lt;&gt;""," "&amp;A688&amp;"="&amp;""""&amp;B688&amp;"""","")&amp;MID(A687,FIND("&gt;",A687),FIND("&gt;",A687))&amp;LEFT(A687,FIND("&lt;",A687))&amp;"/"&amp;MID(A687,FIND("&lt;",A687)+1,FIND("&gt;",A687)),""))</f>
        <v xml:space="preserve">            &lt;relation type="isSupplementTo"&gt;&lt;/relation&gt;</v>
      </c>
    </row>
    <row r="688" spans="1:4">
      <c r="A688" s="18" t="s">
        <v>68</v>
      </c>
      <c r="B688" s="6" t="str">
        <f>IF(Form!B271&lt;&gt;"",IF(Form!B$274="Is cited by","isCitedBy",IF(Form!B$274="Is referenced by","isReferencedBy",IF(Form!B$274="Is documented by","isDocumentedBy",IF(Form!B$274="Is supplemented by","isSupplementedBy",IF(Form!B$274="Is supplement to","isSupplementTo",IF(Form!B$274="Is reviewed by","isReviewedBy",IF(Form!B$274="Is supported by","isSupportedBy",""))))))),"")</f>
        <v>isSupplementTo</v>
      </c>
      <c r="C688" s="33" t="s">
        <v>125</v>
      </c>
      <c r="D688" t="str">
        <f>IF(B684&lt;&gt;"","    "&amp;"    "&amp;LEFT(A682,FIND("&lt;",A682))&amp;"/"&amp;MID(A682,FIND("&lt;",A682)+1,FIND("&gt;",A682)),IF(B685&lt;&gt;"","    "&amp;"    "&amp;LEFT(A682,FIND("&lt;",A682))&amp;"/"&amp;MID(A682,FIND("&lt;",A682)+1,FIND("&gt;",A682)),""))</f>
        <v xml:space="preserve">        &lt;/relatedInfo&gt;</v>
      </c>
    </row>
    <row r="689" spans="1:4">
      <c r="A689" s="15" t="s">
        <v>120</v>
      </c>
      <c r="D689" t="str">
        <f>IF(B691&lt;&gt;"","    "&amp;"    "&amp;LEFT(A689,FIND("&gt;",A689)-1)&amp;IF(B690&lt;&gt;""," "&amp;A690&amp;"="&amp;""""&amp;B690&amp;"""","")&amp;MID(A689,FIND("&gt;",A689),FIND("&gt;",A689)),IF(B692&lt;&gt;"","    "&amp;"    "&amp;LEFT(A689,FIND("&gt;",A689)-1)&amp;IF(B690&lt;&gt;""," "&amp;A690&amp;"="&amp;""""&amp;B690&amp;"""","")&amp;MID(A689,FIND("&gt;",A689),FIND("&gt;",A689)),""))</f>
        <v/>
      </c>
    </row>
    <row r="690" spans="1:4">
      <c r="A690" s="16" t="s">
        <v>68</v>
      </c>
      <c r="B690" s="6" t="str">
        <f>IF(Form!B272&lt;&gt;"","publication","")</f>
        <v/>
      </c>
      <c r="C690" s="33" t="s">
        <v>125</v>
      </c>
    </row>
    <row r="691" spans="1:4" ht="15" customHeight="1">
      <c r="A691" s="17" t="s">
        <v>122</v>
      </c>
      <c r="B691" s="7" t="str">
        <f>IF(Form!B272&lt;&gt;"",IF(Form!B$269&lt;&gt;"",Form!B$269,""),"")</f>
        <v/>
      </c>
      <c r="C691" s="33" t="s">
        <v>125</v>
      </c>
      <c r="D691" t="str">
        <f>IF(B691&lt;&gt;"","    "&amp;"    "&amp;"    "&amp;A691&amp;B691&amp;LEFT(A691,FIND("&lt;",A691))&amp;"/"&amp;MID(A691,FIND("&lt;",A691)+1,FIND("&gt;",A691)),"")</f>
        <v/>
      </c>
    </row>
    <row r="692" spans="1:4">
      <c r="A692" s="17" t="s">
        <v>93</v>
      </c>
      <c r="B692" s="7" t="str">
        <f>IF(Form!B272&lt;&gt;"",Form!B272,"")</f>
        <v/>
      </c>
      <c r="C692" s="33" t="s">
        <v>125</v>
      </c>
      <c r="D692" t="str">
        <f>IF(B692&lt;&gt;"","    "&amp;"    "&amp;"    "&amp;LEFT(A692,FIND("&gt;",A692)-1)&amp;IF(B693&lt;&gt;""," "&amp;A693&amp;"="&amp;""""&amp;B693&amp;"""","")&amp;MID(A692,FIND("&gt;",A692),FIND("&gt;",A692))&amp;B692&amp;LEFT(A692,FIND("&lt;",A692))&amp;"/"&amp;MID(A692,FIND("&lt;",A692)+1,FIND("&gt;",A692)),"")</f>
        <v/>
      </c>
    </row>
    <row r="693" spans="1:4">
      <c r="A693" s="18" t="s">
        <v>68</v>
      </c>
      <c r="B693" s="6" t="str">
        <f>IF(Form!B272&lt;&gt;"","igsn","")</f>
        <v/>
      </c>
      <c r="C693" s="33" t="s">
        <v>125</v>
      </c>
    </row>
    <row r="694" spans="1:4">
      <c r="A694" s="17" t="s">
        <v>123</v>
      </c>
      <c r="D694" t="str">
        <f>IF(B691&lt;&gt;"","    "&amp;"    "&amp;"    "&amp;LEFT(A694,FIND("&gt;",A694)-1)&amp;IF(B695&lt;&gt;""," "&amp;A695&amp;"="&amp;""""&amp;B695&amp;"""","")&amp;MID(A694,FIND("&gt;",A694),FIND("&gt;",A694))&amp;LEFT(A694,FIND("&lt;",A694))&amp;"/"&amp;MID(A694,FIND("&lt;",A694)+1,FIND("&gt;",A694)),IF(B692&lt;&gt;"","    "&amp;"    "&amp;"    "&amp;LEFT(A694,FIND("&gt;",A694)-1)&amp;IF(B695&lt;&gt;""," "&amp;A695&amp;"="&amp;""""&amp;B695&amp;"""","")&amp;MID(A694,FIND("&gt;",A694),FIND("&gt;",A694))&amp;LEFT(A694,FIND("&lt;",A694))&amp;"/"&amp;MID(A694,FIND("&lt;",A694)+1,FIND("&gt;",A694)),""))</f>
        <v/>
      </c>
    </row>
    <row r="695" spans="1:4">
      <c r="A695" s="18" t="s">
        <v>68</v>
      </c>
      <c r="B695" s="6" t="str">
        <f>IF(Form!B272&lt;&gt;"",IF(Form!B$274="Is cited by","isCitedBy",IF(Form!B$274="Is referenced by","isReferencedBy",IF(Form!B$274="Is documented by","isDocumentedBy",IF(Form!B$274="Is supplemented by","isSupplementedBy",IF(Form!B$274="Is supplement to","isSupplementTo",IF(Form!B$274="Is reviewed by","isReviewedBy",IF(Form!B$274="Is supported by","isSupportedBy",""))))))),"")</f>
        <v/>
      </c>
      <c r="C695" s="33" t="s">
        <v>125</v>
      </c>
      <c r="D695" t="str">
        <f>IF(B691&lt;&gt;"","    "&amp;"    "&amp;LEFT(A689,FIND("&lt;",A689))&amp;"/"&amp;MID(A689,FIND("&lt;",A689)+1,FIND("&gt;",A689)),IF(B692&lt;&gt;"","    "&amp;"    "&amp;LEFT(A689,FIND("&lt;",A689))&amp;"/"&amp;MID(A689,FIND("&lt;",A689)+1,FIND("&gt;",A689)),""))</f>
        <v/>
      </c>
    </row>
    <row r="696" spans="1:4">
      <c r="A696" s="15" t="s">
        <v>120</v>
      </c>
      <c r="D696" t="str">
        <f>IF(B698&lt;&gt;"","    "&amp;"    "&amp;LEFT(A696,FIND("&gt;",A696)-1)&amp;IF(B697&lt;&gt;""," "&amp;A697&amp;"="&amp;""""&amp;B697&amp;"""","")&amp;MID(A696,FIND("&gt;",A696),FIND("&gt;",A696)),IF(B699&lt;&gt;"","    "&amp;"    "&amp;LEFT(A696,FIND("&gt;",A696)-1)&amp;IF(B697&lt;&gt;""," "&amp;A697&amp;"="&amp;""""&amp;B697&amp;"""","")&amp;MID(A696,FIND("&gt;",A696),FIND("&gt;",A696)),""))</f>
        <v/>
      </c>
    </row>
    <row r="697" spans="1:4">
      <c r="A697" s="16" t="s">
        <v>68</v>
      </c>
      <c r="B697" s="6" t="str">
        <f>IF(Form!B273&lt;&gt;"","publication","")</f>
        <v/>
      </c>
      <c r="C697" s="33" t="s">
        <v>125</v>
      </c>
    </row>
    <row r="698" spans="1:4" ht="15" customHeight="1">
      <c r="A698" s="17" t="s">
        <v>122</v>
      </c>
      <c r="B698" s="7" t="str">
        <f>IF(Form!B273&lt;&gt;"",IF(Form!B$269&lt;&gt;"",Form!B$269,""),"")</f>
        <v/>
      </c>
      <c r="C698" s="33" t="s">
        <v>125</v>
      </c>
      <c r="D698" t="str">
        <f>IF(B698&lt;&gt;"","    "&amp;"    "&amp;"    "&amp;A698&amp;B698&amp;LEFT(A698,FIND("&lt;",A698))&amp;"/"&amp;MID(A698,FIND("&lt;",A698)+1,FIND("&gt;",A698)),"")</f>
        <v/>
      </c>
    </row>
    <row r="699" spans="1:4">
      <c r="A699" s="17" t="s">
        <v>93</v>
      </c>
      <c r="B699" s="7" t="str">
        <f>IF(Form!B273&lt;&gt;"",Form!B273,"")</f>
        <v/>
      </c>
      <c r="C699" s="33" t="s">
        <v>125</v>
      </c>
      <c r="D699" t="str">
        <f>IF(B699&lt;&gt;"","    "&amp;"    "&amp;"    "&amp;LEFT(A699,FIND("&gt;",A699)-1)&amp;IF(B700&lt;&gt;""," "&amp;A700&amp;"="&amp;""""&amp;B700&amp;"""","")&amp;MID(A699,FIND("&gt;",A699),FIND("&gt;",A699))&amp;B699&amp;LEFT(A699,FIND("&lt;",A699))&amp;"/"&amp;MID(A699,FIND("&lt;",A699)+1,FIND("&gt;",A699)),"")</f>
        <v/>
      </c>
    </row>
    <row r="700" spans="1:4">
      <c r="A700" s="18" t="s">
        <v>68</v>
      </c>
      <c r="B700" s="6" t="str">
        <f>IF(Form!B273&lt;&gt;"","local","")</f>
        <v/>
      </c>
      <c r="C700" s="33" t="s">
        <v>125</v>
      </c>
    </row>
    <row r="701" spans="1:4">
      <c r="A701" s="17" t="s">
        <v>123</v>
      </c>
      <c r="D701" t="str">
        <f>IF(B698&lt;&gt;"","    "&amp;"    "&amp;"    "&amp;LEFT(A701,FIND("&gt;",A701)-1)&amp;IF(B702&lt;&gt;""," "&amp;A702&amp;"="&amp;""""&amp;B702&amp;"""","")&amp;MID(A701,FIND("&gt;",A701),FIND("&gt;",A701))&amp;LEFT(A701,FIND("&lt;",A701))&amp;"/"&amp;MID(A701,FIND("&lt;",A701)+1,FIND("&gt;",A701)),IF(B699&lt;&gt;"","    "&amp;"    "&amp;"    "&amp;LEFT(A701,FIND("&gt;",A701)-1)&amp;IF(B702&lt;&gt;""," "&amp;A702&amp;"="&amp;""""&amp;B702&amp;"""","")&amp;MID(A701,FIND("&gt;",A701),FIND("&gt;",A701))&amp;LEFT(A701,FIND("&lt;",A701))&amp;"/"&amp;MID(A701,FIND("&lt;",A701)+1,FIND("&gt;",A701)),""))</f>
        <v/>
      </c>
    </row>
    <row r="702" spans="1:4">
      <c r="A702" s="18" t="s">
        <v>68</v>
      </c>
      <c r="B702" s="6" t="str">
        <f>IF(Form!B273&lt;&gt;"",IF(Form!B$274="Is cited by","isCitedBy",IF(Form!B$274="Is referenced by","isReferencedBy",IF(Form!B$274="Is documented by","isDocumentedBy",IF(Form!B$274="Is supplemented by","isSupplementedBy",IF(Form!B$274="Is supplement to","isSupplementTo",IF(Form!B$274="Is reviewed by","isReviewedBy",IF(Form!B$274="Is supported by","isSupportedBy",""))))))),"")</f>
        <v/>
      </c>
      <c r="C702" s="33" t="s">
        <v>125</v>
      </c>
      <c r="D702" t="str">
        <f>IF(B698&lt;&gt;"","    "&amp;"    "&amp;LEFT(A696,FIND("&lt;",A696))&amp;"/"&amp;MID(A696,FIND("&lt;",A696)+1,FIND("&gt;",A696)),IF(B699&lt;&gt;"","    "&amp;"    "&amp;LEFT(A696,FIND("&lt;",A696))&amp;"/"&amp;MID(A696,FIND("&lt;",A696)+1,FIND("&gt;",A696)),""))</f>
        <v/>
      </c>
    </row>
    <row r="703" spans="1:4">
      <c r="A703"/>
      <c r="B703"/>
    </row>
    <row r="704" spans="1:4" s="1" customFormat="1" ht="15.75" thickBot="1">
      <c r="A704" s="94" t="s">
        <v>126</v>
      </c>
      <c r="B704" s="94"/>
      <c r="D704" s="3"/>
    </row>
    <row r="705" spans="1:4">
      <c r="A705" s="15" t="s">
        <v>127</v>
      </c>
      <c r="D705" t="str">
        <f>IF(B707&lt;&gt;"","    "&amp;"    "&amp;A705,IF(B713&lt;&gt;"","    "&amp;"    "&amp;A705,IF(B711&lt;&gt;"","    "&amp;"    "&amp;A705,IF(B719&lt;&gt;"","    "&amp;"    "&amp;A705,IF(B717&lt;&gt;"","    "&amp;"    "&amp;A705,IF(B725&lt;&gt;"","    "&amp;"    "&amp;A705,IF(B723&lt;&gt;"","    "&amp;"    "&amp;A705,IF(B731&lt;&gt;"","    "&amp;"    "&amp;A705,IF(B729&lt;&gt;"","    "&amp;"    "&amp;A705,IF(B763&lt;&gt;"","    "&amp;"    "&amp;A705,IF(B764&lt;&gt;"","    "&amp;"    "&amp;A705,IF(B765&lt;&gt;"","    "&amp;"    "&amp;A705,""))))))))))))</f>
        <v xml:space="preserve">        &lt;citationInfo&gt;</v>
      </c>
    </row>
    <row r="706" spans="1:4">
      <c r="A706" s="17" t="s">
        <v>128</v>
      </c>
      <c r="D706" t="str">
        <f>IF(B707&lt;&gt;"","    "&amp;"    "&amp;"    "&amp;A706,IF(B713&lt;&gt;"","    "&amp;"    "&amp;"    "&amp;A706,IF(B711&lt;&gt;"","    "&amp;"    "&amp;"    "&amp;A706,IF(B719&lt;&gt;"","    "&amp;"    "&amp;"    "&amp;A706,IF(B717&lt;&gt;"","    "&amp;"    "&amp;"    "&amp;A706,IF(B725&lt;&gt;"","    "&amp;"    "&amp;"    "&amp;A706,IF(B723&lt;&gt;"","    "&amp;"    "&amp;"    "&amp;A706,IF(B731&lt;&gt;"","    "&amp;"    "&amp;"    "&amp;A706,IF(B729&lt;&gt;"","    "&amp;"    "&amp;"    "&amp;A706,IF(B763&lt;&gt;"","    "&amp;"    "&amp;"    "&amp;A706,IF(B764&lt;&gt;"","    "&amp;"    "&amp;"    "&amp;A706,IF(B765&lt;&gt;"","    "&amp;"    "&amp;"    "&amp;A706,""))))))))))))</f>
        <v xml:space="preserve">            &lt;citationMetadata&gt;</v>
      </c>
    </row>
    <row r="707" spans="1:4">
      <c r="A707" s="19" t="s">
        <v>93</v>
      </c>
      <c r="B707" s="7" t="str">
        <f>IF(Form!A53&lt;&gt;"",Form!A53,IF(Form!A57&lt;&gt;"",Form!A57,""))</f>
        <v>https://hdl.handle.net/2123/30252</v>
      </c>
      <c r="C707" s="33" t="s">
        <v>287</v>
      </c>
      <c r="D707" t="str">
        <f>IF(B707&lt;&gt;"","    "&amp;"    "&amp;"    "&amp;"    "&amp;LEFT(A707,FIND("&gt;",A707)-1)&amp;IF(B708&lt;&gt;""," "&amp;A708&amp;"="&amp;""""&amp;B708&amp;"""","")&amp;MID(A707,FIND("&gt;",A707),FIND("&gt;",A707))&amp;B707&amp;LEFT(A707,FIND("&lt;",A707))&amp;"/"&amp;MID(A707,FIND("&lt;",A707)+1,FIND("&gt;",A707)),"")</f>
        <v xml:space="preserve">                &lt;identifier type="handle"&gt;https://hdl.handle.net/2123/30252&lt;/identifier&gt;</v>
      </c>
    </row>
    <row r="708" spans="1:4">
      <c r="A708" s="20" t="s">
        <v>68</v>
      </c>
      <c r="B708" s="6" t="str">
        <f>IF(Form!A53&lt;&gt;"","doi",IF(Form!A57&lt;&gt;"","handle",""))</f>
        <v>handle</v>
      </c>
      <c r="C708" s="33" t="s">
        <v>287</v>
      </c>
    </row>
    <row r="709" spans="1:4">
      <c r="A709" s="19" t="s">
        <v>129</v>
      </c>
      <c r="D709" t="str">
        <f>IF(B713&lt;&gt;"","    "&amp;"    "&amp;"    "&amp;"    "&amp;LEFT(A709,FIND("&gt;",A709)-1)&amp;IF(B710&lt;&gt;""," "&amp;A710&amp;"="&amp;""""&amp;B710&amp;"""","")&amp;MID(A709,FIND("&gt;",A709),FIND("&gt;",A709)),IF(B711&lt;&gt;"","    "&amp;"    "&amp;"    "&amp;"    "&amp;LEFT(A709,FIND("&gt;",A709)-1)&amp;IF(B710&lt;&gt;""," "&amp;A710&amp;"="&amp;""""&amp;B710&amp;"""","")&amp;MID(A709,FIND("&gt;",A709),FIND("&gt;",A709)),""))</f>
        <v xml:space="preserve">                &lt;contributor seq="1"&gt;</v>
      </c>
    </row>
    <row r="710" spans="1:4">
      <c r="A710" s="20" t="s">
        <v>130</v>
      </c>
      <c r="B710" s="6" t="str">
        <f>IF(Form!B88&lt;&gt;"","1",IF(Form!B89&lt;&gt;"","1",""))</f>
        <v>1</v>
      </c>
      <c r="C710" s="67" t="s">
        <v>131</v>
      </c>
    </row>
    <row r="711" spans="1:4">
      <c r="A711" s="23" t="s">
        <v>79</v>
      </c>
      <c r="B711" s="7" t="str">
        <f>IF(Form!B89&lt;&gt;"",Form!B89,"")</f>
        <v>Trethowan</v>
      </c>
      <c r="C711" s="67" t="s">
        <v>131</v>
      </c>
      <c r="D711" t="str">
        <f>IF(B711&lt;&gt;"","    "&amp;"    "&amp;"    "&amp;"    "&amp;"    "&amp;LEFT(A711,FIND("&gt;",A711)-1)&amp;IF(B712&lt;&gt;""," "&amp;A712&amp;"="&amp;""""&amp;B712&amp;"""","")&amp;MID(A711,FIND("&gt;",A711),FIND("&gt;",A711))&amp;B711&amp;LEFT(A711,FIND("&lt;",A711))&amp;"/"&amp;MID(A711,FIND("&lt;",A711)+1,FIND("&gt;",A711)),"")</f>
        <v xml:space="preserve">                    &lt;namePart type="family"&gt;Trethowan&lt;/namePart&gt;</v>
      </c>
    </row>
    <row r="712" spans="1:4">
      <c r="A712" s="24" t="s">
        <v>68</v>
      </c>
      <c r="B712" s="6" t="str">
        <f>IF(Form!B89&lt;&gt;"","family","")</f>
        <v>family</v>
      </c>
      <c r="C712" s="67" t="s">
        <v>131</v>
      </c>
    </row>
    <row r="713" spans="1:4">
      <c r="A713" s="23" t="s">
        <v>79</v>
      </c>
      <c r="B713" s="7" t="str">
        <f>IF(Form!B88&lt;&gt;"",Form!B88,"")</f>
        <v>Richard</v>
      </c>
      <c r="C713" s="67" t="s">
        <v>131</v>
      </c>
      <c r="D713" t="str">
        <f>IF(B713&lt;&gt;"","    "&amp;"    "&amp;"    "&amp;"    "&amp;"    "&amp;LEFT(A713,FIND("&gt;",A713)-1)&amp;IF(B714&lt;&gt;""," "&amp;A714&amp;"="&amp;""""&amp;B714&amp;"""","")&amp;MID(A713,FIND("&gt;",A713),FIND("&gt;",A713))&amp;B713&amp;LEFT(A713,FIND("&lt;",A713))&amp;"/"&amp;MID(A713,FIND("&lt;",A713)+1,FIND("&gt;",A713)),"")</f>
        <v xml:space="preserve">                    &lt;namePart type="given"&gt;Richard&lt;/namePart&gt;</v>
      </c>
    </row>
    <row r="714" spans="1:4">
      <c r="A714" s="24" t="s">
        <v>68</v>
      </c>
      <c r="B714" s="6" t="str">
        <f>IF(Form!B88&lt;&gt;"","given","")</f>
        <v>given</v>
      </c>
      <c r="C714" s="67" t="s">
        <v>131</v>
      </c>
      <c r="D714" t="str">
        <f>IF(B713&lt;&gt;"","    "&amp;"    "&amp;"    "&amp;"    "&amp;LEFT(A709,FIND("&lt;",A709))&amp;"/"&amp;MID(A709,FIND("&lt;",A709)+1,FIND("&gt;",A709)),IF(B711&lt;&gt;"","    "&amp;"    "&amp;"    "&amp;"    "&amp;LEFT(A709,FIND("&lt;",A709))&amp;"/"&amp;MID(A709,FIND("&lt;",A709)+1,FIND("&gt;",A709)),""))</f>
        <v xml:space="preserve">                &lt;/contributor&gt;</v>
      </c>
    </row>
    <row r="715" spans="1:4">
      <c r="A715" s="19" t="s">
        <v>129</v>
      </c>
      <c r="D715" t="str">
        <f>IF(B719&lt;&gt;"","    "&amp;"    "&amp;"    "&amp;"    "&amp;LEFT(A715,FIND("&gt;",A715)-1)&amp;IF(B716&lt;&gt;""," "&amp;A716&amp;"="&amp;""""&amp;B716&amp;"""","")&amp;MID(A715,FIND("&gt;",A715),FIND("&gt;",A715)),IF(B717&lt;&gt;"","    "&amp;"    "&amp;"    "&amp;"    "&amp;LEFT(A715,FIND("&gt;",A715)-1)&amp;IF(B716&lt;&gt;""," "&amp;A716&amp;"="&amp;""""&amp;B716&amp;"""","")&amp;MID(A715,FIND("&gt;",A715),FIND("&gt;",A715)),""))</f>
        <v xml:space="preserve">                &lt;contributor seq="2"&gt;</v>
      </c>
    </row>
    <row r="716" spans="1:4">
      <c r="A716" s="20" t="s">
        <v>130</v>
      </c>
      <c r="B716" s="6" t="str">
        <f>IF(Form!B95&lt;&gt;"","2",IF(Form!B96&lt;&gt;"","2",""))</f>
        <v>2</v>
      </c>
      <c r="C716" s="67" t="s">
        <v>131</v>
      </c>
    </row>
    <row r="717" spans="1:4">
      <c r="A717" s="23" t="s">
        <v>79</v>
      </c>
      <c r="B717" s="7" t="str">
        <f>IF(Form!B96&lt;&gt;"",Form!B96,"")</f>
        <v>Thistlethwaite</v>
      </c>
      <c r="C717" s="67" t="s">
        <v>131</v>
      </c>
      <c r="D717" t="str">
        <f>IF(B717&lt;&gt;"","    "&amp;"    "&amp;"    "&amp;"    "&amp;"    "&amp;LEFT(A717,FIND("&gt;",A717)-1)&amp;IF(B718&lt;&gt;""," "&amp;A718&amp;"="&amp;""""&amp;B718&amp;"""","")&amp;MID(A717,FIND("&gt;",A717),FIND("&gt;",A717))&amp;B717&amp;LEFT(A717,FIND("&lt;",A717))&amp;"/"&amp;MID(A717,FIND("&lt;",A717)+1,FIND("&gt;",A717)),"")</f>
        <v xml:space="preserve">                    &lt;namePart type="family"&gt;Thistlethwaite&lt;/namePart&gt;</v>
      </c>
    </row>
    <row r="718" spans="1:4">
      <c r="A718" s="24" t="s">
        <v>68</v>
      </c>
      <c r="B718" s="6" t="str">
        <f>IF(Form!B96&lt;&gt;"","family","")</f>
        <v>family</v>
      </c>
      <c r="C718" s="67" t="s">
        <v>131</v>
      </c>
    </row>
    <row r="719" spans="1:4">
      <c r="A719" s="23" t="s">
        <v>79</v>
      </c>
      <c r="B719" s="7" t="str">
        <f>IF(Form!B95&lt;&gt;"",Form!B95,"")</f>
        <v>Rebecca Janette</v>
      </c>
      <c r="C719" s="67" t="s">
        <v>131</v>
      </c>
      <c r="D719" t="str">
        <f>IF(B719&lt;&gt;"","    "&amp;"    "&amp;"    "&amp;"    "&amp;"    "&amp;LEFT(A719,FIND("&gt;",A719)-1)&amp;IF(B720&lt;&gt;""," "&amp;A720&amp;"="&amp;""""&amp;B720&amp;"""","")&amp;MID(A719,FIND("&gt;",A719),FIND("&gt;",A719))&amp;B719&amp;LEFT(A719,FIND("&lt;",A719))&amp;"/"&amp;MID(A719,FIND("&lt;",A719)+1,FIND("&gt;",A719)),"")</f>
        <v xml:space="preserve">                    &lt;namePart type="given"&gt;Rebecca Janette&lt;/namePart&gt;</v>
      </c>
    </row>
    <row r="720" spans="1:4">
      <c r="A720" s="24" t="s">
        <v>68</v>
      </c>
      <c r="B720" s="6" t="str">
        <f>IF(Form!B95&lt;&gt;"","given","")</f>
        <v>given</v>
      </c>
      <c r="C720" s="67" t="s">
        <v>131</v>
      </c>
      <c r="D720" t="str">
        <f>IF(B719&lt;&gt;"","    "&amp;"    "&amp;"    "&amp;"    "&amp;LEFT(A715,FIND("&lt;",A715))&amp;"/"&amp;MID(A715,FIND("&lt;",A715)+1,FIND("&gt;",A715)),IF(B717&lt;&gt;"","    "&amp;"    "&amp;"    "&amp;"    "&amp;LEFT(A715,FIND("&lt;",A715))&amp;"/"&amp;MID(A715,FIND("&lt;",A715)+1,FIND("&gt;",A715)),""))</f>
        <v xml:space="preserve">                &lt;/contributor&gt;</v>
      </c>
    </row>
    <row r="721" spans="1:4">
      <c r="A721" s="19" t="s">
        <v>129</v>
      </c>
      <c r="D721" t="str">
        <f>IF(B725&lt;&gt;"","    "&amp;"    "&amp;"    "&amp;"    "&amp;LEFT(A721,FIND("&gt;",A721)-1)&amp;IF(B722&lt;&gt;""," "&amp;A722&amp;"="&amp;""""&amp;B722&amp;"""","")&amp;MID(A721,FIND("&gt;",A721),FIND("&gt;",A721)),IF(B723&lt;&gt;"","    "&amp;"    "&amp;"    "&amp;"    "&amp;LEFT(A721,FIND("&gt;",A721)-1)&amp;IF(B722&lt;&gt;""," "&amp;A722&amp;"="&amp;""""&amp;B722&amp;"""","")&amp;MID(A721,FIND("&gt;",A721),FIND("&gt;",A721)),""))</f>
        <v xml:space="preserve">                &lt;contributor seq="3"&gt;</v>
      </c>
    </row>
    <row r="722" spans="1:4">
      <c r="A722" s="20" t="s">
        <v>130</v>
      </c>
      <c r="B722" s="6" t="str">
        <f>IF(Form!B102&lt;&gt;"","3",IF(Form!B103&lt;&gt;"","3",""))</f>
        <v>3</v>
      </c>
      <c r="C722" s="67" t="s">
        <v>131</v>
      </c>
    </row>
    <row r="723" spans="1:4">
      <c r="A723" s="23" t="s">
        <v>79</v>
      </c>
      <c r="B723" s="7" t="str">
        <f>IF(Form!B103&lt;&gt;"",Form!B103,"")</f>
        <v>Hayden</v>
      </c>
      <c r="C723" s="67" t="s">
        <v>131</v>
      </c>
      <c r="D723" t="str">
        <f>IF(B723&lt;&gt;"","    "&amp;"    "&amp;"    "&amp;"    "&amp;"    "&amp;LEFT(A723,FIND("&gt;",A723)-1)&amp;IF(B724&lt;&gt;""," "&amp;A724&amp;"="&amp;""""&amp;B724&amp;"""","")&amp;MID(A723,FIND("&gt;",A723),FIND("&gt;",A723))&amp;B723&amp;LEFT(A723,FIND("&lt;",A723))&amp;"/"&amp;MID(A723,FIND("&lt;",A723)+1,FIND("&gt;",A723)),"")</f>
        <v xml:space="preserve">                    &lt;namePart type="family"&gt;Hayden&lt;/namePart&gt;</v>
      </c>
    </row>
    <row r="724" spans="1:4">
      <c r="A724" s="24" t="s">
        <v>68</v>
      </c>
      <c r="B724" s="6" t="str">
        <f>IF(Form!B103&lt;&gt;"","family","")</f>
        <v>family</v>
      </c>
      <c r="C724" s="67" t="s">
        <v>131</v>
      </c>
    </row>
    <row r="725" spans="1:4">
      <c r="A725" s="23" t="s">
        <v>79</v>
      </c>
      <c r="B725" s="7" t="str">
        <f>IF(Form!B102&lt;&gt;"",Form!B102,"")</f>
        <v>Matthew</v>
      </c>
      <c r="C725" s="67" t="s">
        <v>131</v>
      </c>
      <c r="D725" t="str">
        <f>IF(B725&lt;&gt;"","    "&amp;"    "&amp;"    "&amp;"    "&amp;"    "&amp;LEFT(A725,FIND("&gt;",A725)-1)&amp;IF(B726&lt;&gt;""," "&amp;A726&amp;"="&amp;""""&amp;B726&amp;"""","")&amp;MID(A725,FIND("&gt;",A725),FIND("&gt;",A725))&amp;B725&amp;LEFT(A725,FIND("&lt;",A725))&amp;"/"&amp;MID(A725,FIND("&lt;",A725)+1,FIND("&gt;",A725)),"")</f>
        <v xml:space="preserve">                    &lt;namePart type="given"&gt;Matthew&lt;/namePart&gt;</v>
      </c>
    </row>
    <row r="726" spans="1:4">
      <c r="A726" s="24" t="s">
        <v>68</v>
      </c>
      <c r="B726" s="6" t="str">
        <f>IF(Form!B102&lt;&gt;"","given","")</f>
        <v>given</v>
      </c>
      <c r="C726" s="67" t="s">
        <v>131</v>
      </c>
      <c r="D726" t="str">
        <f>IF(B725&lt;&gt;"","    "&amp;"    "&amp;"    "&amp;"    "&amp;LEFT(A721,FIND("&lt;",A721))&amp;"/"&amp;MID(A721,FIND("&lt;",A721)+1,FIND("&gt;",A721)),IF(B723&lt;&gt;"","    "&amp;"    "&amp;"    "&amp;"    "&amp;LEFT(A721,FIND("&lt;",A721))&amp;"/"&amp;MID(A721,FIND("&lt;",A721)+1,FIND("&gt;",A721)),""))</f>
        <v xml:space="preserve">                &lt;/contributor&gt;</v>
      </c>
    </row>
    <row r="727" spans="1:4">
      <c r="A727" s="19" t="s">
        <v>129</v>
      </c>
      <c r="D727" t="str">
        <f>IF(B731&lt;&gt;"","    "&amp;"    "&amp;"    "&amp;"    "&amp;LEFT(A727,FIND("&gt;",A727)-1)&amp;IF(B728&lt;&gt;""," "&amp;A728&amp;"="&amp;""""&amp;B728&amp;"""","")&amp;MID(A727,FIND("&gt;",A727),FIND("&gt;",A727)),IF(B729&lt;&gt;"","    "&amp;"    "&amp;"    "&amp;"    "&amp;LEFT(A727,FIND("&gt;",A727)-1)&amp;IF(B728&lt;&gt;""," "&amp;A728&amp;"="&amp;""""&amp;B728&amp;"""","")&amp;MID(A727,FIND("&gt;",A727),FIND("&gt;",A727)),""))</f>
        <v/>
      </c>
    </row>
    <row r="728" spans="1:4">
      <c r="A728" s="20" t="s">
        <v>130</v>
      </c>
      <c r="B728" s="6" t="str">
        <f>IF(Form!B109&lt;&gt;"","4",IF(Form!B110&lt;&gt;"","4",""))</f>
        <v/>
      </c>
      <c r="C728" s="67" t="s">
        <v>131</v>
      </c>
    </row>
    <row r="729" spans="1:4">
      <c r="A729" s="23" t="s">
        <v>79</v>
      </c>
      <c r="B729" s="7" t="str">
        <f>IF(Form!B110&lt;&gt;"",Form!B110,"")</f>
        <v/>
      </c>
      <c r="C729" s="67" t="s">
        <v>131</v>
      </c>
      <c r="D729" t="str">
        <f>IF(B729&lt;&gt;"","    "&amp;"    "&amp;"    "&amp;"    "&amp;"    "&amp;LEFT(A729,FIND("&gt;",A729)-1)&amp;IF(B730&lt;&gt;""," "&amp;A730&amp;"="&amp;""""&amp;B730&amp;"""","")&amp;MID(A729,FIND("&gt;",A729),FIND("&gt;",A729))&amp;B729&amp;LEFT(A729,FIND("&lt;",A729))&amp;"/"&amp;MID(A729,FIND("&lt;",A729)+1,FIND("&gt;",A729)),"")</f>
        <v/>
      </c>
    </row>
    <row r="730" spans="1:4">
      <c r="A730" s="24" t="s">
        <v>68</v>
      </c>
      <c r="B730" s="6" t="str">
        <f>IF(Form!B110&lt;&gt;"","family","")</f>
        <v/>
      </c>
      <c r="C730" s="67" t="s">
        <v>131</v>
      </c>
    </row>
    <row r="731" spans="1:4">
      <c r="A731" s="23" t="s">
        <v>79</v>
      </c>
      <c r="B731" s="7" t="str">
        <f>IF(Form!B109&lt;&gt;"",Form!B109,"")</f>
        <v/>
      </c>
      <c r="C731" s="67" t="s">
        <v>131</v>
      </c>
      <c r="D731" t="str">
        <f>IF(B731&lt;&gt;"","    "&amp;"    "&amp;"    "&amp;"    "&amp;"    "&amp;LEFT(A731,FIND("&gt;",A731)-1)&amp;IF(B732&lt;&gt;""," "&amp;A732&amp;"="&amp;""""&amp;B732&amp;"""","")&amp;MID(A731,FIND("&gt;",A731),FIND("&gt;",A731))&amp;B731&amp;LEFT(A731,FIND("&lt;",A731))&amp;"/"&amp;MID(A731,FIND("&lt;",A731)+1,FIND("&gt;",A731)),"")</f>
        <v/>
      </c>
    </row>
    <row r="732" spans="1:4">
      <c r="A732" s="24" t="s">
        <v>68</v>
      </c>
      <c r="B732" s="6" t="str">
        <f>IF(Form!B110&lt;&gt;"","given","")</f>
        <v/>
      </c>
      <c r="C732" s="67" t="s">
        <v>131</v>
      </c>
      <c r="D732" t="str">
        <f>IF(B731&lt;&gt;"","    "&amp;"    "&amp;"    "&amp;"    "&amp;LEFT(A727,FIND("&lt;",A727))&amp;"/"&amp;MID(A727,FIND("&lt;",A727)+1,FIND("&gt;",A727)),IF(B729&lt;&gt;"","    "&amp;"    "&amp;"    "&amp;"    "&amp;LEFT(A727,FIND("&lt;",A727))&amp;"/"&amp;MID(A727,FIND("&lt;",A727)+1,FIND("&gt;",A727)),""))</f>
        <v/>
      </c>
    </row>
    <row r="733" spans="1:4">
      <c r="A733" s="19" t="s">
        <v>129</v>
      </c>
      <c r="D733" t="str">
        <f>IF(B737&lt;&gt;"","    "&amp;"    "&amp;"    "&amp;"    "&amp;LEFT(A733,FIND("&gt;",A733)-1)&amp;IF(B734&lt;&gt;""," "&amp;A734&amp;"="&amp;""""&amp;B734&amp;"""","")&amp;MID(A733,FIND("&gt;",A733),FIND("&gt;",A733)),IF(B735&lt;&gt;"","    "&amp;"    "&amp;"    "&amp;"    "&amp;LEFT(A733,FIND("&gt;",A733)-1)&amp;IF(B734&lt;&gt;""," "&amp;A734&amp;"="&amp;""""&amp;B734&amp;"""","")&amp;MID(A733,FIND("&gt;",A733),FIND("&gt;",A733)),""))</f>
        <v/>
      </c>
    </row>
    <row r="734" spans="1:4">
      <c r="A734" s="20" t="s">
        <v>130</v>
      </c>
      <c r="B734" s="6" t="str">
        <f>IF(Form!B116&lt;&gt;"","5",IF(Form!B117&lt;&gt;"","5",""))</f>
        <v/>
      </c>
      <c r="C734" s="67" t="s">
        <v>131</v>
      </c>
    </row>
    <row r="735" spans="1:4">
      <c r="A735" s="23" t="s">
        <v>79</v>
      </c>
      <c r="B735" s="7" t="str">
        <f>IF(Form!B117&lt;&gt;"",Form!B117,"")</f>
        <v/>
      </c>
      <c r="C735" s="67" t="s">
        <v>131</v>
      </c>
      <c r="D735" t="str">
        <f>IF(B735&lt;&gt;"","    "&amp;"    "&amp;"    "&amp;"    "&amp;"    "&amp;LEFT(A735,FIND("&gt;",A735)-1)&amp;IF(B736&lt;&gt;""," "&amp;A736&amp;"="&amp;""""&amp;B736&amp;"""","")&amp;MID(A735,FIND("&gt;",A735),FIND("&gt;",A735))&amp;B735&amp;LEFT(A735,FIND("&lt;",A735))&amp;"/"&amp;MID(A735,FIND("&lt;",A735)+1,FIND("&gt;",A735)),"")</f>
        <v/>
      </c>
    </row>
    <row r="736" spans="1:4">
      <c r="A736" s="24" t="s">
        <v>68</v>
      </c>
      <c r="B736" s="6" t="str">
        <f>IF(Form!B117&lt;&gt;"","family","")</f>
        <v/>
      </c>
      <c r="C736" s="67" t="s">
        <v>131</v>
      </c>
    </row>
    <row r="737" spans="1:4">
      <c r="A737" s="23" t="s">
        <v>79</v>
      </c>
      <c r="B737" s="7" t="str">
        <f>IF(Form!B116&lt;&gt;"",Form!B116,"")</f>
        <v/>
      </c>
      <c r="C737" s="67" t="s">
        <v>131</v>
      </c>
      <c r="D737" t="str">
        <f>IF(B737&lt;&gt;"","    "&amp;"    "&amp;"    "&amp;"    "&amp;"    "&amp;LEFT(A737,FIND("&gt;",A737)-1)&amp;IF(B738&lt;&gt;""," "&amp;A738&amp;"="&amp;""""&amp;B738&amp;"""","")&amp;MID(A737,FIND("&gt;",A737),FIND("&gt;",A737))&amp;B737&amp;LEFT(A737,FIND("&lt;",A737))&amp;"/"&amp;MID(A737,FIND("&lt;",A737)+1,FIND("&gt;",A737)),"")</f>
        <v/>
      </c>
    </row>
    <row r="738" spans="1:4">
      <c r="A738" s="24" t="s">
        <v>68</v>
      </c>
      <c r="B738" s="6" t="str">
        <f>IF(Form!B116&lt;&gt;"","given","")</f>
        <v/>
      </c>
      <c r="C738" s="67" t="s">
        <v>131</v>
      </c>
      <c r="D738" t="str">
        <f>IF(B737&lt;&gt;"","    "&amp;"    "&amp;"    "&amp;"    "&amp;LEFT(A733,FIND("&lt;",A733))&amp;"/"&amp;MID(A733,FIND("&lt;",A733)+1,FIND("&gt;",A733)),IF(B735&lt;&gt;"","    "&amp;"    "&amp;"    "&amp;"    "&amp;LEFT(A733,FIND("&lt;",A733))&amp;"/"&amp;MID(A733,FIND("&lt;",A733)+1,FIND("&gt;",A733)),""))</f>
        <v/>
      </c>
    </row>
    <row r="739" spans="1:4">
      <c r="A739" s="19" t="s">
        <v>129</v>
      </c>
      <c r="D739" t="str">
        <f>IF(B743&lt;&gt;"","    "&amp;"    "&amp;"    "&amp;"    "&amp;LEFT(A739,FIND("&gt;",A739)-1)&amp;IF(B740&lt;&gt;""," "&amp;A740&amp;"="&amp;""""&amp;B740&amp;"""","")&amp;MID(A739,FIND("&gt;",A739),FIND("&gt;",A739)),IF(B741&lt;&gt;"","    "&amp;"    "&amp;"    "&amp;"    "&amp;LEFT(A739,FIND("&gt;",A739)-1)&amp;IF(B740&lt;&gt;""," "&amp;A740&amp;"="&amp;""""&amp;B740&amp;"""","")&amp;MID(A739,FIND("&gt;",A739),FIND("&gt;",A739)),""))</f>
        <v/>
      </c>
    </row>
    <row r="740" spans="1:4">
      <c r="A740" s="20" t="s">
        <v>130</v>
      </c>
      <c r="B740" s="6" t="str">
        <f>IF(Form!B123&lt;&gt;"","6",IF(Form!B124&lt;&gt;"","6",""))</f>
        <v/>
      </c>
      <c r="C740" s="67" t="s">
        <v>131</v>
      </c>
    </row>
    <row r="741" spans="1:4">
      <c r="A741" s="23" t="s">
        <v>79</v>
      </c>
      <c r="B741" s="7" t="str">
        <f>IF(Form!B124&lt;&gt;"",Form!B124,"")</f>
        <v/>
      </c>
      <c r="C741" s="67" t="s">
        <v>131</v>
      </c>
      <c r="D741" t="str">
        <f>IF(B741&lt;&gt;"","    "&amp;"    "&amp;"    "&amp;"    "&amp;"    "&amp;LEFT(A741,FIND("&gt;",A741)-1)&amp;IF(B742&lt;&gt;""," "&amp;A742&amp;"="&amp;""""&amp;B742&amp;"""","")&amp;MID(A741,FIND("&gt;",A741),FIND("&gt;",A741))&amp;B741&amp;LEFT(A741,FIND("&lt;",A741))&amp;"/"&amp;MID(A741,FIND("&lt;",A741)+1,FIND("&gt;",A741)),"")</f>
        <v/>
      </c>
    </row>
    <row r="742" spans="1:4">
      <c r="A742" s="24" t="s">
        <v>68</v>
      </c>
      <c r="B742" s="6" t="str">
        <f>IF(Form!B124&lt;&gt;"","family","")</f>
        <v/>
      </c>
      <c r="C742" s="67" t="s">
        <v>131</v>
      </c>
    </row>
    <row r="743" spans="1:4">
      <c r="A743" s="23" t="s">
        <v>79</v>
      </c>
      <c r="B743" s="7" t="str">
        <f>IF(Form!B123&lt;&gt;"",Form!B123,"")</f>
        <v/>
      </c>
      <c r="C743" s="67" t="s">
        <v>131</v>
      </c>
      <c r="D743" t="str">
        <f>IF(B743&lt;&gt;"","    "&amp;"    "&amp;"    "&amp;"    "&amp;"    "&amp;LEFT(A743,FIND("&gt;",A743)-1)&amp;IF(B744&lt;&gt;""," "&amp;A744&amp;"="&amp;""""&amp;B744&amp;"""","")&amp;MID(A743,FIND("&gt;",A743),FIND("&gt;",A743))&amp;B743&amp;LEFT(A743,FIND("&lt;",A743))&amp;"/"&amp;MID(A743,FIND("&lt;",A743)+1,FIND("&gt;",A743)),"")</f>
        <v/>
      </c>
    </row>
    <row r="744" spans="1:4">
      <c r="A744" s="24" t="s">
        <v>68</v>
      </c>
      <c r="B744" s="6" t="str">
        <f>IF(Form!B123&lt;&gt;"","given","")</f>
        <v/>
      </c>
      <c r="C744" s="67" t="s">
        <v>131</v>
      </c>
      <c r="D744" t="str">
        <f>IF(B743&lt;&gt;"","    "&amp;"    "&amp;"    "&amp;"    "&amp;LEFT(A739,FIND("&lt;",A739))&amp;"/"&amp;MID(A739,FIND("&lt;",A739)+1,FIND("&gt;",A739)),IF(B741&lt;&gt;"","    "&amp;"    "&amp;"    "&amp;"    "&amp;LEFT(A739,FIND("&lt;",A739))&amp;"/"&amp;MID(A739,FIND("&lt;",A739)+1,FIND("&gt;",A739)),""))</f>
        <v/>
      </c>
    </row>
    <row r="745" spans="1:4">
      <c r="A745" s="19" t="s">
        <v>129</v>
      </c>
      <c r="D745" t="str">
        <f>IF(B749&lt;&gt;"","    "&amp;"    "&amp;"    "&amp;"    "&amp;LEFT(A745,FIND("&gt;",A745)-1)&amp;IF(B746&lt;&gt;""," "&amp;A746&amp;"="&amp;""""&amp;B746&amp;"""","")&amp;MID(A745,FIND("&gt;",A745),FIND("&gt;",A745)),IF(B747&lt;&gt;"","    "&amp;"    "&amp;"    "&amp;"    "&amp;LEFT(A745,FIND("&gt;",A745)-1)&amp;IF(B746&lt;&gt;""," "&amp;A746&amp;"="&amp;""""&amp;B746&amp;"""","")&amp;MID(A745,FIND("&gt;",A745),FIND("&gt;",A745)),""))</f>
        <v/>
      </c>
    </row>
    <row r="746" spans="1:4">
      <c r="A746" s="20" t="s">
        <v>130</v>
      </c>
      <c r="B746" s="6" t="str">
        <f>IF(Form!B130&lt;&gt;"","7",IF(Form!B131&lt;&gt;"","7",""))</f>
        <v/>
      </c>
      <c r="C746" s="67" t="s">
        <v>131</v>
      </c>
    </row>
    <row r="747" spans="1:4">
      <c r="A747" s="23" t="s">
        <v>79</v>
      </c>
      <c r="B747" s="7" t="str">
        <f>IF(Form!B131&lt;&gt;"",Form!B131,"")</f>
        <v/>
      </c>
      <c r="C747" s="67" t="s">
        <v>131</v>
      </c>
      <c r="D747" t="str">
        <f>IF(B747&lt;&gt;"","    "&amp;"    "&amp;"    "&amp;"    "&amp;"    "&amp;LEFT(A747,FIND("&gt;",A747)-1)&amp;IF(B748&lt;&gt;""," "&amp;A748&amp;"="&amp;""""&amp;B748&amp;"""","")&amp;MID(A747,FIND("&gt;",A747),FIND("&gt;",A747))&amp;B747&amp;LEFT(A747,FIND("&lt;",A747))&amp;"/"&amp;MID(A747,FIND("&lt;",A747)+1,FIND("&gt;",A747)),"")</f>
        <v/>
      </c>
    </row>
    <row r="748" spans="1:4">
      <c r="A748" s="24" t="s">
        <v>68</v>
      </c>
      <c r="B748" s="6" t="str">
        <f>IF(Form!B131&lt;&gt;"","family","")</f>
        <v/>
      </c>
      <c r="C748" s="67" t="s">
        <v>131</v>
      </c>
    </row>
    <row r="749" spans="1:4">
      <c r="A749" s="23" t="s">
        <v>79</v>
      </c>
      <c r="B749" s="7" t="str">
        <f>IF(Form!B130&lt;&gt;"",Form!B130,"")</f>
        <v/>
      </c>
      <c r="C749" s="67" t="s">
        <v>131</v>
      </c>
      <c r="D749" t="str">
        <f>IF(B749&lt;&gt;"","    "&amp;"    "&amp;"    "&amp;"    "&amp;"    "&amp;LEFT(A749,FIND("&gt;",A749)-1)&amp;IF(B750&lt;&gt;""," "&amp;A750&amp;"="&amp;""""&amp;B750&amp;"""","")&amp;MID(A749,FIND("&gt;",A749),FIND("&gt;",A749))&amp;B749&amp;LEFT(A749,FIND("&lt;",A749))&amp;"/"&amp;MID(A749,FIND("&lt;",A749)+1,FIND("&gt;",A749)),"")</f>
        <v/>
      </c>
    </row>
    <row r="750" spans="1:4">
      <c r="A750" s="24" t="s">
        <v>68</v>
      </c>
      <c r="B750" s="6" t="str">
        <f>IF(Form!B130&lt;&gt;"","given","")</f>
        <v/>
      </c>
      <c r="C750" s="67" t="s">
        <v>131</v>
      </c>
      <c r="D750" t="str">
        <f>IF(B749&lt;&gt;"","    "&amp;"    "&amp;"    "&amp;"    "&amp;LEFT(A745,FIND("&lt;",A745))&amp;"/"&amp;MID(A745,FIND("&lt;",A745)+1,FIND("&gt;",A745)),IF(B747&lt;&gt;"","    "&amp;"    "&amp;"    "&amp;"    "&amp;LEFT(A745,FIND("&lt;",A745))&amp;"/"&amp;MID(A745,FIND("&lt;",A745)+1,FIND("&gt;",A745)),""))</f>
        <v/>
      </c>
    </row>
    <row r="751" spans="1:4">
      <c r="A751" s="19" t="s">
        <v>129</v>
      </c>
      <c r="D751" t="str">
        <f>IF(B755&lt;&gt;"","    "&amp;"    "&amp;"    "&amp;"    "&amp;LEFT(A751,FIND("&gt;",A751)-1)&amp;IF(B752&lt;&gt;""," "&amp;A752&amp;"="&amp;""""&amp;B752&amp;"""","")&amp;MID(A751,FIND("&gt;",A751),FIND("&gt;",A751)),IF(B753&lt;&gt;"","    "&amp;"    "&amp;"    "&amp;"    "&amp;LEFT(A751,FIND("&gt;",A751)-1)&amp;IF(B752&lt;&gt;""," "&amp;A752&amp;"="&amp;""""&amp;B752&amp;"""","")&amp;MID(A751,FIND("&gt;",A751),FIND("&gt;",A751)),""))</f>
        <v/>
      </c>
    </row>
    <row r="752" spans="1:4">
      <c r="A752" s="20" t="s">
        <v>130</v>
      </c>
      <c r="B752" s="6" t="str">
        <f>IF(Form!B137&lt;&gt;"","8",IF(Form!B138&lt;&gt;"","8",""))</f>
        <v/>
      </c>
      <c r="C752" s="67" t="s">
        <v>131</v>
      </c>
    </row>
    <row r="753" spans="1:4">
      <c r="A753" s="23" t="s">
        <v>79</v>
      </c>
      <c r="B753" s="7" t="str">
        <f>IF(Form!B138&lt;&gt;"",Form!B138,"")</f>
        <v/>
      </c>
      <c r="C753" s="67" t="s">
        <v>131</v>
      </c>
      <c r="D753" t="str">
        <f>IF(B753&lt;&gt;"","    "&amp;"    "&amp;"    "&amp;"    "&amp;"    "&amp;LEFT(A753,FIND("&gt;",A753)-1)&amp;IF(B754&lt;&gt;""," "&amp;A754&amp;"="&amp;""""&amp;B754&amp;"""","")&amp;MID(A753,FIND("&gt;",A753),FIND("&gt;",A753))&amp;B753&amp;LEFT(A753,FIND("&lt;",A753))&amp;"/"&amp;MID(A753,FIND("&lt;",A753)+1,FIND("&gt;",A753)),"")</f>
        <v/>
      </c>
    </row>
    <row r="754" spans="1:4">
      <c r="A754" s="24" t="s">
        <v>68</v>
      </c>
      <c r="B754" s="6" t="str">
        <f>IF(Form!B138&lt;&gt;"","family","")</f>
        <v/>
      </c>
      <c r="C754" s="67" t="s">
        <v>131</v>
      </c>
    </row>
    <row r="755" spans="1:4">
      <c r="A755" s="23" t="s">
        <v>79</v>
      </c>
      <c r="B755" s="7" t="str">
        <f>IF(Form!B137&lt;&gt;"",Form!B137,"")</f>
        <v/>
      </c>
      <c r="C755" s="67" t="s">
        <v>131</v>
      </c>
      <c r="D755" t="str">
        <f>IF(B755&lt;&gt;"","    "&amp;"    "&amp;"    "&amp;"    "&amp;"    "&amp;LEFT(A755,FIND("&gt;",A755)-1)&amp;IF(B756&lt;&gt;""," "&amp;A756&amp;"="&amp;""""&amp;B756&amp;"""","")&amp;MID(A755,FIND("&gt;",A755),FIND("&gt;",A755))&amp;B755&amp;LEFT(A755,FIND("&lt;",A755))&amp;"/"&amp;MID(A755,FIND("&lt;",A755)+1,FIND("&gt;",A755)),"")</f>
        <v/>
      </c>
    </row>
    <row r="756" spans="1:4">
      <c r="A756" s="24" t="s">
        <v>68</v>
      </c>
      <c r="B756" s="6" t="str">
        <f>IF(Form!B137&lt;&gt;"","given","")</f>
        <v/>
      </c>
      <c r="C756" s="67" t="s">
        <v>131</v>
      </c>
      <c r="D756" t="str">
        <f>IF(B755&lt;&gt;"","    "&amp;"    "&amp;"    "&amp;"    "&amp;LEFT(A751,FIND("&lt;",A751))&amp;"/"&amp;MID(A751,FIND("&lt;",A751)+1,FIND("&gt;",A751)),IF(B753&lt;&gt;"","    "&amp;"    "&amp;"    "&amp;"    "&amp;LEFT(A751,FIND("&lt;",A751))&amp;"/"&amp;MID(A751,FIND("&lt;",A751)+1,FIND("&gt;",A751)),""))</f>
        <v/>
      </c>
    </row>
    <row r="757" spans="1:4">
      <c r="A757" s="19" t="s">
        <v>129</v>
      </c>
      <c r="D757" t="str">
        <f>IF(B761&lt;&gt;"","    "&amp;"    "&amp;"    "&amp;"    "&amp;LEFT(A757,FIND("&gt;",A757)-1)&amp;IF(B758&lt;&gt;""," "&amp;A758&amp;"="&amp;""""&amp;B758&amp;"""","")&amp;MID(A757,FIND("&gt;",A757),FIND("&gt;",A757)),IF(B759&lt;&gt;"","    "&amp;"    "&amp;"    "&amp;"    "&amp;LEFT(A757,FIND("&gt;",A757)-1)&amp;IF(B758&lt;&gt;""," "&amp;A758&amp;"="&amp;""""&amp;B758&amp;"""","")&amp;MID(A757,FIND("&gt;",A757),FIND("&gt;",A757)),""))</f>
        <v/>
      </c>
    </row>
    <row r="758" spans="1:4">
      <c r="A758" s="20" t="s">
        <v>130</v>
      </c>
      <c r="B758" s="6" t="str">
        <f>IF(Form!B144&lt;&gt;"","9",IF(Form!B145&lt;&gt;"","9",""))</f>
        <v/>
      </c>
      <c r="C758" s="67" t="s">
        <v>131</v>
      </c>
    </row>
    <row r="759" spans="1:4">
      <c r="A759" s="23" t="s">
        <v>79</v>
      </c>
      <c r="B759" s="7" t="str">
        <f>IF(Form!B145&lt;&gt;"",Form!B145,"")</f>
        <v/>
      </c>
      <c r="C759" s="67" t="s">
        <v>131</v>
      </c>
      <c r="D759" t="str">
        <f>IF(B759&lt;&gt;"","    "&amp;"    "&amp;"    "&amp;"    "&amp;"    "&amp;LEFT(A759,FIND("&gt;",A759)-1)&amp;IF(B760&lt;&gt;""," "&amp;A760&amp;"="&amp;""""&amp;B760&amp;"""","")&amp;MID(A759,FIND("&gt;",A759),FIND("&gt;",A759))&amp;B759&amp;LEFT(A759,FIND("&lt;",A759))&amp;"/"&amp;MID(A759,FIND("&lt;",A759)+1,FIND("&gt;",A759)),"")</f>
        <v/>
      </c>
    </row>
    <row r="760" spans="1:4">
      <c r="A760" s="24" t="s">
        <v>68</v>
      </c>
      <c r="B760" s="6" t="str">
        <f>IF(Form!B145&lt;&gt;"","family","")</f>
        <v/>
      </c>
      <c r="C760" s="67" t="s">
        <v>131</v>
      </c>
    </row>
    <row r="761" spans="1:4">
      <c r="A761" s="23" t="s">
        <v>79</v>
      </c>
      <c r="B761" s="7" t="str">
        <f>IF(Form!B144&lt;&gt;"",Form!B144,"")</f>
        <v/>
      </c>
      <c r="C761" s="67" t="s">
        <v>131</v>
      </c>
      <c r="D761" t="str">
        <f>IF(B761&lt;&gt;"","    "&amp;"    "&amp;"    "&amp;"    "&amp;"    "&amp;LEFT(A761,FIND("&gt;",A761)-1)&amp;IF(B762&lt;&gt;""," "&amp;A762&amp;"="&amp;""""&amp;B762&amp;"""","")&amp;MID(A761,FIND("&gt;",A761),FIND("&gt;",A761))&amp;B761&amp;LEFT(A761,FIND("&lt;",A761))&amp;"/"&amp;MID(A761,FIND("&lt;",A761)+1,FIND("&gt;",A761)),"")</f>
        <v/>
      </c>
    </row>
    <row r="762" spans="1:4">
      <c r="A762" s="24" t="s">
        <v>68</v>
      </c>
      <c r="B762" s="6" t="str">
        <f>IF(Form!B144&lt;&gt;"","given","")</f>
        <v/>
      </c>
      <c r="C762" s="67" t="s">
        <v>131</v>
      </c>
      <c r="D762" t="str">
        <f>IF(B761&lt;&gt;"","    "&amp;"    "&amp;"    "&amp;"    "&amp;LEFT(A757,FIND("&lt;",A757))&amp;"/"&amp;MID(A757,FIND("&lt;",A757)+1,FIND("&gt;",A757)),IF(B759&lt;&gt;"","    "&amp;"    "&amp;"    "&amp;"    "&amp;LEFT(A757,FIND("&lt;",A757))&amp;"/"&amp;MID(A757,FIND("&lt;",A757)+1,FIND("&gt;",A757)),""))</f>
        <v/>
      </c>
    </row>
    <row r="763" spans="1:4">
      <c r="A763" s="19" t="s">
        <v>122</v>
      </c>
      <c r="B763" s="7" t="str">
        <f>IF(Form!A3&lt;&gt;"",Form!A3,"")</f>
        <v>Assessment of heat tolerance on wheat</v>
      </c>
      <c r="C763" s="67" t="s">
        <v>78</v>
      </c>
      <c r="D763" t="str">
        <f>IF(B763&lt;&gt;"","    "&amp;"    "&amp;"    "&amp;"    "&amp;A763&amp;B763&amp;LEFT(A763,FIND("&lt;",A763))&amp;"/"&amp;MID(A763,FIND("&lt;",A763)+1,FIND("&gt;",A763)),"")</f>
        <v xml:space="preserve">                &lt;title&gt;Assessment of heat tolerance on wheat&lt;/title&gt;</v>
      </c>
    </row>
    <row r="764" spans="1:4">
      <c r="A764" s="19" t="s">
        <v>132</v>
      </c>
      <c r="B764" s="7" t="str">
        <f>IF(Form!B10&lt;&gt;"",Form!B10,"")</f>
        <v>The University of Sydney</v>
      </c>
      <c r="C764" s="67" t="s">
        <v>61</v>
      </c>
      <c r="D764" t="str">
        <f>IF(B764&lt;&gt;"","    "&amp;"    "&amp;"    "&amp;"    "&amp;A764&amp;B764&amp;LEFT(A764,FIND("&lt;",A764))&amp;"/"&amp;MID(A764,FIND("&lt;",A764)+1,FIND("&gt;",A764)),"")</f>
        <v xml:space="preserve">                &lt;publisher&gt;The University of Sydney&lt;/publisher&gt;</v>
      </c>
    </row>
    <row r="765" spans="1:4">
      <c r="A765" s="19" t="s">
        <v>99</v>
      </c>
      <c r="B765" s="7" t="str">
        <f>IF(Form!A70&lt;&gt;"",Form!A70,"")</f>
        <v>2023</v>
      </c>
      <c r="C765" s="67" t="s">
        <v>98</v>
      </c>
      <c r="D765" t="str">
        <f>IF(B765&lt;&gt;"","    "&amp;"    "&amp;"    "&amp;"    "&amp;LEFT(A765,FIND("&gt;",A765)-1)&amp;IF(B766&lt;&gt;""," "&amp;A766&amp;"="&amp;""""&amp;B766&amp;"""","")&amp;MID(A765,FIND("&gt;",A765),FIND("&gt;",A765))&amp;B765&amp;LEFT(A765,FIND("&lt;",A765))&amp;"/"&amp;MID(A765,FIND("&lt;",A765)+1,FIND("&gt;",A765)),"")</f>
        <v xml:space="preserve">                &lt;date type="Publication date"&gt;2023&lt;/date&gt;</v>
      </c>
    </row>
    <row r="766" spans="1:4">
      <c r="A766" s="20" t="s">
        <v>68</v>
      </c>
      <c r="B766" s="6" t="str">
        <f>IF(Form!A70&lt;&gt;"","Publication date","")</f>
        <v>Publication date</v>
      </c>
      <c r="C766" s="67" t="s">
        <v>98</v>
      </c>
      <c r="D766" t="str">
        <f>IF(B707&lt;&gt;"","    "&amp;"    "&amp;"    "&amp;LEFT(A706,FIND("&lt;",A706))&amp;"/"&amp;MID(A706,FIND("&lt;",A706)+1,FIND("&gt;",A706)),IF(B713&lt;&gt;"","    "&amp;"    "&amp;"    "&amp;LEFT(A706,FIND("&lt;",A706))&amp;"/"&amp;MID(A706,FIND("&lt;",A706)+1,FIND("&gt;",A706)),IF(B711&lt;&gt;"","    "&amp;"    "&amp;"    "&amp;LEFT(A706,FIND("&lt;",A706))&amp;"/"&amp;MID(A706,FIND("&lt;",A706)+1,FIND("&gt;",A706)),IF(B719&lt;&gt;"","    "&amp;"    "&amp;"    "&amp;LEFT(A706,FIND("&lt;",A706))&amp;"/"&amp;MID(A706,FIND("&lt;",A706)+1,FIND("&gt;",A706)),IF(B717&lt;&gt;"","    "&amp;"    "&amp;"    "&amp;LEFT(A706,FIND("&lt;",A706))&amp;"/"&amp;MID(A706,FIND("&lt;",A706)+1,FIND("&gt;",A706)),IF(B725&lt;&gt;"","    "&amp;"    "&amp;"    "&amp;LEFT(A706,FIND("&lt;",A706))&amp;"/"&amp;MID(A706,FIND("&lt;",A706)+1,FIND("&gt;",A706)),IF(B723&lt;&gt;"","    "&amp;"    "&amp;"    "&amp;LEFT(A706,FIND("&lt;",A706))&amp;"/"&amp;MID(A706,FIND("&lt;",A706)+1,FIND("&gt;",A706)),IF(B731&lt;&gt;"","    "&amp;"    "&amp;"    "&amp;LEFT(A706,FIND("&lt;",A706))&amp;"/"&amp;MID(A706,FIND("&lt;",A706)+1,FIND("&gt;",A706)),IF(B729&lt;&gt;"","    "&amp;"    "&amp;"    "&amp;LEFT(A706,FIND("&lt;",A706))&amp;"/"&amp;MID(A706,FIND("&lt;",A706)+1,FIND("&gt;",A706)),IF(B763&lt;&gt;"","    "&amp;"    "&amp;"    "&amp;LEFT(A706,FIND("&lt;",A706))&amp;"/"&amp;MID(A706,FIND("&lt;",A706)+1,FIND("&gt;",A706)),IF(B764&lt;&gt;"","    "&amp;"    "&amp;"    "&amp;LEFT(A706,FIND("&lt;",A706))&amp;"/"&amp;MID(A706,FIND("&lt;",A706)+1,FIND("&gt;",A706)),IF(B765&lt;&gt;"","    "&amp;"    "&amp;"    "&amp;LEFT(A706,FIND("&lt;",A706))&amp;"/"&amp;MID(A706,FIND("&lt;",A706)+1,FIND("&gt;",A706)),""))))))))))))</f>
        <v xml:space="preserve">            &lt;/citationMetadata&gt;</v>
      </c>
    </row>
    <row r="767" spans="1:4">
      <c r="A767"/>
      <c r="B767"/>
      <c r="D767" t="str">
        <f>IF(B707&lt;&gt;"","    "&amp;"    "&amp;LEFT(A705,FIND("&lt;",A705))&amp;"/"&amp;MID(A705,FIND("&lt;",A705)+1,FIND("&gt;",A705)),IF(B713&lt;&gt;"","    "&amp;"    "&amp;LEFT(A705,FIND("&lt;",A705))&amp;"/"&amp;MID(A705,FIND("&lt;",A705)+1,FIND("&gt;",A705)),IF(B711&lt;&gt;"","    "&amp;"    "&amp;LEFT(A705,FIND("&lt;",A705))&amp;"/"&amp;MID(A705,FIND("&lt;",A705)+1,FIND("&gt;",A705)),IF(B719&lt;&gt;"","    "&amp;"    "&amp;LEFT(A705,FIND("&lt;",A705))&amp;"/"&amp;MID(A705,FIND("&lt;",A705)+1,FIND("&gt;",A705)),IF(B717&lt;&gt;"","    "&amp;"    "&amp;LEFT(A705,FIND("&lt;",A705))&amp;"/"&amp;MID(A705,FIND("&lt;",A705)+1,FIND("&gt;",A705)),IF(B725&lt;&gt;"","    "&amp;"    "&amp;LEFT(A705,FIND("&lt;",A705))&amp;"/"&amp;MID(A705,FIND("&lt;",A705)+1,FIND("&gt;",A705)),IF(B723&lt;&gt;"","    "&amp;"    "&amp;LEFT(A705,FIND("&lt;",A705))&amp;"/"&amp;MID(A705,FIND("&lt;",A705)+1,FIND("&gt;",A705)),IF(B731&lt;&gt;"","    "&amp;"    "&amp;LEFT(A705,FIND("&lt;",A705))&amp;"/"&amp;MID(A705,FIND("&lt;",A705)+1,FIND("&gt;",A705)),IF(B729&lt;&gt;"","    "&amp;"    "&amp;LEFT(A705,FIND("&lt;",A705))&amp;"/"&amp;MID(A705,FIND("&lt;",A705)+1,FIND("&gt;",A705)),IF(B763&lt;&gt;"","    "&amp;"    "&amp;LEFT(A705,FIND("&lt;",A705))&amp;"/"&amp;MID(A705,FIND("&lt;",A705)+1,FIND("&gt;",A705)),IF(B764&lt;&gt;"","    "&amp;"    "&amp;LEFT(A705,FIND("&lt;",A705))&amp;"/"&amp;MID(A705,FIND("&lt;",A705)+1,FIND("&gt;",A705)),IF(B765&lt;&gt;"","    "&amp;"    "&amp;LEFT(A705,FIND("&lt;",A705))&amp;"/"&amp;MID(A705,FIND("&lt;",A705)+1,FIND("&gt;",A705)),""))))))))))))</f>
        <v xml:space="preserve">        &lt;/citationInfo&gt;</v>
      </c>
    </row>
    <row r="768" spans="1:4">
      <c r="D768" t="str">
        <f>"    "&amp;LEFT(A13,FIND("&lt;",A13))&amp;"/"&amp;MID(A13,FIND("&lt;",A13)+1,FIND("&gt;",A13))</f>
        <v xml:space="preserve">    &lt;/collection&gt;</v>
      </c>
    </row>
    <row r="769" spans="4:4">
      <c r="D769" t="str">
        <f>LEFT(A2,FIND("&lt;",A2))&amp;"/"&amp;MID(A2,FIND("&lt;",A2)+1,FIND("&gt;",A2))</f>
        <v>&lt;/registryObject&gt;</v>
      </c>
    </row>
  </sheetData>
  <mergeCells count="14">
    <mergeCell ref="A69:B69"/>
    <mergeCell ref="A81:B81"/>
    <mergeCell ref="A107:B107"/>
    <mergeCell ref="A704:B704"/>
    <mergeCell ref="A50:B50"/>
    <mergeCell ref="A29:B29"/>
    <mergeCell ref="A37:B37"/>
    <mergeCell ref="A43:B43"/>
    <mergeCell ref="A1:B1"/>
    <mergeCell ref="A5:B5"/>
    <mergeCell ref="A8:B8"/>
    <mergeCell ref="A12:B12"/>
    <mergeCell ref="A18:B18"/>
    <mergeCell ref="A23:B23"/>
  </mergeCells>
  <phoneticPr fontId="11" type="noConversion"/>
  <hyperlinks>
    <hyperlink ref="C3" location="Form!A8" display="Question 3" xr:uid="{7117C0FA-F544-4251-AFA8-2653AAC249A8}"/>
    <hyperlink ref="C14" location="Form!A5" display="Question 2" xr:uid="{F34E82EF-C075-4133-992B-2A40DE02489A}"/>
    <hyperlink ref="C20" location="Form!A2" display="Question 1" xr:uid="{9C75C484-E041-4F39-912F-4E0591741133}"/>
    <hyperlink ref="C24" location="Form!A77" display="Question 12" xr:uid="{4B7E28BC-96FD-4704-985D-09A904578DD4}"/>
    <hyperlink ref="C26" location="Form!A80" display="Question 13" xr:uid="{5E45115F-8BE5-4D1D-95A1-2A949FE65F51}"/>
    <hyperlink ref="C31" location="Form!A172" display="Question 17" xr:uid="{EF158944-D9F6-47F1-82C0-98528F0069CC}"/>
    <hyperlink ref="C32" location="Form!A175" display="Question 18" xr:uid="{31F409D1-6C05-48BB-ACEE-5CA45ECB8853}"/>
    <hyperlink ref="C34" location="Form!A180" display="Question 19" xr:uid="{6352CA56-75A5-40E5-A6CF-64FB77C09D9E}"/>
    <hyperlink ref="C38" location="Form!A52" display="Question 5" xr:uid="{BE388F8D-45B5-4B18-9C79-5FCCA18849AF}"/>
    <hyperlink ref="C40" location="Form!A55" display="Question 6" xr:uid="{8042E82C-30BA-4A7B-9B5F-0407BEE60ACF}"/>
    <hyperlink ref="C45" location="Form!A69" display="Question 10" xr:uid="{0BB5DB7A-B67A-4501-B62C-27B9DA3A003D}"/>
    <hyperlink ref="C54" location="Form!A59" display="Question 7" xr:uid="{1F516C27-68B6-487C-806F-12205B631BA6}"/>
    <hyperlink ref="C59" location="Form!A62" display="Question 8" xr:uid="{07DD023C-01B9-40E6-A6DC-E27C79C59739}"/>
    <hyperlink ref="C64" location="Form!A151" display="Question 15" xr:uid="{20710363-6C20-4123-B67C-809799B043CA}"/>
    <hyperlink ref="C71" location="Form!A72" display="Question 11" xr:uid="{24DB7D04-9AEF-435B-8053-AAF9A2AE4768}"/>
    <hyperlink ref="C72" location="Form!A72" display="Question 11" xr:uid="{2B5682C8-5381-4120-8070-FDC761F4A434}"/>
    <hyperlink ref="C74" location="Form!A65" display="Question 9" xr:uid="{DFAF03B0-4D34-4818-BD58-85C83EFEF16C}"/>
    <hyperlink ref="C82" location="Form!A154" display="Question 16" xr:uid="{48F4F2C1-DAA6-4A11-A752-8E8F1F72AE14}"/>
    <hyperlink ref="C158" location="Form!A31" display="Question 4" xr:uid="{D5725377-3167-4BF9-A3AD-17368AC04382}"/>
    <hyperlink ref="C193" location="Form!A84" display="Question 14" xr:uid="{D828224F-D201-4127-9BF8-713B0FE463F4}"/>
    <hyperlink ref="C452" location="Form!A212" display="Question 21" xr:uid="{698BE37C-DC4D-4144-AE6D-56848D8145D2}"/>
    <hyperlink ref="C707" location="Form!A52" display="Question 5 and 6" xr:uid="{CE9CE56D-0E70-4E10-800E-FB96CC0EDDBF}"/>
    <hyperlink ref="C763" location="Form!A2" display="Question 1" xr:uid="{6DF93E87-62DB-4EA8-9F1A-D2D0EE3B33BD}"/>
    <hyperlink ref="C764" location="Form!A8" display="Question 3" xr:uid="{F7A5B20F-CB78-458B-AA50-1B9C45DDE1AF}"/>
    <hyperlink ref="C765" location="Form!A69" display="Question 10" xr:uid="{BE7DE79A-BB9A-41A0-A485-0AFCFC20A0EC}"/>
    <hyperlink ref="C109" location="Form!A8" display="Question 3" xr:uid="{F4A1BB59-3B71-4AEC-AB2C-D9B1A5B97567}"/>
    <hyperlink ref="C110:C112" location="Form!A8" display="Question 3" xr:uid="{6BB35280-FD0F-487E-B78A-59C1F1CC2353}"/>
    <hyperlink ref="C114" location="Form!A8" display="Question 3" xr:uid="{E5B2DC0C-D450-44DF-A2DF-AB111DC15668}"/>
    <hyperlink ref="C116:C119" location="Form!A8" display="Question 3" xr:uid="{7E546220-4C13-4767-8BF7-BA299E254FC1}"/>
    <hyperlink ref="C121" location="Form!A8" display="Question 3" xr:uid="{31FE517A-4E7F-4AD3-9EEC-77C532186782}"/>
    <hyperlink ref="C123:C126" location="Form!A8" display="Question 3" xr:uid="{1DF03587-ECEE-4076-BB7A-AF7B0FB466C1}"/>
    <hyperlink ref="C128" location="Form!A8" display="Question 3" xr:uid="{5F4E948A-6511-4FC9-952F-747BE73B069E}"/>
    <hyperlink ref="C130:C133" location="Form!A8" display="Question 3" xr:uid="{5B608E1A-1179-435F-B86D-CB22FB04A0DB}"/>
    <hyperlink ref="C135" location="Form!A8" display="Question 3" xr:uid="{EC1519E7-74B1-4D4E-9869-4605BAC75F28}"/>
    <hyperlink ref="C137:C140" location="Form!A8" display="Question 3" xr:uid="{1DEB74DA-F1D6-47A6-A0B8-F4744B909B72}"/>
    <hyperlink ref="C142" location="Form!A8" display="Question 3" xr:uid="{941358DD-C75D-44A6-BED4-A306A011C317}"/>
    <hyperlink ref="C144:C147" location="Form!A8" display="Question 3" xr:uid="{03901892-D9CB-486C-9F01-67D2D963B6E4}"/>
    <hyperlink ref="C149" location="Form!A8" display="Question 3" xr:uid="{C55ED735-8136-4762-B733-E439E3421B81}"/>
    <hyperlink ref="C151:C154" location="Form!A8" display="Question 3" xr:uid="{D59F151B-EB5F-4AA7-B98C-6D0A36C42E8A}"/>
    <hyperlink ref="C156" location="Form!A8" display="Question 3" xr:uid="{DEF2F8E3-183D-430B-B73B-81E183D102F5}"/>
    <hyperlink ref="C21" location="Form!A2" display="Question 1" xr:uid="{3CDF2782-912E-4492-A8E8-4AF73C307A60}"/>
    <hyperlink ref="C159:C161" location="Form!A31" display="Question 4" xr:uid="{50C8906F-E0BE-4333-80C2-84C76C5D83E9}"/>
    <hyperlink ref="C163" location="Form!A31" display="Question 4" xr:uid="{2F4273C0-82A0-4EAD-95EC-51B4E74F93DA}"/>
    <hyperlink ref="C165:C168" location="Form!A31" display="Question 4" xr:uid="{74E33A18-8C18-44F8-B9E1-E4A299654317}"/>
    <hyperlink ref="C170" location="Form!A31" display="Question 4" xr:uid="{962A9803-C47D-425E-A671-83DB10989A24}"/>
    <hyperlink ref="C172:C175" location="Form!A31" display="Question 4" xr:uid="{B92B50DA-593F-410F-A48F-2F26A311D511}"/>
    <hyperlink ref="C177" location="Form!A31" display="Question 4" xr:uid="{1CD5AB75-AF86-49BE-BDE4-16DD551C729B}"/>
    <hyperlink ref="C179:C182" location="Form!A31" display="Question 4" xr:uid="{6994DE29-0B58-4525-8957-F5089AB01380}"/>
    <hyperlink ref="C184" location="Form!A31" display="Question 4" xr:uid="{38896E78-4E23-4041-BEFD-289617908D85}"/>
    <hyperlink ref="C186:C189" location="Form!A31" display="Question 4" xr:uid="{F9F32740-987C-44F0-9160-E3558ED2B158}"/>
    <hyperlink ref="C191" location="Form!A31" display="Question 4" xr:uid="{450A9FB5-41C4-4CD4-88AA-B208A5CBA9B8}"/>
    <hyperlink ref="C39" location="Form!A52" display="Question 5" xr:uid="{FBB0E354-81CE-4742-84E3-A1B3A19CF983}"/>
    <hyperlink ref="C41" location="Form!A55" display="Question 6" xr:uid="{215EB7B7-0F15-4F47-A565-D26D7AA16FB6}"/>
    <hyperlink ref="C708" location="Form!A52" display="Question 5 and 6" xr:uid="{33671230-E73E-405F-9C50-930A63EF7445}"/>
    <hyperlink ref="C55:C56" location="Form!A59" display="Question 7" xr:uid="{2EF44BDC-0B0D-4995-BC95-CBAEE1B9BF36}"/>
    <hyperlink ref="C60:C61" location="Form!A62" display="Question 8" xr:uid="{B67E6212-9380-4B01-A7C2-849FF16D926A}"/>
    <hyperlink ref="C75:C79" location="Form!A65" display="Question 9" xr:uid="{9156E876-7207-44CB-B102-B7A77F7EF0C1}"/>
    <hyperlink ref="C46:C48" location="Form!A69" display="Question 10" xr:uid="{BFD2A725-2377-495A-96AE-B09D0891D3F3}"/>
    <hyperlink ref="C766" location="Form!A69" display="Question 10" xr:uid="{3782B6E3-2686-4CE5-B6EA-D18FECC13254}"/>
    <hyperlink ref="C25" location="Form!A77" display="Question 12" xr:uid="{DDFE5350-A601-41C6-9965-720AC95DDB91}"/>
    <hyperlink ref="C27" location="Form!A80" display="Question 13" xr:uid="{63EC281A-0D3F-4780-8880-A634358B24FD}"/>
    <hyperlink ref="C710" location="Form!A84" display="Question 14" xr:uid="{22C8B5A2-30D1-4408-A725-19C996EFCC42}"/>
    <hyperlink ref="C711:C714" location="Form!A84" display="Question 14" xr:uid="{C9AC44C9-746C-4918-8DD6-D16E372C7001}"/>
    <hyperlink ref="C716:C720" location="Form!A84" display="Question 14" xr:uid="{1DA47D95-A878-42E1-905A-88A91E1F62BA}"/>
    <hyperlink ref="C722:C726" location="Form!A84" display="Question 14" xr:uid="{51E3F3B5-D54E-481F-AA8A-55C09EF4326B}"/>
    <hyperlink ref="C728:C732" location="Form!A84" display="Question 14" xr:uid="{0E16FD47-FD8F-4F26-850E-0D4ABA2BCD59}"/>
    <hyperlink ref="C734:C738" location="Form!A84" display="Question 14" xr:uid="{3AFF712F-D3A8-49E2-96A0-EE5BA8C89A45}"/>
    <hyperlink ref="C740:C744" location="Form!A84" display="Question 14" xr:uid="{5F54D148-2848-4E86-9738-1FB08F0E0793}"/>
    <hyperlink ref="C746:C750" location="Form!A84" display="Question 14" xr:uid="{723FCB07-C9BE-4A41-B51F-68C0766F8F40}"/>
    <hyperlink ref="C752:C756" location="Form!A84" display="Question 14" xr:uid="{54B4FB34-1894-4C22-B527-23C5E6E82366}"/>
    <hyperlink ref="C758:C762" location="Form!A84" display="Question 14" xr:uid="{C1E03A62-8A6C-4D34-B7DD-6B0F97400110}"/>
    <hyperlink ref="C194:C196" location="Form!A84" display="Question 14" xr:uid="{7FDE3B2A-BAB5-4249-86C8-D3079900F754}"/>
    <hyperlink ref="C198" location="Form!A84" display="Question 14" xr:uid="{3C80E3F3-2099-488D-9D86-B17661B4E7F6}"/>
    <hyperlink ref="C200" location="Form!A84" display="Question 14" xr:uid="{BBB523FA-7334-4FE8-B879-09B548CE1287}"/>
    <hyperlink ref="C201:C203" location="Form!A84" display="Question 14" xr:uid="{30E27F3F-B0BF-4DBE-8C37-6C6E8551268D}"/>
    <hyperlink ref="C205" location="Form!A84" display="Question 14" xr:uid="{72E0E71A-A104-43F6-A1A2-A5E334AF324D}"/>
    <hyperlink ref="C207" location="Form!A84" display="Question 14" xr:uid="{E003573B-F610-457E-9890-B11D707C0D0E}"/>
    <hyperlink ref="C208:C210" location="Form!A84" display="Question 14" xr:uid="{FB5B5DA6-1334-4F5C-B575-F13CC15B0D2E}"/>
    <hyperlink ref="C212" location="Form!A84" display="Question 14" xr:uid="{EFD5F6AD-A190-4BA0-8D3A-5E36CD5E3ABC}"/>
    <hyperlink ref="C214" location="Form!A84" display="Question 14" xr:uid="{543F21CB-8E9E-4D4F-80D1-62B519BF18A0}"/>
    <hyperlink ref="C215:C217" location="Form!A84" display="Question 14" xr:uid="{A477430E-1B68-4C19-A124-51627960D5AB}"/>
    <hyperlink ref="C219" location="Form!A84" display="Question 14" xr:uid="{2DBECE2D-C65F-460C-88F0-4D74A770D737}"/>
    <hyperlink ref="C221" location="Form!A84" display="Question 14" xr:uid="{ABE9A20A-CC5E-4AFC-846D-E3CA5ED8D2B2}"/>
    <hyperlink ref="C222:C224" location="Form!A84" display="Question 14" xr:uid="{AD0595CB-816E-4B17-8075-608A509BA153}"/>
    <hyperlink ref="C226" location="Form!A84" display="Question 14" xr:uid="{499C4325-0F2F-4585-8B51-AED0BFE860D6}"/>
    <hyperlink ref="C228" location="Form!A84" display="Question 14" xr:uid="{9376EF4A-930E-4128-BE59-ADA520336463}"/>
    <hyperlink ref="C229:C231" location="Form!A84" display="Question 14" xr:uid="{2271ED66-9F17-4289-87F3-9C84603ACB50}"/>
    <hyperlink ref="C233" location="Form!A84" display="Question 14" xr:uid="{C237AC53-AF35-4346-8D13-BF2FDC3BF189}"/>
    <hyperlink ref="C235" location="Form!A84" display="Question 14" xr:uid="{0DEE6871-E118-4694-AF16-DE6DAF4B7B76}"/>
    <hyperlink ref="C236:C238" location="Form!A84" display="Question 14" xr:uid="{B18273DA-CE55-4649-9A97-11E81FC67AE8}"/>
    <hyperlink ref="C240" location="Form!A84" display="Question 14" xr:uid="{CBAB156A-C088-4768-8E63-7BB6ADDA43AE}"/>
    <hyperlink ref="C242" location="Form!A84" display="Question 14" xr:uid="{C727E70B-B183-480C-8BBC-9D32C8EEA93B}"/>
    <hyperlink ref="C243:C245" location="Form!A84" display="Question 14" xr:uid="{3F9F2F30-97A6-4727-A5C9-4C0FFD15E41B}"/>
    <hyperlink ref="C247" location="Form!A84" display="Question 14" xr:uid="{F14F518A-5CA9-4D8A-9797-178EC9755700}"/>
    <hyperlink ref="C249" location="Form!A84" display="Question 14" xr:uid="{13C6DB45-844B-4741-981F-49CBC238436B}"/>
    <hyperlink ref="C250:C252" location="Form!A84" display="Question 14" xr:uid="{BDC2CEF4-0B9E-43AE-B358-0ECEF120C734}"/>
    <hyperlink ref="C254" location="Form!A84" display="Question 14" xr:uid="{42CF5B1A-13D0-4370-9108-AAA2042CFC7E}"/>
    <hyperlink ref="C256" location="Form!A84" display="Question 14" xr:uid="{24D7A8FD-7540-41A1-A45A-8B22F38D1232}"/>
    <hyperlink ref="C257:C259" location="Form!A84" display="Question 14" xr:uid="{AA10AB36-A4CC-417A-98DD-C41A16713BFA}"/>
    <hyperlink ref="C261" location="Form!A84" display="Question 14" xr:uid="{2AFE491A-9F00-432A-8970-029F209099A4}"/>
    <hyperlink ref="C263" location="Form!A84" display="Question 14" xr:uid="{B7FA0624-6C49-4C94-A397-B470D90A5D9B}"/>
    <hyperlink ref="C264:C266" location="Form!A84" display="Question 14" xr:uid="{C1B60E71-701E-4E11-8C86-FABEAD38FE51}"/>
    <hyperlink ref="C268" location="Form!A84" display="Question 14" xr:uid="{6834B15A-9AEE-4AEB-AC09-C919A7D794FC}"/>
    <hyperlink ref="C270" location="Form!A84" display="Question 14" xr:uid="{E47B5633-E6B7-4960-8DF1-F4FA07B400F8}"/>
    <hyperlink ref="C271:C273" location="Form!A84" display="Question 14" xr:uid="{B1ED9ADF-A3F1-4FB1-B730-46DD1898A99F}"/>
    <hyperlink ref="C275" location="Form!A84" display="Question 14" xr:uid="{DA55627B-8B6C-487E-8058-29381A8E3C23}"/>
    <hyperlink ref="C277" location="Form!A84" display="Question 14" xr:uid="{8C4566F3-F05E-46AE-858F-2F82DD07A1A2}"/>
    <hyperlink ref="C278:C280" location="Form!A84" display="Question 14" xr:uid="{C417D91E-8452-41BA-86CD-F8A657223EE1}"/>
    <hyperlink ref="C282" location="Form!A84" display="Question 14" xr:uid="{26607E84-1B2A-43C7-B1A4-97F5C98242F5}"/>
    <hyperlink ref="C284" location="Form!A84" display="Question 14" xr:uid="{24042813-0B76-4E4A-8B68-1731581E74DC}"/>
    <hyperlink ref="C285:C287" location="Form!A84" display="Question 14" xr:uid="{1039D657-E843-48C0-AAFC-FD54DAD036B0}"/>
    <hyperlink ref="C289" location="Form!A84" display="Question 14" xr:uid="{EF5718D0-30C6-4979-98B6-1295976E46AB}"/>
    <hyperlink ref="C291" location="Form!A84" display="Question 14" xr:uid="{C9028504-B2BB-4574-8E9D-7E0E9C60E5B7}"/>
    <hyperlink ref="C292:C294" location="Form!A84" display="Question 14" xr:uid="{7AFD5ADE-FEDD-4207-9C3B-E499218241E9}"/>
    <hyperlink ref="C296" location="Form!A84" display="Question 14" xr:uid="{106EE48E-AE6F-4AF2-AF1C-5AA8736A48C4}"/>
    <hyperlink ref="C298" location="Form!A84" display="Question 14" xr:uid="{503EC92F-28C2-4451-A607-AB8A16D9EBE1}"/>
    <hyperlink ref="C299:C301" location="Form!A84" display="Question 14" xr:uid="{60D43B42-3E77-4B08-958A-48B20CA311A2}"/>
    <hyperlink ref="C303" location="Form!A84" display="Question 14" xr:uid="{96DBDD34-E8EB-496A-B07E-35363F5BCBB9}"/>
    <hyperlink ref="C305" location="Form!A84" display="Question 14" xr:uid="{ED133DF5-6CCF-4EFD-A49F-04FFF93E19DF}"/>
    <hyperlink ref="C306:C308" location="Form!A84" display="Question 14" xr:uid="{56EAB8DD-9727-4AA5-87EB-708FF6727E40}"/>
    <hyperlink ref="C310" location="Form!A84" display="Question 14" xr:uid="{A1335AC2-15AC-4BDE-879F-6065755860B1}"/>
    <hyperlink ref="C312" location="Form!A84" display="Question 14" xr:uid="{72BD6D45-A4F6-4076-AB70-D7EB54A3B088}"/>
    <hyperlink ref="C313:C315" location="Form!A84" display="Question 14" xr:uid="{7FFA05E2-EAF8-44E7-AFE7-7984999BD71D}"/>
    <hyperlink ref="C317" location="Form!A84" display="Question 14" xr:uid="{DE307CF3-F283-4A2B-AD46-7D27CDFC9D12}"/>
    <hyperlink ref="C319" location="Form!A84" display="Question 14" xr:uid="{0B94040D-DD9B-4200-A0F2-D48E329BF55F}"/>
    <hyperlink ref="C320:C322" location="Form!A84" display="Question 14" xr:uid="{F5DABA0D-69C9-4C40-8F4C-333E6D324EA9}"/>
    <hyperlink ref="C324" location="Form!A84" display="Question 14" xr:uid="{724CE8B2-6BDD-4418-9979-4F4151576D9E}"/>
    <hyperlink ref="C326" location="Form!A84" display="Question 14" xr:uid="{D84F8B4B-0D4F-4CA2-B13F-EBEDFB02798F}"/>
    <hyperlink ref="C327:C329" location="Form!A84" display="Question 14" xr:uid="{35A421DD-8824-4CEC-9A52-08C0D589CF07}"/>
    <hyperlink ref="C331" location="Form!A84" display="Question 14" xr:uid="{1234B164-535E-4226-94A0-2AE6FA878397}"/>
    <hyperlink ref="C333" location="Form!A84" display="Question 14" xr:uid="{68C31716-536E-400D-8CBD-860E9CDEBA52}"/>
    <hyperlink ref="C334:C336" location="Form!A84" display="Question 14" xr:uid="{24F64063-E3E6-4BE6-B61A-C6D37545DECE}"/>
    <hyperlink ref="C338" location="Form!A84" display="Question 14" xr:uid="{3C3C2CC7-24A9-4D30-9AED-E4807C5FBE66}"/>
    <hyperlink ref="C340" location="Form!A84" display="Question 14" xr:uid="{5A9B8A26-D4AC-4875-BFB7-7FCDC2214C70}"/>
    <hyperlink ref="C341:C343" location="Form!A84" display="Question 14" xr:uid="{2FFB8C2B-8489-4E5A-878C-BE0D96257060}"/>
    <hyperlink ref="C345" location="Form!A84" display="Question 14" xr:uid="{15F14C59-4A23-4579-B721-3F7CE50FF774}"/>
    <hyperlink ref="C347" location="Form!A84" display="Question 14" xr:uid="{6C32D9F8-6B7C-43F1-8442-1C5231EDC5A3}"/>
    <hyperlink ref="C348:C350" location="Form!A84" display="Question 14" xr:uid="{8A0711C1-DE83-47CB-AE60-B3E09E436D4B}"/>
    <hyperlink ref="C352" location="Form!A84" display="Question 14" xr:uid="{086DE3CA-C7E7-4E09-8B1C-19A678D02DA5}"/>
    <hyperlink ref="C354" location="Form!A84" display="Question 14" xr:uid="{3C6B311D-DB9D-42AC-9752-D3E81C035751}"/>
    <hyperlink ref="C355:C357" location="Form!A84" display="Question 14" xr:uid="{61D65A0A-B52A-475D-88D5-35BFC0AB8E9C}"/>
    <hyperlink ref="C359" location="Form!A84" display="Question 14" xr:uid="{DBD77738-D20D-43FA-A239-7C3118316258}"/>
    <hyperlink ref="C361" location="Form!A84" display="Question 14" xr:uid="{A5720A14-91C0-41F7-A952-62D3C9065D03}"/>
    <hyperlink ref="C362:C364" location="Form!A84" display="Question 14" xr:uid="{B2FEEE45-AF22-4185-BAE5-0EE2A07EC191}"/>
    <hyperlink ref="C366" location="Form!A84" display="Question 14" xr:uid="{25B105D4-3088-40C8-8897-FB5F0F571E3D}"/>
    <hyperlink ref="C368" location="Form!A84" display="Question 14" xr:uid="{505D5B25-8614-4D29-89BB-01732016CC96}"/>
    <hyperlink ref="C369:C371" location="Form!A84" display="Question 14" xr:uid="{15D1B782-D087-4A5B-94FB-307621D34194}"/>
    <hyperlink ref="C373" location="Form!A84" display="Question 14" xr:uid="{8375E9DC-65DA-4116-9AC5-10ECA7962CD6}"/>
    <hyperlink ref="C65" location="Form!A151" display="Question 15" xr:uid="{F7F02B97-8346-4AE5-B858-F5C69DA67AF1}"/>
    <hyperlink ref="C83:C105" location="Form!A154" display="Question 16" xr:uid="{4B249BA8-B958-47CA-876F-764302864726}"/>
    <hyperlink ref="C33" location="Form!A175" display="Question 18" xr:uid="{F72AD859-600B-486B-A3CB-9E4CC9655332}"/>
    <hyperlink ref="C35" location="Form!A180" display="Question 19" xr:uid="{535AD8E3-2C44-4702-9472-FFCEA5368F64}"/>
    <hyperlink ref="C382" location="Form!A185" display="Question 20" xr:uid="{4A441578-3C7B-48C4-AC09-66181EF0F18D}"/>
    <hyperlink ref="C383:C385" location="Form!A185" display="Question 20" xr:uid="{65D42914-564C-4038-B710-EEDE99018DEB}"/>
    <hyperlink ref="C387" location="Form!A185" display="Question 20" xr:uid="{3E60AA92-4208-4A55-A55A-4FAD08E20EB5}"/>
    <hyperlink ref="C389:C392" location="Form!A185" display="Question 20" xr:uid="{D424607F-A864-4608-9F74-F37D37D1785A}"/>
    <hyperlink ref="C394" location="Form!A185" display="Question 20" xr:uid="{212D4D0C-A11F-41C4-A6D6-6D8E9E39E524}"/>
    <hyperlink ref="C396" location="Form!A185" display="Question 20" xr:uid="{8C37EBAA-7347-4BE7-9C33-34EA02AEDADA}"/>
    <hyperlink ref="C397:C399" location="Form!A185" display="Question 20" xr:uid="{D727D835-2F27-43FF-B17C-51D038C050F0}"/>
    <hyperlink ref="C401" location="Form!A185" display="Question 20" xr:uid="{02245D7E-1123-48AD-991A-65A2A3E5687C}"/>
    <hyperlink ref="C403:C406" location="Form!A185" display="Question 20" xr:uid="{1A49A769-0F49-47E8-9927-5C50FB84E9E3}"/>
    <hyperlink ref="C408" location="Form!A185" display="Question 20" xr:uid="{8E8B268A-F0D6-41B0-9C38-0726F8CA15DF}"/>
    <hyperlink ref="C410" location="Form!A185" display="Question 20" xr:uid="{80C3BE36-AE3B-4ECA-9D39-890BEE91F016}"/>
    <hyperlink ref="C411:C413" location="Form!A185" display="Question 20" xr:uid="{95DBE4EF-0153-4745-A830-839F370D6697}"/>
    <hyperlink ref="C415" location="Form!A185" display="Question 20" xr:uid="{32FFAA1A-1BB0-4F7E-97B5-51A576404157}"/>
    <hyperlink ref="C417:C420" location="Form!A185" display="Question 20" xr:uid="{07FAE372-49EF-4FB0-8440-7A111218CC72}"/>
    <hyperlink ref="C422" location="Form!A185" display="Question 20" xr:uid="{3333AD3E-824F-400E-A945-4DE0DCF5C94E}"/>
    <hyperlink ref="C424" location="Form!A185" display="Question 20" xr:uid="{D50E02AC-BF61-4C24-8CC9-3F767C7D1646}"/>
    <hyperlink ref="C425:C427" location="Form!A185" display="Question 20" xr:uid="{DE01EEC8-8D0D-49F5-B0B0-5E646A9CF0BF}"/>
    <hyperlink ref="C429" location="Form!A185" display="Question 20" xr:uid="{4EE2871B-73D5-4D54-9B6B-3F9721E113FA}"/>
    <hyperlink ref="C431:C434" location="Form!A185" display="Question 20" xr:uid="{A9DEAB27-45D1-4D07-9D35-80B0F34C4D04}"/>
    <hyperlink ref="C436" location="Form!A185" display="Question 20" xr:uid="{478EEEFF-5B27-4422-9C76-91FAF00B2EB6}"/>
    <hyperlink ref="C438" location="Form!A185" display="Question 20" xr:uid="{FF6EE561-FB04-4A89-A864-2D4EA1DD9A9F}"/>
    <hyperlink ref="C439:C441" location="Form!A185" display="Question 20" xr:uid="{08CD81B8-7845-46BC-8294-A93E62F8BB18}"/>
    <hyperlink ref="C443" location="Form!A185" display="Question 20" xr:uid="{D04E342A-95E6-457C-9F89-AC8D7ED5CAFD}"/>
    <hyperlink ref="C445:C448" location="Form!A185" display="Question 20" xr:uid="{5140D991-66A5-4E26-9168-1D353133B4D3}"/>
    <hyperlink ref="C450" location="Form!A185" display="Question 20" xr:uid="{1422F44D-85B2-422A-A60D-6664E6457737}"/>
    <hyperlink ref="C375" location="Form!A84" display="Question 14" xr:uid="{FF2B6F2C-26C1-485C-84CE-838B48A7590F}"/>
    <hyperlink ref="C376:C378" location="Form!A84" display="Question 14" xr:uid="{757B6F07-458A-4947-85FD-82CC42E52837}"/>
    <hyperlink ref="C380" location="Form!A84" display="Question 14" xr:uid="{8313029D-AB69-45B3-BE67-AD0E943A4D0A}"/>
    <hyperlink ref="C453:C455" location="Form!A212" display="Question 21" xr:uid="{6C6818A5-2C7C-4C97-B9B9-06DB87EF779C}"/>
    <hyperlink ref="C457" location="Form!A212" display="Question 21" xr:uid="{CC748E29-7B7F-4FCD-BF8B-06B43ACC6546}"/>
    <hyperlink ref="C459:C462" location="Form!A212" display="Question 21" xr:uid="{1CFDDBF5-7240-429F-9BEB-1AE0EB3BFF56}"/>
    <hyperlink ref="C464" location="Form!A212" display="Question 21" xr:uid="{4E8071FE-56A4-4B46-9759-1D496F5F38DE}"/>
    <hyperlink ref="C466:C469" location="Form!A212" display="Question 21" xr:uid="{F39DE13B-7710-4532-A120-CB45D61BAE51}"/>
    <hyperlink ref="C471" location="Form!A212" display="Question 21" xr:uid="{178F442C-8FC5-478D-9093-E2934FD62D82}"/>
    <hyperlink ref="C473:C476" location="Form!A212" display="Question 21" xr:uid="{5E1D2CC4-440D-41E6-AB8F-0C8AA40DCB2F}"/>
    <hyperlink ref="C478" location="Form!A212" display="Question 21" xr:uid="{C26E7A36-7CFE-4934-82F5-F06669DFBD14}"/>
    <hyperlink ref="C480" location="Form!A212" display="Question 21" xr:uid="{4B48E74D-0619-4EA6-B79E-1837FA7E8A58}"/>
    <hyperlink ref="C481:C483" location="Form!A212" display="Question 21" xr:uid="{4566FA0B-6B96-4AF0-9EE6-FCC10D402FD7}"/>
    <hyperlink ref="C485" location="Form!A212" display="Question 21" xr:uid="{1AD2015B-1F57-4CF5-AA5F-8D768F9BE58D}"/>
    <hyperlink ref="C487:C490" location="Form!A212" display="Question 21" xr:uid="{CDDF196F-2F86-4F56-9486-1DDEA0EA2F99}"/>
    <hyperlink ref="C492" location="Form!A212" display="Question 21" xr:uid="{38208DBD-2A33-4744-B866-B63E32CE5C4D}"/>
    <hyperlink ref="C494:C497" location="Form!A212" display="Question 21" xr:uid="{CFFB099E-3AF3-4D57-9AC4-919E9098ECF6}"/>
    <hyperlink ref="C499" location="Form!A212" display="Question 21" xr:uid="{DC847430-A0B0-4D57-A9ED-44922F43E8AD}"/>
    <hyperlink ref="C501:C504" location="Form!A212" display="Question 21" xr:uid="{6D78C5DC-9387-4115-A746-DAAD5BCD905B}"/>
    <hyperlink ref="C506" location="Form!A212" display="Question 21" xr:uid="{440FFA5E-0A71-42B0-9D84-9B0DA8A5F14B}"/>
    <hyperlink ref="C508" location="Form!A212" display="Question 21" xr:uid="{5A0296D1-8DD1-4740-8C1F-39A76D3630C6}"/>
    <hyperlink ref="C509:C511" location="Form!A212" display="Question 21" xr:uid="{3E84E719-461A-48CD-84F4-CDF925D257BE}"/>
    <hyperlink ref="C513" location="Form!A212" display="Question 21" xr:uid="{BB414304-3F4E-47F1-8976-C598D3243C3C}"/>
    <hyperlink ref="C515:C518" location="Form!A212" display="Question 21" xr:uid="{0FA99A8E-6422-4309-8790-77072DCFF4F8}"/>
    <hyperlink ref="C520" location="Form!A212" display="Question 21" xr:uid="{2D838FEE-DD48-43CE-81D8-A6711DB65635}"/>
    <hyperlink ref="C522:C525" location="Form!A212" display="Question 21" xr:uid="{89F3C4DE-C702-4CC7-B2DF-06BF82337C07}"/>
    <hyperlink ref="C527" location="Form!A212" display="Question 21" xr:uid="{AF4D09C8-D0A2-4F64-8279-407609F00BC6}"/>
    <hyperlink ref="C529:C532" location="Form!A212" display="Question 21" xr:uid="{55749F11-8BC9-4719-A263-C121971BADA8}"/>
    <hyperlink ref="C534" location="Form!A212" display="Question 21" xr:uid="{B80BCD45-C3A0-4BC4-B038-2FB48EA3C4DE}"/>
    <hyperlink ref="C536" location="Form!A212" display="Question 21" xr:uid="{E5027003-2E49-46B6-A9A2-F94D77D0E2F7}"/>
    <hyperlink ref="C537:C539" location="Form!A212" display="Question 21" xr:uid="{E4363F53-AD2F-4CCE-B394-82A29BD9E9FE}"/>
    <hyperlink ref="C541" location="Form!A212" display="Question 21" xr:uid="{6588E43E-6175-4740-A38F-4B0BBAA104CF}"/>
    <hyperlink ref="C543:C546" location="Form!A212" display="Question 21" xr:uid="{C08306B3-378E-4DCC-A1FC-47928A0FF9BA}"/>
    <hyperlink ref="C548" location="Form!A212" display="Question 21" xr:uid="{258EFD25-BE2E-4FD3-A081-DD4C9CC9B7C7}"/>
    <hyperlink ref="C550:C553" location="Form!A212" display="Question 21" xr:uid="{1871078F-F0B4-48B8-A448-95A8DAFC0FCF}"/>
    <hyperlink ref="C555" location="Form!A212" display="Question 21" xr:uid="{A323F4AB-3664-47DC-8ABD-1334B0511744}"/>
    <hyperlink ref="C557:C560" location="Form!A212" display="Question 21" xr:uid="{ED42D28F-D67A-4EE3-98CF-FB1DC03FD68B}"/>
    <hyperlink ref="C562" location="Form!A212" display="Question 21" xr:uid="{984756D4-5AC5-4754-A3D8-E98D5D76D29E}"/>
    <hyperlink ref="C564" location="Form!A212" display="Question 21" xr:uid="{D9922130-D6DB-40A9-BF1C-8C07FA98942A}"/>
    <hyperlink ref="C565:C567" location="Form!A212" display="Question 21" xr:uid="{6A9CB569-E872-4A13-9457-33D1ACFF7EA0}"/>
    <hyperlink ref="C569" location="Form!A212" display="Question 21" xr:uid="{6A702439-2D33-43DB-A186-AA87F0274621}"/>
    <hyperlink ref="C571:C574" location="Form!A212" display="Question 21" xr:uid="{31160311-E20E-4A51-A3A2-AAD45E6E05ED}"/>
    <hyperlink ref="C576" location="Form!A212" display="Question 21" xr:uid="{E1DE9991-BA7A-4E15-B8CA-C2B862B09D8C}"/>
    <hyperlink ref="C578:C581" location="Form!A212" display="Question 21" xr:uid="{15D7D078-2392-4924-8E97-FE55CBBA5AD6}"/>
    <hyperlink ref="C583" location="Form!A212" display="Question 21" xr:uid="{9F041AAD-B3BA-4200-85B4-82F9AB274B33}"/>
    <hyperlink ref="C585:C588" location="Form!A212" display="Question 21" xr:uid="{EB88C4D0-8129-4195-9290-C9B2154492A0}"/>
    <hyperlink ref="C590" location="Form!A212" display="Question 21" xr:uid="{7B55A83A-79A8-4499-8D45-00D38251D99B}"/>
    <hyperlink ref="C592" location="Form!A212" display="Question 21" xr:uid="{82DB13A7-EDD6-4998-8320-D48FCCC69EF3}"/>
    <hyperlink ref="C593:C595" location="Form!A212" display="Question 21" xr:uid="{93F086A7-FD69-47C4-BC7D-7CE296C0ED21}"/>
    <hyperlink ref="C597" location="Form!A212" display="Question 21" xr:uid="{9C2E125C-B7E1-4C99-84FB-09DADAE29CD8}"/>
    <hyperlink ref="C599:C602" location="Form!A212" display="Question 21" xr:uid="{E67A1732-6260-400F-88AB-A32E120C1583}"/>
    <hyperlink ref="C604" location="Form!A212" display="Question 21" xr:uid="{6D7AE45B-DE0A-40DC-BC1B-D2DBA952221B}"/>
    <hyperlink ref="C606:C609" location="Form!A212" display="Question 21" xr:uid="{FA24F4CE-DA14-497B-BB58-906A02A906D3}"/>
    <hyperlink ref="C611" location="Form!A212" display="Question 21" xr:uid="{CE953CDC-F1F0-4A92-9BB6-7FC0C0D79E76}"/>
    <hyperlink ref="C613:C616" location="Form!A212" display="Question 21" xr:uid="{5CE78532-1027-47A7-B885-4C6AF4700D87}"/>
    <hyperlink ref="C618" location="Form!A212" display="Question 21" xr:uid="{CB108EAC-2107-413E-AD12-E5C3275D2061}"/>
    <hyperlink ref="C620" location="Form!A212" display="Question 21" xr:uid="{1D36A652-DA3C-458F-AF1C-BF0B6625AB5D}"/>
    <hyperlink ref="C621:C623" location="Form!A212" display="Question 21" xr:uid="{A2C550DF-A8DA-4AE2-804A-27CD30B5FB13}"/>
    <hyperlink ref="C625" location="Form!A212" display="Question 21" xr:uid="{330336B9-F1D1-407A-8B4B-0A1266F535A4}"/>
    <hyperlink ref="C627:C630" location="Form!A212" display="Question 21" xr:uid="{75F88C5A-7E55-448B-8153-819087902DBA}"/>
    <hyperlink ref="C632" location="Form!A212" display="Question 21" xr:uid="{2F67A8D1-3BD8-47E4-A08D-1A68E87D3EED}"/>
    <hyperlink ref="C634:C637" location="Form!A212" display="Question 21" xr:uid="{28FF6520-8B86-447A-B88B-849B50B0F581}"/>
    <hyperlink ref="C639" location="Form!A212" display="Question 21" xr:uid="{CF9454B0-F5CF-439B-9DBD-F2934C049B8C}"/>
    <hyperlink ref="C641:C644" location="Form!A212" display="Question 21" xr:uid="{232E4724-6EB1-4277-BBCF-AD1FD442F91E}"/>
    <hyperlink ref="C646" location="Form!A212" display="Question 21" xr:uid="{F30004DB-EC02-4873-944E-6D394D6524FB}"/>
    <hyperlink ref="C648" location="Form!A212" display="Question 21" xr:uid="{04A1C44A-56C5-40B8-9BF4-79AA3E2ACB2A}"/>
    <hyperlink ref="C649:C651" location="Form!A212" display="Question 21" xr:uid="{0B6D1C4F-58B2-499B-A2A7-000C7F554953}"/>
    <hyperlink ref="C653" location="Form!A212" display="Question 21" xr:uid="{223C5774-8E53-4AEA-990F-90675CE3BA4E}"/>
    <hyperlink ref="C655:C658" location="Form!A212" display="Question 21" xr:uid="{0F157A0F-3DB4-4A44-8921-4120C6343800}"/>
    <hyperlink ref="C660" location="Form!A212" display="Question 21" xr:uid="{E4C8B3D1-0EB1-4D5A-83D2-E7CD5C519C7E}"/>
    <hyperlink ref="C662:C665" location="Form!A212" display="Question 21" xr:uid="{014B66E1-7125-46A9-A064-2F62F167F589}"/>
    <hyperlink ref="C667" location="Form!A212" display="Question 21" xr:uid="{B555D553-DE5C-4345-BF57-0EEF420515DA}"/>
    <hyperlink ref="C669:C672" location="Form!A212" display="Question 21" xr:uid="{C630FAA3-F2E7-46C4-85DF-1455C4E8F1B6}"/>
    <hyperlink ref="C674" location="Form!A212" display="Question 21" xr:uid="{62C818F0-3E79-4FEC-BF39-FFABDA3D6407}"/>
    <hyperlink ref="C676" location="Form!A212" display="Question 21" xr:uid="{1269714A-8C11-4E07-8B53-C5671944D144}"/>
    <hyperlink ref="C677:C679" location="Form!A212" display="Question 21" xr:uid="{AE183FF2-DEE4-4C5A-95EB-3DB4A1CC4B3E}"/>
    <hyperlink ref="C681" location="Form!A212" display="Question 21" xr:uid="{64158B15-87C8-4F58-92B3-94A3A46063F0}"/>
    <hyperlink ref="C683:C686" location="Form!A212" display="Question 21" xr:uid="{23937C7D-D37E-43A0-9637-B48AE10F6EEC}"/>
    <hyperlink ref="C688" location="Form!A212" display="Question 21" xr:uid="{E959D874-CC7B-4AAD-9D5E-EFF7676D11B9}"/>
    <hyperlink ref="C690:C693" location="Form!A212" display="Question 21" xr:uid="{44BDD358-4858-417E-B479-EE2D2AC6D2B8}"/>
    <hyperlink ref="C695" location="Form!A212" display="Question 21" xr:uid="{685EA983-7AC3-44A1-B966-CE556447E7B1}"/>
    <hyperlink ref="C697:C700" location="Form!A212" display="Question 21" xr:uid="{9FABF7DE-F9F0-4E04-800D-5A2A16B6F588}"/>
    <hyperlink ref="C702" location="Form!A212" display="Question 21" xr:uid="{1D7F1FA6-F422-4B6F-B86B-0F428759C3FC}"/>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F6AEE-5E02-4B67-BBFA-049C7E4AD5B1}">
  <dimension ref="A1:IF60"/>
  <sheetViews>
    <sheetView workbookViewId="0"/>
  </sheetViews>
  <sheetFormatPr defaultRowHeight="15"/>
  <cols>
    <col min="1" max="1" width="18.28515625" customWidth="1"/>
    <col min="2" max="2" width="21.5703125" customWidth="1"/>
    <col min="3" max="3" width="22" customWidth="1"/>
    <col min="4" max="4" width="64" customWidth="1"/>
    <col min="5" max="5" width="55.7109375" customWidth="1"/>
    <col min="6" max="6" width="53.7109375" customWidth="1"/>
  </cols>
  <sheetData>
    <row r="1" spans="1:7" ht="30">
      <c r="A1" s="36" t="s">
        <v>113</v>
      </c>
      <c r="B1" s="36" t="s">
        <v>133</v>
      </c>
      <c r="C1" s="37" t="s">
        <v>134</v>
      </c>
      <c r="D1" t="s">
        <v>135</v>
      </c>
      <c r="E1" s="39" t="s">
        <v>136</v>
      </c>
    </row>
    <row r="2" spans="1:7" ht="45">
      <c r="C2" s="37" t="s">
        <v>137</v>
      </c>
      <c r="D2" s="38" t="s">
        <v>138</v>
      </c>
      <c r="E2" s="39" t="s">
        <v>139</v>
      </c>
    </row>
    <row r="3" spans="1:7">
      <c r="C3" s="37" t="s">
        <v>140</v>
      </c>
      <c r="D3" s="38" t="s">
        <v>141</v>
      </c>
      <c r="E3" s="39" t="s">
        <v>142</v>
      </c>
    </row>
    <row r="4" spans="1:7" ht="30">
      <c r="C4" s="37" t="s">
        <v>143</v>
      </c>
      <c r="D4" s="38" t="s">
        <v>144</v>
      </c>
      <c r="E4" s="39" t="s">
        <v>145</v>
      </c>
    </row>
    <row r="5" spans="1:7" ht="30">
      <c r="C5" s="37" t="s">
        <v>146</v>
      </c>
      <c r="D5" s="38" t="s">
        <v>147</v>
      </c>
      <c r="E5" s="39" t="s">
        <v>145</v>
      </c>
    </row>
    <row r="6" spans="1:7" ht="30">
      <c r="C6" s="37" t="s">
        <v>148</v>
      </c>
      <c r="D6" s="38" t="s">
        <v>149</v>
      </c>
      <c r="E6" s="39" t="s">
        <v>145</v>
      </c>
    </row>
    <row r="7" spans="1:7" ht="30">
      <c r="C7" s="37" t="s">
        <v>150</v>
      </c>
      <c r="D7" s="38" t="s">
        <v>151</v>
      </c>
      <c r="E7" s="39" t="s">
        <v>152</v>
      </c>
    </row>
    <row r="8" spans="1:7" ht="30">
      <c r="C8" s="37" t="s">
        <v>153</v>
      </c>
      <c r="D8" s="38" t="s">
        <v>154</v>
      </c>
      <c r="E8" s="35" t="s">
        <v>155</v>
      </c>
    </row>
    <row r="9" spans="1:7">
      <c r="C9" s="37" t="s">
        <v>16</v>
      </c>
      <c r="D9" t="s">
        <v>156</v>
      </c>
    </row>
    <row r="10" spans="1:7">
      <c r="A10" s="36"/>
    </row>
    <row r="11" spans="1:7" s="41" customFormat="1" ht="15" customHeight="1">
      <c r="A11" s="51" t="s">
        <v>118</v>
      </c>
      <c r="B11" s="51" t="s">
        <v>249</v>
      </c>
      <c r="C11" s="51" t="s">
        <v>250</v>
      </c>
      <c r="D11" s="52" t="s">
        <v>251</v>
      </c>
      <c r="E11" s="53" t="s">
        <v>252</v>
      </c>
      <c r="F11" s="54" t="s">
        <v>253</v>
      </c>
      <c r="G11" s="43"/>
    </row>
    <row r="12" spans="1:7" s="41" customFormat="1">
      <c r="A12" s="55"/>
      <c r="B12" s="55"/>
      <c r="C12" s="56" t="s">
        <v>203</v>
      </c>
      <c r="D12" s="56"/>
      <c r="E12" s="57" t="s">
        <v>254</v>
      </c>
      <c r="F12" s="55"/>
      <c r="G12" s="43"/>
    </row>
    <row r="13" spans="1:7" s="41" customFormat="1">
      <c r="A13" s="55"/>
      <c r="B13" s="55"/>
      <c r="C13" s="56" t="s">
        <v>194</v>
      </c>
      <c r="D13" s="56"/>
      <c r="E13" s="57" t="s">
        <v>255</v>
      </c>
      <c r="F13" s="55"/>
      <c r="G13" s="43"/>
    </row>
    <row r="14" spans="1:7">
      <c r="A14" s="55"/>
      <c r="B14" s="55"/>
      <c r="C14" s="56" t="s">
        <v>185</v>
      </c>
      <c r="D14" s="56"/>
      <c r="E14" s="57" t="s">
        <v>256</v>
      </c>
      <c r="F14" s="55"/>
    </row>
    <row r="15" spans="1:7">
      <c r="A15" s="55"/>
      <c r="B15" s="55"/>
      <c r="C15" s="56" t="s">
        <v>208</v>
      </c>
      <c r="D15" s="56"/>
      <c r="E15" s="57" t="s">
        <v>257</v>
      </c>
      <c r="F15" s="55"/>
    </row>
    <row r="16" spans="1:7">
      <c r="A16" s="55"/>
      <c r="B16" s="55"/>
      <c r="C16" s="56" t="s">
        <v>186</v>
      </c>
      <c r="D16" s="56"/>
      <c r="E16" s="57" t="s">
        <v>258</v>
      </c>
      <c r="F16" s="57"/>
    </row>
    <row r="17" spans="1:240">
      <c r="A17" s="55"/>
      <c r="B17" s="55"/>
      <c r="C17" s="56" t="s">
        <v>187</v>
      </c>
      <c r="D17" s="56"/>
      <c r="E17" s="57" t="s">
        <v>259</v>
      </c>
      <c r="F17" s="55"/>
    </row>
    <row r="18" spans="1:240">
      <c r="A18" s="55"/>
      <c r="B18" s="55"/>
      <c r="C18" s="56" t="s">
        <v>188</v>
      </c>
      <c r="D18" s="56"/>
      <c r="E18" s="57" t="s">
        <v>260</v>
      </c>
      <c r="F18" s="57"/>
    </row>
    <row r="19" spans="1:240">
      <c r="A19" s="55"/>
      <c r="B19" s="55"/>
      <c r="C19" s="56" t="s">
        <v>189</v>
      </c>
      <c r="D19" s="56"/>
      <c r="E19" s="57" t="s">
        <v>261</v>
      </c>
      <c r="F19" s="55"/>
    </row>
    <row r="20" spans="1:240">
      <c r="A20" s="55"/>
      <c r="B20" s="55"/>
      <c r="C20" s="56" t="s">
        <v>195</v>
      </c>
      <c r="D20" s="56"/>
      <c r="E20" s="57" t="s">
        <v>262</v>
      </c>
      <c r="F20" s="55"/>
    </row>
    <row r="21" spans="1:240">
      <c r="A21" s="55"/>
      <c r="B21" s="55"/>
      <c r="C21" s="56" t="s">
        <v>190</v>
      </c>
      <c r="D21" s="56"/>
      <c r="E21" s="57" t="s">
        <v>263</v>
      </c>
      <c r="F21" s="55"/>
    </row>
    <row r="22" spans="1:240">
      <c r="A22" s="55"/>
      <c r="B22" s="55"/>
      <c r="C22" s="55" t="s">
        <v>191</v>
      </c>
      <c r="D22" s="55"/>
      <c r="E22" s="57" t="s">
        <v>264</v>
      </c>
      <c r="F22" s="57"/>
    </row>
    <row r="23" spans="1:240" s="41" customFormat="1">
      <c r="A23" s="55"/>
      <c r="B23" s="55"/>
      <c r="C23" s="55" t="s">
        <v>192</v>
      </c>
      <c r="D23" s="55"/>
      <c r="E23" s="57" t="s">
        <v>265</v>
      </c>
      <c r="F23" s="55"/>
      <c r="G23" s="43"/>
      <c r="H23" s="44"/>
    </row>
    <row r="24" spans="1:240" s="41" customFormat="1">
      <c r="A24" s="55"/>
      <c r="B24" s="55"/>
      <c r="C24" s="55" t="s">
        <v>193</v>
      </c>
      <c r="D24" s="55"/>
      <c r="E24" s="57" t="s">
        <v>266</v>
      </c>
      <c r="F24" s="57"/>
      <c r="G24" s="43"/>
      <c r="H24" s="44"/>
    </row>
    <row r="25" spans="1:240" s="41" customFormat="1">
      <c r="A25" s="55"/>
      <c r="B25" s="55"/>
      <c r="C25" s="55" t="s">
        <v>196</v>
      </c>
      <c r="D25" s="55"/>
      <c r="E25" s="57" t="s">
        <v>267</v>
      </c>
      <c r="F25" s="57"/>
      <c r="G25" s="43"/>
      <c r="H25" s="44"/>
    </row>
    <row r="26" spans="1:240" s="41" customFormat="1">
      <c r="A26" s="55"/>
      <c r="B26" s="55"/>
      <c r="C26" s="55" t="s">
        <v>197</v>
      </c>
      <c r="D26" s="55"/>
      <c r="E26" s="57" t="s">
        <v>268</v>
      </c>
      <c r="F26" s="55"/>
      <c r="G26" s="43"/>
      <c r="H26" s="44"/>
    </row>
    <row r="27" spans="1:240" s="41" customFormat="1">
      <c r="A27" s="55"/>
      <c r="B27" s="55"/>
      <c r="C27" s="55" t="s">
        <v>198</v>
      </c>
      <c r="D27" s="55"/>
      <c r="E27" s="57" t="s">
        <v>269</v>
      </c>
      <c r="F27" s="55"/>
      <c r="G27" s="43"/>
      <c r="H27" s="44"/>
    </row>
    <row r="28" spans="1:240" s="41" customFormat="1">
      <c r="A28" s="55"/>
      <c r="B28" s="55"/>
      <c r="C28" s="55" t="s">
        <v>199</v>
      </c>
      <c r="D28" s="55"/>
      <c r="E28" s="57" t="s">
        <v>270</v>
      </c>
      <c r="F28" s="55"/>
      <c r="G28" s="43"/>
      <c r="H28" s="44"/>
    </row>
    <row r="29" spans="1:240" s="42" customFormat="1">
      <c r="A29" s="55"/>
      <c r="B29" s="55"/>
      <c r="C29" s="56" t="s">
        <v>200</v>
      </c>
      <c r="D29" s="56"/>
      <c r="E29" s="57" t="s">
        <v>271</v>
      </c>
      <c r="F29" s="55"/>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5"/>
      <c r="BJ29" s="45"/>
      <c r="BK29" s="45"/>
      <c r="BL29" s="45"/>
      <c r="BM29" s="45"/>
      <c r="BN29" s="45"/>
      <c r="BO29" s="45"/>
      <c r="BP29" s="45"/>
      <c r="BQ29" s="45"/>
      <c r="BR29" s="45"/>
      <c r="BS29" s="45"/>
      <c r="BT29" s="45"/>
      <c r="BU29" s="45"/>
      <c r="BV29" s="45"/>
      <c r="BW29" s="45"/>
      <c r="BX29" s="45"/>
      <c r="BY29" s="45"/>
      <c r="BZ29" s="45"/>
      <c r="CA29" s="45"/>
      <c r="CB29" s="45"/>
      <c r="CC29" s="45"/>
      <c r="CD29" s="45"/>
      <c r="CE29" s="45"/>
      <c r="CF29" s="45"/>
      <c r="CG29" s="45"/>
      <c r="CH29" s="45"/>
      <c r="CI29" s="45"/>
      <c r="CJ29" s="45"/>
      <c r="CK29" s="45"/>
      <c r="CL29" s="45"/>
      <c r="CM29" s="45"/>
      <c r="CN29" s="45"/>
      <c r="CO29" s="45"/>
      <c r="CP29" s="45"/>
      <c r="CQ29" s="45"/>
      <c r="CR29" s="45"/>
      <c r="CS29" s="45"/>
      <c r="CT29" s="45"/>
      <c r="CU29" s="45"/>
      <c r="CV29" s="45"/>
      <c r="CW29" s="45"/>
      <c r="CX29" s="45"/>
      <c r="CY29" s="45"/>
      <c r="CZ29" s="45"/>
      <c r="DA29" s="45"/>
      <c r="DB29" s="45"/>
      <c r="DC29" s="45"/>
      <c r="DD29" s="45"/>
      <c r="DE29" s="45"/>
      <c r="DF29" s="45"/>
      <c r="DG29" s="45"/>
      <c r="DH29" s="45"/>
      <c r="DI29" s="45"/>
      <c r="DJ29" s="45"/>
      <c r="DK29" s="45"/>
      <c r="DL29" s="45"/>
      <c r="DM29" s="45"/>
      <c r="DN29" s="45"/>
      <c r="DO29" s="45"/>
      <c r="DP29" s="45"/>
      <c r="DQ29" s="45"/>
      <c r="DR29" s="45"/>
      <c r="DS29" s="45"/>
      <c r="DT29" s="45"/>
      <c r="DU29" s="45"/>
      <c r="DV29" s="45"/>
      <c r="DW29" s="45"/>
      <c r="DX29" s="45"/>
      <c r="DY29" s="45"/>
      <c r="DZ29" s="45"/>
      <c r="EA29" s="45"/>
      <c r="EB29" s="45"/>
      <c r="EC29" s="45"/>
      <c r="ED29" s="45"/>
      <c r="EE29" s="45"/>
      <c r="EF29" s="45"/>
      <c r="EG29" s="45"/>
      <c r="EH29" s="45"/>
      <c r="EI29" s="45"/>
      <c r="EJ29" s="45"/>
      <c r="EK29" s="45"/>
      <c r="EL29" s="45"/>
      <c r="EM29" s="45"/>
      <c r="EN29" s="45"/>
      <c r="EO29" s="45"/>
      <c r="EP29" s="45"/>
      <c r="EQ29" s="45"/>
      <c r="ER29" s="45"/>
      <c r="ES29" s="45"/>
      <c r="ET29" s="45"/>
      <c r="EU29" s="45"/>
      <c r="EV29" s="45"/>
      <c r="EW29" s="45"/>
      <c r="EX29" s="45"/>
      <c r="EY29" s="45"/>
      <c r="EZ29" s="45"/>
      <c r="FA29" s="45"/>
      <c r="FB29" s="45"/>
      <c r="FC29" s="45"/>
      <c r="FD29" s="45"/>
      <c r="FE29" s="45"/>
      <c r="FF29" s="45"/>
      <c r="FG29" s="45"/>
      <c r="FH29" s="45"/>
      <c r="FI29" s="45"/>
      <c r="FJ29" s="45"/>
      <c r="FK29" s="45"/>
      <c r="FL29" s="45"/>
      <c r="FM29" s="45"/>
      <c r="FN29" s="45"/>
      <c r="FO29" s="45"/>
      <c r="FP29" s="45"/>
      <c r="FQ29" s="45"/>
      <c r="FR29" s="45"/>
      <c r="FS29" s="45"/>
      <c r="FT29" s="45"/>
      <c r="FU29" s="45"/>
      <c r="FV29" s="45"/>
      <c r="FW29" s="45"/>
      <c r="FX29" s="45"/>
      <c r="FY29" s="45"/>
      <c r="FZ29" s="45"/>
      <c r="GA29" s="45"/>
      <c r="GB29" s="45"/>
      <c r="GC29" s="45"/>
      <c r="GD29" s="45"/>
      <c r="GE29" s="45"/>
      <c r="GF29" s="45"/>
      <c r="GG29" s="45"/>
      <c r="GH29" s="45"/>
      <c r="GI29" s="45"/>
      <c r="GJ29" s="45"/>
      <c r="GK29" s="45"/>
      <c r="GL29" s="45"/>
      <c r="GM29" s="45"/>
      <c r="GN29" s="45"/>
      <c r="GO29" s="45"/>
      <c r="GP29" s="45"/>
      <c r="GQ29" s="45"/>
      <c r="GR29" s="45"/>
      <c r="GS29" s="45"/>
      <c r="GT29" s="45"/>
      <c r="GU29" s="45"/>
      <c r="GV29" s="45"/>
      <c r="GW29" s="45"/>
      <c r="GX29" s="45"/>
      <c r="GY29" s="45"/>
      <c r="GZ29" s="45"/>
      <c r="HA29" s="45"/>
      <c r="HB29" s="45"/>
      <c r="HC29" s="45"/>
      <c r="HD29" s="45"/>
      <c r="HE29" s="45"/>
      <c r="HF29" s="45"/>
      <c r="HG29" s="45"/>
      <c r="HH29" s="45"/>
      <c r="HI29" s="45"/>
      <c r="HJ29" s="45"/>
      <c r="HK29" s="45"/>
      <c r="HL29" s="45"/>
      <c r="HM29" s="45"/>
      <c r="HN29" s="45"/>
      <c r="HO29" s="45"/>
      <c r="HP29" s="45"/>
      <c r="HQ29" s="45"/>
      <c r="HR29" s="45"/>
      <c r="HS29" s="45"/>
      <c r="HT29" s="45"/>
      <c r="HU29" s="45"/>
      <c r="HV29" s="45"/>
      <c r="HW29" s="45"/>
      <c r="HX29" s="45"/>
      <c r="HY29" s="45"/>
      <c r="HZ29" s="45"/>
      <c r="IA29" s="45"/>
      <c r="IB29" s="45"/>
      <c r="IC29" s="45"/>
      <c r="ID29" s="45"/>
      <c r="IE29" s="45"/>
      <c r="IF29" s="45"/>
    </row>
    <row r="30" spans="1:240" s="42" customFormat="1">
      <c r="A30" s="55"/>
      <c r="B30" s="55"/>
      <c r="C30" s="56" t="s">
        <v>201</v>
      </c>
      <c r="D30" s="56"/>
      <c r="E30" s="57" t="s">
        <v>272</v>
      </c>
      <c r="F30" s="5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c r="BM30" s="45"/>
      <c r="BN30" s="45"/>
      <c r="BO30" s="45"/>
      <c r="BP30" s="45"/>
      <c r="BQ30" s="45"/>
      <c r="BR30" s="45"/>
      <c r="BS30" s="45"/>
      <c r="BT30" s="45"/>
      <c r="BU30" s="45"/>
      <c r="BV30" s="45"/>
      <c r="BW30" s="45"/>
      <c r="BX30" s="45"/>
      <c r="BY30" s="45"/>
      <c r="BZ30" s="45"/>
      <c r="CA30" s="45"/>
      <c r="CB30" s="45"/>
      <c r="CC30" s="45"/>
      <c r="CD30" s="45"/>
      <c r="CE30" s="45"/>
      <c r="CF30" s="45"/>
      <c r="CG30" s="45"/>
      <c r="CH30" s="45"/>
      <c r="CI30" s="45"/>
      <c r="CJ30" s="45"/>
      <c r="CK30" s="45"/>
      <c r="CL30" s="45"/>
      <c r="CM30" s="45"/>
      <c r="CN30" s="45"/>
      <c r="CO30" s="45"/>
      <c r="CP30" s="45"/>
      <c r="CQ30" s="45"/>
      <c r="CR30" s="45"/>
      <c r="CS30" s="45"/>
      <c r="CT30" s="45"/>
      <c r="CU30" s="45"/>
      <c r="CV30" s="45"/>
      <c r="CW30" s="45"/>
      <c r="CX30" s="45"/>
      <c r="CY30" s="45"/>
      <c r="CZ30" s="45"/>
      <c r="DA30" s="45"/>
      <c r="DB30" s="45"/>
      <c r="DC30" s="45"/>
      <c r="DD30" s="45"/>
      <c r="DE30" s="45"/>
      <c r="DF30" s="45"/>
      <c r="DG30" s="45"/>
      <c r="DH30" s="45"/>
      <c r="DI30" s="45"/>
      <c r="DJ30" s="45"/>
      <c r="DK30" s="45"/>
      <c r="DL30" s="45"/>
      <c r="DM30" s="45"/>
      <c r="DN30" s="45"/>
      <c r="DO30" s="45"/>
      <c r="DP30" s="45"/>
      <c r="DQ30" s="45"/>
      <c r="DR30" s="45"/>
      <c r="DS30" s="45"/>
      <c r="DT30" s="45"/>
      <c r="DU30" s="45"/>
      <c r="DV30" s="45"/>
      <c r="DW30" s="45"/>
      <c r="DX30" s="45"/>
      <c r="DY30" s="45"/>
      <c r="DZ30" s="45"/>
      <c r="EA30" s="45"/>
      <c r="EB30" s="45"/>
      <c r="EC30" s="45"/>
      <c r="ED30" s="45"/>
      <c r="EE30" s="45"/>
      <c r="EF30" s="45"/>
      <c r="EG30" s="45"/>
      <c r="EH30" s="45"/>
      <c r="EI30" s="45"/>
      <c r="EJ30" s="45"/>
      <c r="EK30" s="45"/>
      <c r="EL30" s="45"/>
      <c r="EM30" s="45"/>
      <c r="EN30" s="45"/>
      <c r="EO30" s="45"/>
      <c r="EP30" s="45"/>
      <c r="EQ30" s="45"/>
      <c r="ER30" s="45"/>
      <c r="ES30" s="45"/>
      <c r="ET30" s="45"/>
      <c r="EU30" s="45"/>
      <c r="EV30" s="45"/>
      <c r="EW30" s="45"/>
      <c r="EX30" s="45"/>
      <c r="EY30" s="45"/>
      <c r="EZ30" s="45"/>
      <c r="FA30" s="45"/>
      <c r="FB30" s="45"/>
      <c r="FC30" s="45"/>
      <c r="FD30" s="45"/>
      <c r="FE30" s="45"/>
      <c r="FF30" s="45"/>
      <c r="FG30" s="45"/>
      <c r="FH30" s="45"/>
      <c r="FI30" s="45"/>
      <c r="FJ30" s="45"/>
      <c r="FK30" s="45"/>
      <c r="FL30" s="45"/>
      <c r="FM30" s="45"/>
      <c r="FN30" s="45"/>
      <c r="FO30" s="45"/>
      <c r="FP30" s="45"/>
      <c r="FQ30" s="45"/>
      <c r="FR30" s="45"/>
      <c r="FS30" s="45"/>
      <c r="FT30" s="45"/>
      <c r="FU30" s="45"/>
      <c r="FV30" s="45"/>
      <c r="FW30" s="45"/>
      <c r="FX30" s="45"/>
      <c r="FY30" s="45"/>
      <c r="FZ30" s="45"/>
      <c r="GA30" s="45"/>
      <c r="GB30" s="45"/>
      <c r="GC30" s="45"/>
      <c r="GD30" s="45"/>
      <c r="GE30" s="45"/>
      <c r="GF30" s="45"/>
      <c r="GG30" s="45"/>
      <c r="GH30" s="45"/>
      <c r="GI30" s="45"/>
      <c r="GJ30" s="45"/>
      <c r="GK30" s="45"/>
      <c r="GL30" s="45"/>
      <c r="GM30" s="45"/>
      <c r="GN30" s="45"/>
      <c r="GO30" s="45"/>
      <c r="GP30" s="45"/>
      <c r="GQ30" s="45"/>
      <c r="GR30" s="45"/>
      <c r="GS30" s="45"/>
      <c r="GT30" s="45"/>
      <c r="GU30" s="45"/>
      <c r="GV30" s="45"/>
      <c r="GW30" s="45"/>
      <c r="GX30" s="45"/>
      <c r="GY30" s="45"/>
      <c r="GZ30" s="45"/>
      <c r="HA30" s="45"/>
      <c r="HB30" s="45"/>
      <c r="HC30" s="45"/>
      <c r="HD30" s="45"/>
      <c r="HE30" s="45"/>
      <c r="HF30" s="45"/>
      <c r="HG30" s="45"/>
      <c r="HH30" s="45"/>
      <c r="HI30" s="45"/>
      <c r="HJ30" s="45"/>
      <c r="HK30" s="45"/>
      <c r="HL30" s="45"/>
      <c r="HM30" s="45"/>
      <c r="HN30" s="45"/>
      <c r="HO30" s="45"/>
      <c r="HP30" s="45"/>
      <c r="HQ30" s="45"/>
      <c r="HR30" s="45"/>
      <c r="HS30" s="45"/>
      <c r="HT30" s="45"/>
      <c r="HU30" s="45"/>
      <c r="HV30" s="45"/>
      <c r="HW30" s="45"/>
      <c r="HX30" s="45"/>
      <c r="HY30" s="45"/>
      <c r="HZ30" s="45"/>
      <c r="IA30" s="45"/>
      <c r="IB30" s="45"/>
      <c r="IC30" s="45"/>
      <c r="ID30" s="45"/>
      <c r="IE30" s="45"/>
      <c r="IF30" s="45"/>
    </row>
    <row r="31" spans="1:240" s="42" customFormat="1">
      <c r="A31" s="55"/>
      <c r="B31" s="55"/>
      <c r="C31" s="56" t="s">
        <v>211</v>
      </c>
      <c r="D31" s="56"/>
      <c r="E31" s="57" t="s">
        <v>273</v>
      </c>
      <c r="F31" s="5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c r="BL31" s="45"/>
      <c r="BM31" s="45"/>
      <c r="BN31" s="45"/>
      <c r="BO31" s="45"/>
      <c r="BP31" s="45"/>
      <c r="BQ31" s="45"/>
      <c r="BR31" s="45"/>
      <c r="BS31" s="45"/>
      <c r="BT31" s="45"/>
      <c r="BU31" s="45"/>
      <c r="BV31" s="45"/>
      <c r="BW31" s="45"/>
      <c r="BX31" s="45"/>
      <c r="BY31" s="45"/>
      <c r="BZ31" s="45"/>
      <c r="CA31" s="45"/>
      <c r="CB31" s="45"/>
      <c r="CC31" s="45"/>
      <c r="CD31" s="45"/>
      <c r="CE31" s="45"/>
      <c r="CF31" s="45"/>
      <c r="CG31" s="45"/>
      <c r="CH31" s="45"/>
      <c r="CI31" s="45"/>
      <c r="CJ31" s="45"/>
      <c r="CK31" s="45"/>
      <c r="CL31" s="45"/>
      <c r="CM31" s="45"/>
      <c r="CN31" s="45"/>
      <c r="CO31" s="45"/>
      <c r="CP31" s="45"/>
      <c r="CQ31" s="45"/>
      <c r="CR31" s="45"/>
      <c r="CS31" s="45"/>
      <c r="CT31" s="45"/>
      <c r="CU31" s="45"/>
      <c r="CV31" s="45"/>
      <c r="CW31" s="45"/>
      <c r="CX31" s="45"/>
      <c r="CY31" s="45"/>
      <c r="CZ31" s="45"/>
      <c r="DA31" s="45"/>
      <c r="DB31" s="45"/>
      <c r="DC31" s="45"/>
      <c r="DD31" s="45"/>
      <c r="DE31" s="45"/>
      <c r="DF31" s="45"/>
      <c r="DG31" s="45"/>
      <c r="DH31" s="45"/>
      <c r="DI31" s="45"/>
      <c r="DJ31" s="45"/>
      <c r="DK31" s="45"/>
      <c r="DL31" s="45"/>
      <c r="DM31" s="45"/>
      <c r="DN31" s="45"/>
      <c r="DO31" s="45"/>
      <c r="DP31" s="45"/>
      <c r="DQ31" s="45"/>
      <c r="DR31" s="45"/>
      <c r="DS31" s="45"/>
      <c r="DT31" s="45"/>
      <c r="DU31" s="45"/>
      <c r="DV31" s="45"/>
      <c r="DW31" s="45"/>
      <c r="DX31" s="45"/>
      <c r="DY31" s="45"/>
      <c r="DZ31" s="45"/>
      <c r="EA31" s="45"/>
      <c r="EB31" s="45"/>
      <c r="EC31" s="45"/>
      <c r="ED31" s="45"/>
      <c r="EE31" s="45"/>
      <c r="EF31" s="45"/>
      <c r="EG31" s="45"/>
      <c r="EH31" s="45"/>
      <c r="EI31" s="45"/>
      <c r="EJ31" s="45"/>
      <c r="EK31" s="45"/>
      <c r="EL31" s="45"/>
      <c r="EM31" s="45"/>
      <c r="EN31" s="45"/>
      <c r="EO31" s="45"/>
      <c r="EP31" s="45"/>
      <c r="EQ31" s="45"/>
      <c r="ER31" s="45"/>
      <c r="ES31" s="45"/>
      <c r="ET31" s="45"/>
      <c r="EU31" s="45"/>
      <c r="EV31" s="45"/>
      <c r="EW31" s="45"/>
      <c r="EX31" s="45"/>
      <c r="EY31" s="45"/>
      <c r="EZ31" s="45"/>
      <c r="FA31" s="45"/>
      <c r="FB31" s="45"/>
      <c r="FC31" s="45"/>
      <c r="FD31" s="45"/>
      <c r="FE31" s="45"/>
      <c r="FF31" s="45"/>
      <c r="FG31" s="45"/>
      <c r="FH31" s="45"/>
      <c r="FI31" s="45"/>
      <c r="FJ31" s="45"/>
      <c r="FK31" s="45"/>
      <c r="FL31" s="45"/>
      <c r="FM31" s="45"/>
      <c r="FN31" s="45"/>
      <c r="FO31" s="45"/>
      <c r="FP31" s="45"/>
      <c r="FQ31" s="45"/>
      <c r="FR31" s="45"/>
      <c r="FS31" s="45"/>
      <c r="FT31" s="45"/>
      <c r="FU31" s="45"/>
      <c r="FV31" s="45"/>
      <c r="FW31" s="45"/>
      <c r="FX31" s="45"/>
      <c r="FY31" s="45"/>
      <c r="FZ31" s="45"/>
      <c r="GA31" s="45"/>
      <c r="GB31" s="45"/>
      <c r="GC31" s="45"/>
      <c r="GD31" s="45"/>
      <c r="GE31" s="45"/>
      <c r="GF31" s="45"/>
      <c r="GG31" s="45"/>
      <c r="GH31" s="45"/>
      <c r="GI31" s="45"/>
      <c r="GJ31" s="45"/>
      <c r="GK31" s="45"/>
      <c r="GL31" s="45"/>
      <c r="GM31" s="45"/>
      <c r="GN31" s="45"/>
      <c r="GO31" s="45"/>
      <c r="GP31" s="45"/>
      <c r="GQ31" s="45"/>
      <c r="GR31" s="45"/>
      <c r="GS31" s="45"/>
      <c r="GT31" s="45"/>
      <c r="GU31" s="45"/>
      <c r="GV31" s="45"/>
      <c r="GW31" s="45"/>
      <c r="GX31" s="45"/>
      <c r="GY31" s="45"/>
      <c r="GZ31" s="45"/>
      <c r="HA31" s="45"/>
      <c r="HB31" s="45"/>
      <c r="HC31" s="45"/>
      <c r="HD31" s="45"/>
      <c r="HE31" s="45"/>
      <c r="HF31" s="45"/>
      <c r="HG31" s="45"/>
      <c r="HH31" s="45"/>
      <c r="HI31" s="45"/>
      <c r="HJ31" s="45"/>
      <c r="HK31" s="45"/>
      <c r="HL31" s="45"/>
      <c r="HM31" s="45"/>
      <c r="HN31" s="45"/>
      <c r="HO31" s="45"/>
      <c r="HP31" s="45"/>
      <c r="HQ31" s="45"/>
      <c r="HR31" s="45"/>
      <c r="HS31" s="45"/>
      <c r="HT31" s="45"/>
      <c r="HU31" s="45"/>
      <c r="HV31" s="45"/>
      <c r="HW31" s="45"/>
      <c r="HX31" s="45"/>
      <c r="HY31" s="45"/>
      <c r="HZ31" s="45"/>
      <c r="IA31" s="45"/>
      <c r="IB31" s="45"/>
      <c r="IC31" s="45"/>
      <c r="ID31" s="45"/>
      <c r="IE31" s="45"/>
      <c r="IF31" s="45"/>
    </row>
    <row r="32" spans="1:240" s="42" customFormat="1">
      <c r="A32" s="55"/>
      <c r="B32" s="55"/>
      <c r="C32" s="55" t="s">
        <v>202</v>
      </c>
      <c r="D32" s="55"/>
      <c r="E32" s="57" t="s">
        <v>274</v>
      </c>
      <c r="F32" s="5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c r="BM32" s="45"/>
      <c r="BN32" s="45"/>
      <c r="BO32" s="45"/>
      <c r="BP32" s="45"/>
      <c r="BQ32" s="45"/>
      <c r="BR32" s="45"/>
      <c r="BS32" s="45"/>
      <c r="BT32" s="45"/>
      <c r="BU32" s="45"/>
      <c r="BV32" s="45"/>
      <c r="BW32" s="45"/>
      <c r="BX32" s="45"/>
      <c r="BY32" s="45"/>
      <c r="BZ32" s="45"/>
      <c r="CA32" s="45"/>
      <c r="CB32" s="45"/>
      <c r="CC32" s="45"/>
      <c r="CD32" s="45"/>
      <c r="CE32" s="45"/>
      <c r="CF32" s="45"/>
      <c r="CG32" s="45"/>
      <c r="CH32" s="45"/>
      <c r="CI32" s="45"/>
      <c r="CJ32" s="45"/>
      <c r="CK32" s="45"/>
      <c r="CL32" s="45"/>
      <c r="CM32" s="45"/>
      <c r="CN32" s="45"/>
      <c r="CO32" s="45"/>
      <c r="CP32" s="45"/>
      <c r="CQ32" s="45"/>
      <c r="CR32" s="45"/>
      <c r="CS32" s="45"/>
      <c r="CT32" s="45"/>
      <c r="CU32" s="45"/>
      <c r="CV32" s="45"/>
      <c r="CW32" s="45"/>
      <c r="CX32" s="45"/>
      <c r="CY32" s="45"/>
      <c r="CZ32" s="45"/>
      <c r="DA32" s="45"/>
      <c r="DB32" s="45"/>
      <c r="DC32" s="45"/>
      <c r="DD32" s="45"/>
      <c r="DE32" s="45"/>
      <c r="DF32" s="45"/>
      <c r="DG32" s="45"/>
      <c r="DH32" s="45"/>
      <c r="DI32" s="45"/>
      <c r="DJ32" s="45"/>
      <c r="DK32" s="45"/>
      <c r="DL32" s="45"/>
      <c r="DM32" s="45"/>
      <c r="DN32" s="45"/>
      <c r="DO32" s="45"/>
      <c r="DP32" s="45"/>
      <c r="DQ32" s="45"/>
      <c r="DR32" s="45"/>
      <c r="DS32" s="45"/>
      <c r="DT32" s="45"/>
      <c r="DU32" s="45"/>
      <c r="DV32" s="45"/>
      <c r="DW32" s="45"/>
      <c r="DX32" s="45"/>
      <c r="DY32" s="45"/>
      <c r="DZ32" s="45"/>
      <c r="EA32" s="45"/>
      <c r="EB32" s="45"/>
      <c r="EC32" s="45"/>
      <c r="ED32" s="45"/>
      <c r="EE32" s="45"/>
      <c r="EF32" s="45"/>
      <c r="EG32" s="45"/>
      <c r="EH32" s="45"/>
      <c r="EI32" s="45"/>
      <c r="EJ32" s="45"/>
      <c r="EK32" s="45"/>
      <c r="EL32" s="45"/>
      <c r="EM32" s="45"/>
      <c r="EN32" s="45"/>
      <c r="EO32" s="45"/>
      <c r="EP32" s="45"/>
      <c r="EQ32" s="45"/>
      <c r="ER32" s="45"/>
      <c r="ES32" s="45"/>
      <c r="ET32" s="45"/>
      <c r="EU32" s="45"/>
      <c r="EV32" s="45"/>
      <c r="EW32" s="45"/>
      <c r="EX32" s="45"/>
      <c r="EY32" s="45"/>
      <c r="EZ32" s="45"/>
      <c r="FA32" s="45"/>
      <c r="FB32" s="45"/>
      <c r="FC32" s="45"/>
      <c r="FD32" s="45"/>
      <c r="FE32" s="45"/>
      <c r="FF32" s="45"/>
      <c r="FG32" s="45"/>
      <c r="FH32" s="45"/>
      <c r="FI32" s="45"/>
      <c r="FJ32" s="45"/>
      <c r="FK32" s="45"/>
      <c r="FL32" s="45"/>
      <c r="FM32" s="45"/>
      <c r="FN32" s="45"/>
      <c r="FO32" s="45"/>
      <c r="FP32" s="45"/>
      <c r="FQ32" s="45"/>
      <c r="FR32" s="45"/>
      <c r="FS32" s="45"/>
      <c r="FT32" s="45"/>
      <c r="FU32" s="45"/>
      <c r="FV32" s="45"/>
      <c r="FW32" s="45"/>
      <c r="FX32" s="45"/>
      <c r="FY32" s="45"/>
      <c r="FZ32" s="45"/>
      <c r="GA32" s="45"/>
      <c r="GB32" s="45"/>
      <c r="GC32" s="45"/>
      <c r="GD32" s="45"/>
      <c r="GE32" s="45"/>
      <c r="GF32" s="45"/>
      <c r="GG32" s="45"/>
      <c r="GH32" s="45"/>
      <c r="GI32" s="45"/>
      <c r="GJ32" s="45"/>
      <c r="GK32" s="45"/>
      <c r="GL32" s="45"/>
      <c r="GM32" s="45"/>
      <c r="GN32" s="45"/>
      <c r="GO32" s="45"/>
      <c r="GP32" s="45"/>
      <c r="GQ32" s="45"/>
      <c r="GR32" s="45"/>
      <c r="GS32" s="45"/>
      <c r="GT32" s="45"/>
      <c r="GU32" s="45"/>
      <c r="GV32" s="45"/>
      <c r="GW32" s="45"/>
      <c r="GX32" s="45"/>
      <c r="GY32" s="45"/>
      <c r="GZ32" s="45"/>
      <c r="HA32" s="45"/>
      <c r="HB32" s="45"/>
      <c r="HC32" s="45"/>
      <c r="HD32" s="45"/>
      <c r="HE32" s="45"/>
      <c r="HF32" s="45"/>
      <c r="HG32" s="45"/>
      <c r="HH32" s="45"/>
      <c r="HI32" s="45"/>
      <c r="HJ32" s="45"/>
      <c r="HK32" s="45"/>
      <c r="HL32" s="45"/>
      <c r="HM32" s="45"/>
      <c r="HN32" s="45"/>
      <c r="HO32" s="45"/>
      <c r="HP32" s="45"/>
      <c r="HQ32" s="45"/>
      <c r="HR32" s="45"/>
      <c r="HS32" s="45"/>
      <c r="HT32" s="45"/>
      <c r="HU32" s="45"/>
      <c r="HV32" s="45"/>
      <c r="HW32" s="45"/>
      <c r="HX32" s="45"/>
      <c r="HY32" s="45"/>
      <c r="HZ32" s="45"/>
      <c r="IA32" s="45"/>
      <c r="IB32" s="45"/>
      <c r="IC32" s="45"/>
      <c r="ID32" s="45"/>
      <c r="IE32" s="45"/>
      <c r="IF32" s="45"/>
    </row>
    <row r="33" spans="1:240" s="42" customFormat="1">
      <c r="A33" s="55"/>
      <c r="B33" s="55"/>
      <c r="C33" s="56" t="s">
        <v>275</v>
      </c>
      <c r="D33" s="56"/>
      <c r="E33" s="57" t="s">
        <v>276</v>
      </c>
      <c r="F33" s="5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5"/>
      <c r="BJ33" s="45"/>
      <c r="BK33" s="45"/>
      <c r="BL33" s="45"/>
      <c r="BM33" s="45"/>
      <c r="BN33" s="45"/>
      <c r="BO33" s="45"/>
      <c r="BP33" s="45"/>
      <c r="BQ33" s="45"/>
      <c r="BR33" s="45"/>
      <c r="BS33" s="45"/>
      <c r="BT33" s="45"/>
      <c r="BU33" s="45"/>
      <c r="BV33" s="45"/>
      <c r="BW33" s="45"/>
      <c r="BX33" s="45"/>
      <c r="BY33" s="45"/>
      <c r="BZ33" s="45"/>
      <c r="CA33" s="45"/>
      <c r="CB33" s="45"/>
      <c r="CC33" s="45"/>
      <c r="CD33" s="45"/>
      <c r="CE33" s="45"/>
      <c r="CF33" s="45"/>
      <c r="CG33" s="45"/>
      <c r="CH33" s="45"/>
      <c r="CI33" s="45"/>
      <c r="CJ33" s="45"/>
      <c r="CK33" s="45"/>
      <c r="CL33" s="45"/>
      <c r="CM33" s="45"/>
      <c r="CN33" s="45"/>
      <c r="CO33" s="45"/>
      <c r="CP33" s="45"/>
      <c r="CQ33" s="45"/>
      <c r="CR33" s="45"/>
      <c r="CS33" s="45"/>
      <c r="CT33" s="45"/>
      <c r="CU33" s="45"/>
      <c r="CV33" s="45"/>
      <c r="CW33" s="45"/>
      <c r="CX33" s="45"/>
      <c r="CY33" s="45"/>
      <c r="CZ33" s="45"/>
      <c r="DA33" s="45"/>
      <c r="DB33" s="45"/>
      <c r="DC33" s="45"/>
      <c r="DD33" s="45"/>
      <c r="DE33" s="45"/>
      <c r="DF33" s="45"/>
      <c r="DG33" s="45"/>
      <c r="DH33" s="45"/>
      <c r="DI33" s="45"/>
      <c r="DJ33" s="45"/>
      <c r="DK33" s="45"/>
      <c r="DL33" s="45"/>
      <c r="DM33" s="45"/>
      <c r="DN33" s="45"/>
      <c r="DO33" s="45"/>
      <c r="DP33" s="45"/>
      <c r="DQ33" s="45"/>
      <c r="DR33" s="45"/>
      <c r="DS33" s="45"/>
      <c r="DT33" s="45"/>
      <c r="DU33" s="45"/>
      <c r="DV33" s="45"/>
      <c r="DW33" s="45"/>
      <c r="DX33" s="45"/>
      <c r="DY33" s="45"/>
      <c r="DZ33" s="45"/>
      <c r="EA33" s="45"/>
      <c r="EB33" s="45"/>
      <c r="EC33" s="45"/>
      <c r="ED33" s="45"/>
      <c r="EE33" s="45"/>
      <c r="EF33" s="45"/>
      <c r="EG33" s="45"/>
      <c r="EH33" s="45"/>
      <c r="EI33" s="45"/>
      <c r="EJ33" s="45"/>
      <c r="EK33" s="45"/>
      <c r="EL33" s="45"/>
      <c r="EM33" s="45"/>
      <c r="EN33" s="45"/>
      <c r="EO33" s="45"/>
      <c r="EP33" s="45"/>
      <c r="EQ33" s="45"/>
      <c r="ER33" s="45"/>
      <c r="ES33" s="45"/>
      <c r="ET33" s="45"/>
      <c r="EU33" s="45"/>
      <c r="EV33" s="45"/>
      <c r="EW33" s="45"/>
      <c r="EX33" s="45"/>
      <c r="EY33" s="45"/>
      <c r="EZ33" s="45"/>
      <c r="FA33" s="45"/>
      <c r="FB33" s="45"/>
      <c r="FC33" s="45"/>
      <c r="FD33" s="45"/>
      <c r="FE33" s="45"/>
      <c r="FF33" s="45"/>
      <c r="FG33" s="45"/>
      <c r="FH33" s="45"/>
      <c r="FI33" s="45"/>
      <c r="FJ33" s="45"/>
      <c r="FK33" s="45"/>
      <c r="FL33" s="45"/>
      <c r="FM33" s="45"/>
      <c r="FN33" s="45"/>
      <c r="FO33" s="45"/>
      <c r="FP33" s="45"/>
      <c r="FQ33" s="45"/>
      <c r="FR33" s="45"/>
      <c r="FS33" s="45"/>
      <c r="FT33" s="45"/>
      <c r="FU33" s="45"/>
      <c r="FV33" s="45"/>
      <c r="FW33" s="45"/>
      <c r="FX33" s="45"/>
      <c r="FY33" s="45"/>
      <c r="FZ33" s="45"/>
      <c r="GA33" s="45"/>
      <c r="GB33" s="45"/>
      <c r="GC33" s="45"/>
      <c r="GD33" s="45"/>
      <c r="GE33" s="45"/>
      <c r="GF33" s="45"/>
      <c r="GG33" s="45"/>
      <c r="GH33" s="45"/>
      <c r="GI33" s="45"/>
      <c r="GJ33" s="45"/>
      <c r="GK33" s="45"/>
      <c r="GL33" s="45"/>
      <c r="GM33" s="45"/>
      <c r="GN33" s="45"/>
      <c r="GO33" s="45"/>
      <c r="GP33" s="45"/>
      <c r="GQ33" s="45"/>
      <c r="GR33" s="45"/>
      <c r="GS33" s="45"/>
      <c r="GT33" s="45"/>
      <c r="GU33" s="45"/>
      <c r="GV33" s="45"/>
      <c r="GW33" s="45"/>
      <c r="GX33" s="45"/>
      <c r="GY33" s="45"/>
      <c r="GZ33" s="45"/>
      <c r="HA33" s="45"/>
      <c r="HB33" s="45"/>
      <c r="HC33" s="45"/>
      <c r="HD33" s="45"/>
      <c r="HE33" s="45"/>
      <c r="HF33" s="45"/>
      <c r="HG33" s="45"/>
      <c r="HH33" s="45"/>
      <c r="HI33" s="45"/>
      <c r="HJ33" s="45"/>
      <c r="HK33" s="45"/>
      <c r="HL33" s="45"/>
      <c r="HM33" s="45"/>
      <c r="HN33" s="45"/>
      <c r="HO33" s="45"/>
      <c r="HP33" s="45"/>
      <c r="HQ33" s="45"/>
      <c r="HR33" s="45"/>
      <c r="HS33" s="45"/>
      <c r="HT33" s="45"/>
      <c r="HU33" s="45"/>
      <c r="HV33" s="45"/>
      <c r="HW33" s="45"/>
      <c r="HX33" s="45"/>
      <c r="HY33" s="45"/>
      <c r="HZ33" s="45"/>
      <c r="IA33" s="45"/>
      <c r="IB33" s="45"/>
      <c r="IC33" s="45"/>
      <c r="ID33" s="45"/>
      <c r="IE33" s="45"/>
      <c r="IF33" s="45"/>
    </row>
    <row r="34" spans="1:240" s="42" customFormat="1">
      <c r="A34" s="55"/>
      <c r="B34" s="55"/>
      <c r="C34" s="56" t="s">
        <v>210</v>
      </c>
      <c r="D34" s="56"/>
      <c r="E34" s="57" t="s">
        <v>277</v>
      </c>
      <c r="F34" s="5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c r="BM34" s="45"/>
      <c r="BN34" s="45"/>
      <c r="BO34" s="45"/>
      <c r="BP34" s="45"/>
      <c r="BQ34" s="45"/>
      <c r="BR34" s="45"/>
      <c r="BS34" s="45"/>
      <c r="BT34" s="45"/>
      <c r="BU34" s="45"/>
      <c r="BV34" s="45"/>
      <c r="BW34" s="45"/>
      <c r="BX34" s="45"/>
      <c r="BY34" s="45"/>
      <c r="BZ34" s="45"/>
      <c r="CA34" s="45"/>
      <c r="CB34" s="45"/>
      <c r="CC34" s="45"/>
      <c r="CD34" s="45"/>
      <c r="CE34" s="45"/>
      <c r="CF34" s="45"/>
      <c r="CG34" s="45"/>
      <c r="CH34" s="45"/>
      <c r="CI34" s="45"/>
      <c r="CJ34" s="45"/>
      <c r="CK34" s="45"/>
      <c r="CL34" s="45"/>
      <c r="CM34" s="45"/>
      <c r="CN34" s="45"/>
      <c r="CO34" s="45"/>
      <c r="CP34" s="45"/>
      <c r="CQ34" s="45"/>
      <c r="CR34" s="45"/>
      <c r="CS34" s="45"/>
      <c r="CT34" s="45"/>
      <c r="CU34" s="45"/>
      <c r="CV34" s="45"/>
      <c r="CW34" s="45"/>
      <c r="CX34" s="45"/>
      <c r="CY34" s="45"/>
      <c r="CZ34" s="45"/>
      <c r="DA34" s="45"/>
      <c r="DB34" s="45"/>
      <c r="DC34" s="45"/>
      <c r="DD34" s="45"/>
      <c r="DE34" s="45"/>
      <c r="DF34" s="45"/>
      <c r="DG34" s="45"/>
      <c r="DH34" s="45"/>
      <c r="DI34" s="45"/>
      <c r="DJ34" s="45"/>
      <c r="DK34" s="45"/>
      <c r="DL34" s="45"/>
      <c r="DM34" s="45"/>
      <c r="DN34" s="45"/>
      <c r="DO34" s="45"/>
      <c r="DP34" s="45"/>
      <c r="DQ34" s="45"/>
      <c r="DR34" s="45"/>
      <c r="DS34" s="45"/>
      <c r="DT34" s="45"/>
      <c r="DU34" s="45"/>
      <c r="DV34" s="45"/>
      <c r="DW34" s="45"/>
      <c r="DX34" s="45"/>
      <c r="DY34" s="45"/>
      <c r="DZ34" s="45"/>
      <c r="EA34" s="45"/>
      <c r="EB34" s="45"/>
      <c r="EC34" s="45"/>
      <c r="ED34" s="45"/>
      <c r="EE34" s="45"/>
      <c r="EF34" s="45"/>
      <c r="EG34" s="45"/>
      <c r="EH34" s="45"/>
      <c r="EI34" s="45"/>
      <c r="EJ34" s="45"/>
      <c r="EK34" s="45"/>
      <c r="EL34" s="45"/>
      <c r="EM34" s="45"/>
      <c r="EN34" s="45"/>
      <c r="EO34" s="45"/>
      <c r="EP34" s="45"/>
      <c r="EQ34" s="45"/>
      <c r="ER34" s="45"/>
      <c r="ES34" s="45"/>
      <c r="ET34" s="45"/>
      <c r="EU34" s="45"/>
      <c r="EV34" s="45"/>
      <c r="EW34" s="45"/>
      <c r="EX34" s="45"/>
      <c r="EY34" s="45"/>
      <c r="EZ34" s="45"/>
      <c r="FA34" s="45"/>
      <c r="FB34" s="45"/>
      <c r="FC34" s="45"/>
      <c r="FD34" s="45"/>
      <c r="FE34" s="45"/>
      <c r="FF34" s="45"/>
      <c r="FG34" s="45"/>
      <c r="FH34" s="45"/>
      <c r="FI34" s="45"/>
      <c r="FJ34" s="45"/>
      <c r="FK34" s="45"/>
      <c r="FL34" s="45"/>
      <c r="FM34" s="45"/>
      <c r="FN34" s="45"/>
      <c r="FO34" s="45"/>
      <c r="FP34" s="45"/>
      <c r="FQ34" s="45"/>
      <c r="FR34" s="45"/>
      <c r="FS34" s="45"/>
      <c r="FT34" s="45"/>
      <c r="FU34" s="45"/>
      <c r="FV34" s="45"/>
      <c r="FW34" s="45"/>
      <c r="FX34" s="45"/>
      <c r="FY34" s="45"/>
      <c r="FZ34" s="45"/>
      <c r="GA34" s="45"/>
      <c r="GB34" s="45"/>
      <c r="GC34" s="45"/>
      <c r="GD34" s="45"/>
      <c r="GE34" s="45"/>
      <c r="GF34" s="45"/>
      <c r="GG34" s="45"/>
      <c r="GH34" s="45"/>
      <c r="GI34" s="45"/>
      <c r="GJ34" s="45"/>
      <c r="GK34" s="45"/>
      <c r="GL34" s="45"/>
      <c r="GM34" s="45"/>
      <c r="GN34" s="45"/>
      <c r="GO34" s="45"/>
      <c r="GP34" s="45"/>
      <c r="GQ34" s="45"/>
      <c r="GR34" s="45"/>
      <c r="GS34" s="45"/>
      <c r="GT34" s="45"/>
      <c r="GU34" s="45"/>
      <c r="GV34" s="45"/>
      <c r="GW34" s="45"/>
      <c r="GX34" s="45"/>
      <c r="GY34" s="45"/>
      <c r="GZ34" s="45"/>
      <c r="HA34" s="45"/>
      <c r="HB34" s="45"/>
      <c r="HC34" s="45"/>
      <c r="HD34" s="45"/>
      <c r="HE34" s="45"/>
      <c r="HF34" s="45"/>
      <c r="HG34" s="45"/>
      <c r="HH34" s="45"/>
      <c r="HI34" s="45"/>
      <c r="HJ34" s="45"/>
      <c r="HK34" s="45"/>
      <c r="HL34" s="45"/>
      <c r="HM34" s="45"/>
      <c r="HN34" s="45"/>
      <c r="HO34" s="45"/>
      <c r="HP34" s="45"/>
      <c r="HQ34" s="45"/>
      <c r="HR34" s="45"/>
      <c r="HS34" s="45"/>
      <c r="HT34" s="45"/>
      <c r="HU34" s="45"/>
      <c r="HV34" s="45"/>
      <c r="HW34" s="45"/>
      <c r="HX34" s="45"/>
      <c r="HY34" s="45"/>
      <c r="HZ34" s="45"/>
      <c r="IA34" s="45"/>
      <c r="IB34" s="45"/>
      <c r="IC34" s="45"/>
      <c r="ID34" s="45"/>
      <c r="IE34" s="45"/>
      <c r="IF34" s="45"/>
    </row>
    <row r="35" spans="1:240" s="42" customFormat="1">
      <c r="A35" s="55"/>
      <c r="B35" s="55"/>
      <c r="C35" s="56" t="s">
        <v>212</v>
      </c>
      <c r="D35" s="56"/>
      <c r="E35" s="57"/>
      <c r="F35" s="5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45"/>
      <c r="BH35" s="45"/>
      <c r="BI35" s="45"/>
      <c r="BJ35" s="45"/>
      <c r="BK35" s="45"/>
      <c r="BL35" s="45"/>
      <c r="BM35" s="45"/>
      <c r="BN35" s="45"/>
      <c r="BO35" s="45"/>
      <c r="BP35" s="45"/>
      <c r="BQ35" s="45"/>
      <c r="BR35" s="45"/>
      <c r="BS35" s="45"/>
      <c r="BT35" s="45"/>
      <c r="BU35" s="45"/>
      <c r="BV35" s="45"/>
      <c r="BW35" s="45"/>
      <c r="BX35" s="45"/>
      <c r="BY35" s="45"/>
      <c r="BZ35" s="45"/>
      <c r="CA35" s="45"/>
      <c r="CB35" s="45"/>
      <c r="CC35" s="45"/>
      <c r="CD35" s="45"/>
      <c r="CE35" s="45"/>
      <c r="CF35" s="45"/>
      <c r="CG35" s="45"/>
      <c r="CH35" s="45"/>
      <c r="CI35" s="45"/>
      <c r="CJ35" s="45"/>
      <c r="CK35" s="45"/>
      <c r="CL35" s="45"/>
      <c r="CM35" s="45"/>
      <c r="CN35" s="45"/>
      <c r="CO35" s="45"/>
      <c r="CP35" s="45"/>
      <c r="CQ35" s="45"/>
      <c r="CR35" s="45"/>
      <c r="CS35" s="45"/>
      <c r="CT35" s="45"/>
      <c r="CU35" s="45"/>
      <c r="CV35" s="45"/>
      <c r="CW35" s="45"/>
      <c r="CX35" s="45"/>
      <c r="CY35" s="45"/>
      <c r="CZ35" s="45"/>
      <c r="DA35" s="45"/>
      <c r="DB35" s="45"/>
      <c r="DC35" s="45"/>
      <c r="DD35" s="45"/>
      <c r="DE35" s="45"/>
      <c r="DF35" s="45"/>
      <c r="DG35" s="45"/>
      <c r="DH35" s="45"/>
      <c r="DI35" s="45"/>
      <c r="DJ35" s="45"/>
      <c r="DK35" s="45"/>
      <c r="DL35" s="45"/>
      <c r="DM35" s="45"/>
      <c r="DN35" s="45"/>
      <c r="DO35" s="45"/>
      <c r="DP35" s="45"/>
      <c r="DQ35" s="45"/>
      <c r="DR35" s="45"/>
      <c r="DS35" s="45"/>
      <c r="DT35" s="45"/>
      <c r="DU35" s="45"/>
      <c r="DV35" s="45"/>
      <c r="DW35" s="45"/>
      <c r="DX35" s="45"/>
      <c r="DY35" s="45"/>
      <c r="DZ35" s="45"/>
      <c r="EA35" s="45"/>
      <c r="EB35" s="45"/>
      <c r="EC35" s="45"/>
      <c r="ED35" s="45"/>
      <c r="EE35" s="45"/>
      <c r="EF35" s="45"/>
      <c r="EG35" s="45"/>
      <c r="EH35" s="45"/>
      <c r="EI35" s="45"/>
      <c r="EJ35" s="45"/>
      <c r="EK35" s="45"/>
      <c r="EL35" s="45"/>
      <c r="EM35" s="45"/>
      <c r="EN35" s="45"/>
      <c r="EO35" s="45"/>
      <c r="EP35" s="45"/>
      <c r="EQ35" s="45"/>
      <c r="ER35" s="45"/>
      <c r="ES35" s="45"/>
      <c r="ET35" s="45"/>
      <c r="EU35" s="45"/>
      <c r="EV35" s="45"/>
      <c r="EW35" s="45"/>
      <c r="EX35" s="45"/>
      <c r="EY35" s="45"/>
      <c r="EZ35" s="45"/>
      <c r="FA35" s="45"/>
      <c r="FB35" s="45"/>
      <c r="FC35" s="45"/>
      <c r="FD35" s="45"/>
      <c r="FE35" s="45"/>
      <c r="FF35" s="45"/>
      <c r="FG35" s="45"/>
      <c r="FH35" s="45"/>
      <c r="FI35" s="45"/>
      <c r="FJ35" s="45"/>
      <c r="FK35" s="45"/>
      <c r="FL35" s="45"/>
      <c r="FM35" s="45"/>
      <c r="FN35" s="45"/>
      <c r="FO35" s="45"/>
      <c r="FP35" s="45"/>
      <c r="FQ35" s="45"/>
      <c r="FR35" s="45"/>
      <c r="FS35" s="45"/>
      <c r="FT35" s="45"/>
      <c r="FU35" s="45"/>
      <c r="FV35" s="45"/>
      <c r="FW35" s="45"/>
      <c r="FX35" s="45"/>
      <c r="FY35" s="45"/>
      <c r="FZ35" s="45"/>
      <c r="GA35" s="45"/>
      <c r="GB35" s="45"/>
      <c r="GC35" s="45"/>
      <c r="GD35" s="45"/>
      <c r="GE35" s="45"/>
      <c r="GF35" s="45"/>
      <c r="GG35" s="45"/>
      <c r="GH35" s="45"/>
      <c r="GI35" s="45"/>
      <c r="GJ35" s="45"/>
      <c r="GK35" s="45"/>
      <c r="GL35" s="45"/>
      <c r="GM35" s="45"/>
      <c r="GN35" s="45"/>
      <c r="GO35" s="45"/>
      <c r="GP35" s="45"/>
      <c r="GQ35" s="45"/>
      <c r="GR35" s="45"/>
      <c r="GS35" s="45"/>
      <c r="GT35" s="45"/>
      <c r="GU35" s="45"/>
      <c r="GV35" s="45"/>
      <c r="GW35" s="45"/>
      <c r="GX35" s="45"/>
      <c r="GY35" s="45"/>
      <c r="GZ35" s="45"/>
      <c r="HA35" s="45"/>
      <c r="HB35" s="45"/>
      <c r="HC35" s="45"/>
      <c r="HD35" s="45"/>
      <c r="HE35" s="45"/>
      <c r="HF35" s="45"/>
      <c r="HG35" s="45"/>
      <c r="HH35" s="45"/>
      <c r="HI35" s="45"/>
      <c r="HJ35" s="45"/>
      <c r="HK35" s="45"/>
      <c r="HL35" s="45"/>
      <c r="HM35" s="45"/>
      <c r="HN35" s="45"/>
      <c r="HO35" s="45"/>
      <c r="HP35" s="45"/>
      <c r="HQ35" s="45"/>
      <c r="HR35" s="45"/>
      <c r="HS35" s="45"/>
      <c r="HT35" s="45"/>
      <c r="HU35" s="45"/>
      <c r="HV35" s="45"/>
      <c r="HW35" s="45"/>
      <c r="HX35" s="45"/>
      <c r="HY35" s="45"/>
      <c r="HZ35" s="45"/>
      <c r="IA35" s="45"/>
      <c r="IB35" s="45"/>
      <c r="IC35" s="45"/>
      <c r="ID35" s="45"/>
      <c r="IE35" s="45"/>
      <c r="IF35" s="45"/>
    </row>
    <row r="36" spans="1:240" s="42" customFormat="1">
      <c r="A36" s="55"/>
      <c r="B36" s="55"/>
      <c r="C36" s="56" t="s">
        <v>213</v>
      </c>
      <c r="D36" s="55"/>
      <c r="E36" s="57"/>
      <c r="F36" s="5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5"/>
      <c r="AY36" s="45"/>
      <c r="AZ36" s="45"/>
      <c r="BA36" s="45"/>
      <c r="BB36" s="45"/>
      <c r="BC36" s="45"/>
      <c r="BD36" s="45"/>
      <c r="BE36" s="45"/>
      <c r="BF36" s="45"/>
      <c r="BG36" s="45"/>
      <c r="BH36" s="45"/>
      <c r="BI36" s="45"/>
      <c r="BJ36" s="45"/>
      <c r="BK36" s="45"/>
      <c r="BL36" s="45"/>
      <c r="BM36" s="45"/>
      <c r="BN36" s="45"/>
      <c r="BO36" s="45"/>
      <c r="BP36" s="45"/>
      <c r="BQ36" s="45"/>
      <c r="BR36" s="45"/>
      <c r="BS36" s="45"/>
      <c r="BT36" s="45"/>
      <c r="BU36" s="45"/>
      <c r="BV36" s="45"/>
      <c r="BW36" s="45"/>
      <c r="BX36" s="45"/>
      <c r="BY36" s="45"/>
      <c r="BZ36" s="45"/>
      <c r="CA36" s="45"/>
      <c r="CB36" s="45"/>
      <c r="CC36" s="45"/>
      <c r="CD36" s="45"/>
      <c r="CE36" s="45"/>
      <c r="CF36" s="45"/>
      <c r="CG36" s="45"/>
      <c r="CH36" s="45"/>
      <c r="CI36" s="45"/>
      <c r="CJ36" s="45"/>
      <c r="CK36" s="45"/>
      <c r="CL36" s="45"/>
      <c r="CM36" s="45"/>
      <c r="CN36" s="45"/>
      <c r="CO36" s="45"/>
      <c r="CP36" s="45"/>
      <c r="CQ36" s="45"/>
      <c r="CR36" s="45"/>
      <c r="CS36" s="45"/>
      <c r="CT36" s="45"/>
      <c r="CU36" s="45"/>
      <c r="CV36" s="45"/>
      <c r="CW36" s="45"/>
      <c r="CX36" s="45"/>
      <c r="CY36" s="45"/>
      <c r="CZ36" s="45"/>
      <c r="DA36" s="45"/>
      <c r="DB36" s="45"/>
      <c r="DC36" s="45"/>
      <c r="DD36" s="45"/>
      <c r="DE36" s="45"/>
      <c r="DF36" s="45"/>
      <c r="DG36" s="45"/>
      <c r="DH36" s="45"/>
      <c r="DI36" s="45"/>
      <c r="DJ36" s="45"/>
      <c r="DK36" s="45"/>
      <c r="DL36" s="45"/>
      <c r="DM36" s="45"/>
      <c r="DN36" s="45"/>
      <c r="DO36" s="45"/>
      <c r="DP36" s="45"/>
      <c r="DQ36" s="45"/>
      <c r="DR36" s="45"/>
      <c r="DS36" s="45"/>
      <c r="DT36" s="45"/>
      <c r="DU36" s="45"/>
      <c r="DV36" s="45"/>
      <c r="DW36" s="45"/>
      <c r="DX36" s="45"/>
      <c r="DY36" s="45"/>
      <c r="DZ36" s="45"/>
      <c r="EA36" s="45"/>
      <c r="EB36" s="45"/>
      <c r="EC36" s="45"/>
      <c r="ED36" s="45"/>
      <c r="EE36" s="45"/>
      <c r="EF36" s="45"/>
      <c r="EG36" s="45"/>
      <c r="EH36" s="45"/>
      <c r="EI36" s="45"/>
      <c r="EJ36" s="45"/>
      <c r="EK36" s="45"/>
      <c r="EL36" s="45"/>
      <c r="EM36" s="45"/>
      <c r="EN36" s="45"/>
      <c r="EO36" s="45"/>
      <c r="EP36" s="45"/>
      <c r="EQ36" s="45"/>
      <c r="ER36" s="45"/>
      <c r="ES36" s="45"/>
      <c r="ET36" s="45"/>
      <c r="EU36" s="45"/>
      <c r="EV36" s="45"/>
      <c r="EW36" s="45"/>
      <c r="EX36" s="45"/>
      <c r="EY36" s="45"/>
      <c r="EZ36" s="45"/>
      <c r="FA36" s="45"/>
      <c r="FB36" s="45"/>
      <c r="FC36" s="45"/>
      <c r="FD36" s="45"/>
      <c r="FE36" s="45"/>
      <c r="FF36" s="45"/>
      <c r="FG36" s="45"/>
      <c r="FH36" s="45"/>
      <c r="FI36" s="45"/>
      <c r="FJ36" s="45"/>
      <c r="FK36" s="45"/>
      <c r="FL36" s="45"/>
      <c r="FM36" s="45"/>
      <c r="FN36" s="45"/>
      <c r="FO36" s="45"/>
      <c r="FP36" s="45"/>
      <c r="FQ36" s="45"/>
      <c r="FR36" s="45"/>
      <c r="FS36" s="45"/>
      <c r="FT36" s="45"/>
      <c r="FU36" s="45"/>
      <c r="FV36" s="45"/>
      <c r="FW36" s="45"/>
      <c r="FX36" s="45"/>
      <c r="FY36" s="45"/>
      <c r="FZ36" s="45"/>
      <c r="GA36" s="45"/>
      <c r="GB36" s="45"/>
      <c r="GC36" s="45"/>
      <c r="GD36" s="45"/>
      <c r="GE36" s="45"/>
      <c r="GF36" s="45"/>
      <c r="GG36" s="45"/>
      <c r="GH36" s="45"/>
      <c r="GI36" s="45"/>
      <c r="GJ36" s="45"/>
      <c r="GK36" s="45"/>
      <c r="GL36" s="45"/>
      <c r="GM36" s="45"/>
      <c r="GN36" s="45"/>
      <c r="GO36" s="45"/>
      <c r="GP36" s="45"/>
      <c r="GQ36" s="45"/>
      <c r="GR36" s="45"/>
      <c r="GS36" s="45"/>
      <c r="GT36" s="45"/>
      <c r="GU36" s="45"/>
      <c r="GV36" s="45"/>
      <c r="GW36" s="45"/>
      <c r="GX36" s="45"/>
      <c r="GY36" s="45"/>
      <c r="GZ36" s="45"/>
      <c r="HA36" s="45"/>
      <c r="HB36" s="45"/>
      <c r="HC36" s="45"/>
      <c r="HD36" s="45"/>
      <c r="HE36" s="45"/>
      <c r="HF36" s="45"/>
      <c r="HG36" s="45"/>
      <c r="HH36" s="45"/>
      <c r="HI36" s="45"/>
      <c r="HJ36" s="45"/>
      <c r="HK36" s="45"/>
      <c r="HL36" s="45"/>
      <c r="HM36" s="45"/>
      <c r="HN36" s="45"/>
      <c r="HO36" s="45"/>
      <c r="HP36" s="45"/>
      <c r="HQ36" s="45"/>
      <c r="HR36" s="45"/>
      <c r="HS36" s="45"/>
      <c r="HT36" s="45"/>
      <c r="HU36" s="45"/>
      <c r="HV36" s="45"/>
      <c r="HW36" s="45"/>
      <c r="HX36" s="45"/>
      <c r="HY36" s="45"/>
      <c r="HZ36" s="45"/>
      <c r="IA36" s="45"/>
      <c r="IB36" s="45"/>
      <c r="IC36" s="45"/>
      <c r="ID36" s="45"/>
      <c r="IE36" s="45"/>
      <c r="IF36" s="45"/>
    </row>
    <row r="37" spans="1:240" s="42" customFormat="1">
      <c r="A37" s="58"/>
      <c r="B37" s="55"/>
      <c r="C37" s="56" t="s">
        <v>278</v>
      </c>
      <c r="D37" s="56"/>
      <c r="E37" s="57"/>
      <c r="F37" s="5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c r="BM37" s="45"/>
      <c r="BN37" s="45"/>
      <c r="BO37" s="45"/>
      <c r="BP37" s="45"/>
      <c r="BQ37" s="45"/>
      <c r="BR37" s="45"/>
      <c r="BS37" s="45"/>
      <c r="BT37" s="45"/>
      <c r="BU37" s="45"/>
      <c r="BV37" s="45"/>
      <c r="BW37" s="45"/>
      <c r="BX37" s="45"/>
      <c r="BY37" s="45"/>
      <c r="BZ37" s="45"/>
      <c r="CA37" s="45"/>
      <c r="CB37" s="45"/>
      <c r="CC37" s="45"/>
      <c r="CD37" s="45"/>
      <c r="CE37" s="45"/>
      <c r="CF37" s="45"/>
      <c r="CG37" s="45"/>
      <c r="CH37" s="45"/>
      <c r="CI37" s="45"/>
      <c r="CJ37" s="45"/>
      <c r="CK37" s="45"/>
      <c r="CL37" s="45"/>
      <c r="CM37" s="45"/>
      <c r="CN37" s="45"/>
      <c r="CO37" s="45"/>
      <c r="CP37" s="45"/>
      <c r="CQ37" s="45"/>
      <c r="CR37" s="45"/>
      <c r="CS37" s="45"/>
      <c r="CT37" s="45"/>
      <c r="CU37" s="45"/>
      <c r="CV37" s="45"/>
      <c r="CW37" s="45"/>
      <c r="CX37" s="45"/>
      <c r="CY37" s="45"/>
      <c r="CZ37" s="45"/>
      <c r="DA37" s="45"/>
      <c r="DB37" s="45"/>
      <c r="DC37" s="45"/>
      <c r="DD37" s="45"/>
      <c r="DE37" s="45"/>
      <c r="DF37" s="45"/>
      <c r="DG37" s="45"/>
      <c r="DH37" s="45"/>
      <c r="DI37" s="45"/>
      <c r="DJ37" s="45"/>
      <c r="DK37" s="45"/>
      <c r="DL37" s="45"/>
      <c r="DM37" s="45"/>
      <c r="DN37" s="45"/>
      <c r="DO37" s="45"/>
      <c r="DP37" s="45"/>
      <c r="DQ37" s="45"/>
      <c r="DR37" s="45"/>
      <c r="DS37" s="45"/>
      <c r="DT37" s="45"/>
      <c r="DU37" s="45"/>
      <c r="DV37" s="45"/>
      <c r="DW37" s="45"/>
      <c r="DX37" s="45"/>
      <c r="DY37" s="45"/>
      <c r="DZ37" s="45"/>
      <c r="EA37" s="45"/>
      <c r="EB37" s="45"/>
      <c r="EC37" s="45"/>
      <c r="ED37" s="45"/>
      <c r="EE37" s="45"/>
      <c r="EF37" s="45"/>
      <c r="EG37" s="45"/>
      <c r="EH37" s="45"/>
      <c r="EI37" s="45"/>
      <c r="EJ37" s="45"/>
      <c r="EK37" s="45"/>
      <c r="EL37" s="45"/>
      <c r="EM37" s="45"/>
      <c r="EN37" s="45"/>
      <c r="EO37" s="45"/>
      <c r="EP37" s="45"/>
      <c r="EQ37" s="45"/>
      <c r="ER37" s="45"/>
      <c r="ES37" s="45"/>
      <c r="ET37" s="45"/>
      <c r="EU37" s="45"/>
      <c r="EV37" s="45"/>
      <c r="EW37" s="45"/>
      <c r="EX37" s="45"/>
      <c r="EY37" s="45"/>
      <c r="EZ37" s="45"/>
      <c r="FA37" s="45"/>
      <c r="FB37" s="45"/>
      <c r="FC37" s="45"/>
      <c r="FD37" s="45"/>
      <c r="FE37" s="45"/>
      <c r="FF37" s="45"/>
      <c r="FG37" s="45"/>
      <c r="FH37" s="45"/>
      <c r="FI37" s="45"/>
      <c r="FJ37" s="45"/>
      <c r="FK37" s="45"/>
      <c r="FL37" s="45"/>
      <c r="FM37" s="45"/>
      <c r="FN37" s="45"/>
      <c r="FO37" s="45"/>
      <c r="FP37" s="45"/>
      <c r="FQ37" s="45"/>
      <c r="FR37" s="45"/>
      <c r="FS37" s="45"/>
      <c r="FT37" s="45"/>
      <c r="FU37" s="45"/>
      <c r="FV37" s="45"/>
      <c r="FW37" s="45"/>
      <c r="FX37" s="45"/>
      <c r="FY37" s="45"/>
      <c r="FZ37" s="45"/>
      <c r="GA37" s="45"/>
      <c r="GB37" s="45"/>
      <c r="GC37" s="45"/>
      <c r="GD37" s="45"/>
      <c r="GE37" s="45"/>
      <c r="GF37" s="45"/>
      <c r="GG37" s="45"/>
      <c r="GH37" s="45"/>
      <c r="GI37" s="45"/>
      <c r="GJ37" s="45"/>
      <c r="GK37" s="45"/>
      <c r="GL37" s="45"/>
      <c r="GM37" s="45"/>
      <c r="GN37" s="45"/>
      <c r="GO37" s="45"/>
      <c r="GP37" s="45"/>
      <c r="GQ37" s="45"/>
      <c r="GR37" s="45"/>
      <c r="GS37" s="45"/>
      <c r="GT37" s="45"/>
      <c r="GU37" s="45"/>
      <c r="GV37" s="45"/>
      <c r="GW37" s="45"/>
      <c r="GX37" s="45"/>
      <c r="GY37" s="45"/>
      <c r="GZ37" s="45"/>
      <c r="HA37" s="45"/>
      <c r="HB37" s="45"/>
      <c r="HC37" s="45"/>
      <c r="HD37" s="45"/>
      <c r="HE37" s="45"/>
      <c r="HF37" s="45"/>
      <c r="HG37" s="45"/>
      <c r="HH37" s="45"/>
      <c r="HI37" s="45"/>
      <c r="HJ37" s="45"/>
      <c r="HK37" s="45"/>
      <c r="HL37" s="45"/>
      <c r="HM37" s="45"/>
      <c r="HN37" s="45"/>
      <c r="HO37" s="45"/>
      <c r="HP37" s="45"/>
      <c r="HQ37" s="45"/>
      <c r="HR37" s="45"/>
      <c r="HS37" s="45"/>
      <c r="HT37" s="45"/>
      <c r="HU37" s="45"/>
      <c r="HV37" s="45"/>
      <c r="HW37" s="45"/>
      <c r="HX37" s="45"/>
      <c r="HY37" s="45"/>
      <c r="HZ37" s="45"/>
      <c r="IA37" s="45"/>
      <c r="IB37" s="45"/>
      <c r="IC37" s="45"/>
      <c r="ID37" s="45"/>
      <c r="IE37" s="45"/>
      <c r="IF37" s="45"/>
    </row>
    <row r="38" spans="1:240">
      <c r="A38" s="58"/>
      <c r="B38" s="55"/>
      <c r="C38" s="56" t="s">
        <v>214</v>
      </c>
      <c r="D38" s="56"/>
      <c r="E38" s="57"/>
      <c r="F38" s="55"/>
    </row>
    <row r="39" spans="1:240">
      <c r="A39" s="58"/>
      <c r="B39" s="55"/>
      <c r="C39" s="56" t="s">
        <v>205</v>
      </c>
      <c r="D39" s="56"/>
      <c r="E39" s="57"/>
      <c r="F39" s="55"/>
    </row>
    <row r="40" spans="1:240">
      <c r="A40" s="55"/>
      <c r="B40" s="55"/>
      <c r="C40" s="56" t="s">
        <v>204</v>
      </c>
      <c r="D40" s="56"/>
      <c r="E40" s="57"/>
      <c r="F40" s="55"/>
    </row>
    <row r="41" spans="1:240">
      <c r="A41" s="55"/>
      <c r="B41" s="55"/>
      <c r="C41" s="56" t="s">
        <v>206</v>
      </c>
      <c r="D41" s="56"/>
      <c r="E41" s="55"/>
      <c r="F41" s="55"/>
    </row>
    <row r="42" spans="1:240">
      <c r="A42" s="55"/>
      <c r="B42" s="55"/>
      <c r="C42" s="56" t="s">
        <v>207</v>
      </c>
      <c r="D42" s="56"/>
      <c r="E42" s="55"/>
      <c r="F42" s="55"/>
    </row>
    <row r="43" spans="1:240">
      <c r="A43" s="55"/>
      <c r="B43" s="55"/>
      <c r="C43" s="56" t="s">
        <v>279</v>
      </c>
      <c r="D43" s="55"/>
      <c r="E43" s="55"/>
      <c r="F43" s="55"/>
    </row>
    <row r="44" spans="1:240">
      <c r="A44" s="45"/>
      <c r="B44" s="59"/>
      <c r="C44" s="56" t="s">
        <v>209</v>
      </c>
      <c r="D44" s="56"/>
      <c r="E44" s="60"/>
      <c r="F44" s="55"/>
    </row>
    <row r="45" spans="1:240">
      <c r="A45" s="45"/>
      <c r="B45" s="59"/>
      <c r="C45" s="56" t="s">
        <v>280</v>
      </c>
      <c r="D45" s="45"/>
      <c r="E45" s="60"/>
      <c r="F45" s="55"/>
    </row>
    <row r="46" spans="1:240">
      <c r="A46" s="45"/>
      <c r="B46" s="59"/>
      <c r="C46" s="56" t="s">
        <v>281</v>
      </c>
      <c r="D46" s="56"/>
      <c r="E46" s="60"/>
      <c r="F46" s="60"/>
    </row>
    <row r="47" spans="1:240">
      <c r="A47" s="45"/>
      <c r="B47" s="59"/>
      <c r="C47" s="56" t="s">
        <v>282</v>
      </c>
      <c r="D47" s="56"/>
      <c r="E47" s="60"/>
      <c r="F47" s="60"/>
    </row>
    <row r="48" spans="1:240">
      <c r="A48" s="45"/>
      <c r="B48" s="59"/>
      <c r="C48" s="55" t="s">
        <v>283</v>
      </c>
      <c r="D48" s="55"/>
      <c r="E48" s="55"/>
      <c r="F48" s="60"/>
    </row>
    <row r="49" spans="1:6">
      <c r="A49" s="45"/>
      <c r="B49" s="59"/>
      <c r="C49" s="55" t="s">
        <v>284</v>
      </c>
      <c r="D49" s="55"/>
      <c r="E49" s="60"/>
      <c r="F49" s="60"/>
    </row>
    <row r="50" spans="1:6">
      <c r="A50" s="45"/>
      <c r="B50" s="59"/>
      <c r="C50" s="55" t="s">
        <v>285</v>
      </c>
      <c r="D50" s="55"/>
      <c r="E50" s="60"/>
      <c r="F50" s="60"/>
    </row>
    <row r="51" spans="1:6">
      <c r="A51" s="45"/>
      <c r="B51" s="59"/>
      <c r="C51" s="60"/>
      <c r="D51" s="45"/>
      <c r="E51" s="60"/>
      <c r="F51" s="60"/>
    </row>
    <row r="52" spans="1:6">
      <c r="A52" s="45"/>
      <c r="B52" s="59"/>
      <c r="C52" s="51"/>
      <c r="D52" s="51"/>
      <c r="E52" s="60"/>
      <c r="F52" s="60"/>
    </row>
    <row r="53" spans="1:6">
      <c r="A53" s="45"/>
      <c r="B53" s="59"/>
      <c r="C53" s="61"/>
      <c r="D53" s="62"/>
      <c r="E53" s="60"/>
      <c r="F53" s="60"/>
    </row>
    <row r="54" spans="1:6">
      <c r="A54" s="45"/>
      <c r="B54" s="59"/>
      <c r="C54" s="63"/>
      <c r="D54" s="62"/>
      <c r="E54" s="55"/>
      <c r="F54" s="55"/>
    </row>
    <row r="55" spans="1:6">
      <c r="A55" s="45"/>
      <c r="B55" s="59"/>
      <c r="C55" s="51"/>
      <c r="D55" s="62"/>
      <c r="E55" s="55"/>
      <c r="F55" s="55"/>
    </row>
    <row r="56" spans="1:6">
      <c r="A56" s="64"/>
      <c r="B56" s="59"/>
      <c r="C56" s="51"/>
      <c r="D56" s="62"/>
      <c r="E56" s="55"/>
      <c r="F56" s="55"/>
    </row>
    <row r="57" spans="1:6">
      <c r="A57" s="64"/>
      <c r="B57" s="59"/>
      <c r="C57" s="55"/>
      <c r="D57" s="45"/>
      <c r="E57" s="55"/>
      <c r="F57" s="55"/>
    </row>
    <row r="58" spans="1:6">
      <c r="A58" s="45"/>
      <c r="B58" s="59"/>
      <c r="C58" s="51"/>
      <c r="D58" s="51"/>
      <c r="E58" s="55"/>
      <c r="F58" s="55"/>
    </row>
    <row r="59" spans="1:6">
      <c r="A59" s="45"/>
      <c r="B59" s="59"/>
      <c r="C59" s="56"/>
      <c r="D59" s="65"/>
      <c r="E59" s="65"/>
      <c r="F59" s="55"/>
    </row>
    <row r="60" spans="1:6">
      <c r="A60" s="45"/>
      <c r="B60" s="59"/>
      <c r="C60" s="65"/>
      <c r="D60" s="65"/>
      <c r="E60" s="65"/>
      <c r="F60" s="55"/>
    </row>
  </sheetData>
  <sortState xmlns:xlrd2="http://schemas.microsoft.com/office/spreadsheetml/2017/richdata2" ref="C11:C14">
    <sortCondition ref="C11:C14"/>
  </sortState>
  <hyperlinks>
    <hyperlink ref="E8" r:id="rId1" xr:uid="{5E911865-A450-4EC0-9232-59D8649E4D2A}"/>
    <hyperlink ref="E7" r:id="rId2" xr:uid="{BB241B10-D83D-4AA4-B220-F27B9C197190}"/>
    <hyperlink ref="E6" r:id="rId3" xr:uid="{87AB9B54-036A-4318-BBDB-A9EFCE1ED75A}"/>
    <hyperlink ref="E5" r:id="rId4" xr:uid="{706EA22C-6E4B-4C42-9E6F-D1D3EF122725}"/>
    <hyperlink ref="E4" r:id="rId5" xr:uid="{BCD7158E-CEB2-4F76-8147-F5ACFA15CC87}"/>
    <hyperlink ref="E1" r:id="rId6" xr:uid="{0B7CA8D1-502D-4C27-9C1B-403F3B51CA5B}"/>
    <hyperlink ref="E2" r:id="rId7" xr:uid="{E65B3B81-4B9B-4FAB-A3F4-ADD09B7E0060}"/>
    <hyperlink ref="E3" r:id="rId8" xr:uid="{AE842D7D-2B39-4228-B203-D028CC9EE445}"/>
  </hyperlinks>
  <pageMargins left="0.7" right="0.7" top="0.75" bottom="0.75" header="0.3" footer="0.3"/>
  <pageSetup paperSize="9" orientation="portrait"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B1025-AB8C-4792-A3CD-82BCF6E1871F}">
  <sheetPr>
    <pageSetUpPr autoPageBreaks="0"/>
  </sheetPr>
  <dimension ref="A1:C39"/>
  <sheetViews>
    <sheetView workbookViewId="0">
      <selection sqref="A1:C1"/>
    </sheetView>
  </sheetViews>
  <sheetFormatPr defaultColWidth="9.140625" defaultRowHeight="12.75"/>
  <cols>
    <col min="1" max="1" width="52" style="49" bestFit="1" customWidth="1"/>
    <col min="2" max="2" width="39.28515625" style="49" bestFit="1" customWidth="1"/>
    <col min="3" max="3" width="77.140625" style="49" bestFit="1" customWidth="1"/>
    <col min="4" max="4" width="55.28515625" style="49" bestFit="1" customWidth="1"/>
    <col min="5" max="16384" width="9.140625" style="49"/>
  </cols>
  <sheetData>
    <row r="1" spans="1:3" ht="23.25">
      <c r="A1" s="97" t="s">
        <v>234</v>
      </c>
      <c r="B1" s="97"/>
      <c r="C1" s="97"/>
    </row>
    <row r="3" spans="1:3">
      <c r="A3" s="49" t="s">
        <v>219</v>
      </c>
      <c r="B3" s="49" t="s">
        <v>58</v>
      </c>
      <c r="C3" s="49" t="s">
        <v>220</v>
      </c>
    </row>
    <row r="4" spans="1:3">
      <c r="A4" s="49" t="s">
        <v>222</v>
      </c>
      <c r="B4" s="49" t="s">
        <v>225</v>
      </c>
      <c r="C4" s="49" t="s">
        <v>203</v>
      </c>
    </row>
    <row r="5" spans="1:3">
      <c r="A5" s="49" t="s">
        <v>222</v>
      </c>
      <c r="B5" s="49" t="s">
        <v>225</v>
      </c>
      <c r="C5" s="49" t="s">
        <v>194</v>
      </c>
    </row>
    <row r="6" spans="1:3">
      <c r="A6" s="49" t="s">
        <v>222</v>
      </c>
      <c r="B6" s="49" t="s">
        <v>226</v>
      </c>
      <c r="C6" s="49" t="s">
        <v>185</v>
      </c>
    </row>
    <row r="7" spans="1:3">
      <c r="A7" s="49" t="s">
        <v>222</v>
      </c>
      <c r="B7" s="49" t="s">
        <v>226</v>
      </c>
      <c r="C7" s="49" t="s">
        <v>208</v>
      </c>
    </row>
    <row r="8" spans="1:3">
      <c r="A8" s="49" t="s">
        <v>222</v>
      </c>
      <c r="B8" s="49" t="s">
        <v>226</v>
      </c>
      <c r="C8" s="49" t="s">
        <v>186</v>
      </c>
    </row>
    <row r="9" spans="1:3">
      <c r="A9" s="49" t="s">
        <v>222</v>
      </c>
      <c r="B9" s="49" t="s">
        <v>226</v>
      </c>
      <c r="C9" s="49" t="s">
        <v>187</v>
      </c>
    </row>
    <row r="10" spans="1:3">
      <c r="A10" s="49" t="s">
        <v>222</v>
      </c>
      <c r="B10" s="49" t="s">
        <v>226</v>
      </c>
      <c r="C10" s="49" t="s">
        <v>188</v>
      </c>
    </row>
    <row r="11" spans="1:3">
      <c r="A11" s="49" t="s">
        <v>222</v>
      </c>
      <c r="B11" s="49" t="s">
        <v>226</v>
      </c>
      <c r="C11" s="49" t="s">
        <v>189</v>
      </c>
    </row>
    <row r="12" spans="1:3">
      <c r="A12" s="49" t="s">
        <v>222</v>
      </c>
      <c r="B12" s="49" t="s">
        <v>226</v>
      </c>
      <c r="C12" s="49" t="s">
        <v>195</v>
      </c>
    </row>
    <row r="13" spans="1:3">
      <c r="A13" s="49" t="s">
        <v>222</v>
      </c>
      <c r="B13" s="49" t="s">
        <v>226</v>
      </c>
      <c r="C13" s="49" t="s">
        <v>190</v>
      </c>
    </row>
    <row r="14" spans="1:3">
      <c r="A14" s="49" t="s">
        <v>222</v>
      </c>
      <c r="B14" s="49" t="s">
        <v>227</v>
      </c>
      <c r="C14" s="49" t="s">
        <v>191</v>
      </c>
    </row>
    <row r="15" spans="1:3">
      <c r="A15" s="49" t="s">
        <v>222</v>
      </c>
      <c r="B15" s="49" t="s">
        <v>227</v>
      </c>
      <c r="C15" s="49" t="s">
        <v>192</v>
      </c>
    </row>
    <row r="16" spans="1:3">
      <c r="A16" s="49" t="s">
        <v>222</v>
      </c>
      <c r="B16" s="49" t="s">
        <v>227</v>
      </c>
      <c r="C16" s="49" t="s">
        <v>193</v>
      </c>
    </row>
    <row r="17" spans="1:3">
      <c r="A17" s="49" t="s">
        <v>222</v>
      </c>
      <c r="B17" s="49" t="s">
        <v>227</v>
      </c>
      <c r="C17" s="49" t="s">
        <v>196</v>
      </c>
    </row>
    <row r="18" spans="1:3">
      <c r="A18" s="49" t="s">
        <v>222</v>
      </c>
      <c r="B18" s="49" t="s">
        <v>227</v>
      </c>
      <c r="C18" s="49" t="s">
        <v>197</v>
      </c>
    </row>
    <row r="19" spans="1:3">
      <c r="A19" s="49" t="s">
        <v>222</v>
      </c>
      <c r="B19" s="49" t="s">
        <v>227</v>
      </c>
      <c r="C19" s="49" t="s">
        <v>198</v>
      </c>
    </row>
    <row r="20" spans="1:3">
      <c r="A20" s="49" t="s">
        <v>222</v>
      </c>
      <c r="B20" s="49" t="s">
        <v>227</v>
      </c>
      <c r="C20" s="49" t="s">
        <v>199</v>
      </c>
    </row>
    <row r="21" spans="1:3">
      <c r="A21" s="49" t="s">
        <v>222</v>
      </c>
      <c r="B21" s="49" t="s">
        <v>227</v>
      </c>
      <c r="C21" s="49" t="s">
        <v>200</v>
      </c>
    </row>
    <row r="22" spans="1:3">
      <c r="A22" s="49" t="s">
        <v>222</v>
      </c>
      <c r="B22" s="49" t="s">
        <v>227</v>
      </c>
      <c r="C22" s="49" t="s">
        <v>235</v>
      </c>
    </row>
    <row r="23" spans="1:3">
      <c r="A23" s="49" t="s">
        <v>222</v>
      </c>
      <c r="B23" s="49" t="s">
        <v>227</v>
      </c>
      <c r="C23" s="49" t="s">
        <v>201</v>
      </c>
    </row>
    <row r="24" spans="1:3">
      <c r="A24" s="49" t="s">
        <v>222</v>
      </c>
      <c r="B24" s="49" t="s">
        <v>227</v>
      </c>
      <c r="C24" s="49" t="s">
        <v>211</v>
      </c>
    </row>
    <row r="25" spans="1:3">
      <c r="A25" s="49" t="s">
        <v>222</v>
      </c>
      <c r="B25" s="49" t="s">
        <v>227</v>
      </c>
      <c r="C25" s="49" t="s">
        <v>202</v>
      </c>
    </row>
    <row r="26" spans="1:3">
      <c r="A26" s="49" t="s">
        <v>223</v>
      </c>
      <c r="B26" s="49" t="s">
        <v>228</v>
      </c>
      <c r="C26" s="49" t="s">
        <v>236</v>
      </c>
    </row>
    <row r="27" spans="1:3">
      <c r="A27" s="49" t="s">
        <v>223</v>
      </c>
      <c r="B27" s="49" t="s">
        <v>228</v>
      </c>
      <c r="C27" s="49" t="s">
        <v>210</v>
      </c>
    </row>
    <row r="28" spans="1:3">
      <c r="A28" s="49" t="s">
        <v>223</v>
      </c>
      <c r="B28" s="49" t="s">
        <v>228</v>
      </c>
      <c r="C28" s="49" t="s">
        <v>212</v>
      </c>
    </row>
    <row r="29" spans="1:3">
      <c r="A29" s="49" t="s">
        <v>223</v>
      </c>
      <c r="B29" s="49" t="s">
        <v>228</v>
      </c>
      <c r="C29" s="49" t="s">
        <v>213</v>
      </c>
    </row>
    <row r="30" spans="1:3">
      <c r="A30" s="49" t="s">
        <v>223</v>
      </c>
      <c r="B30" s="49" t="s">
        <v>228</v>
      </c>
      <c r="C30" s="49" t="s">
        <v>237</v>
      </c>
    </row>
    <row r="31" spans="1:3">
      <c r="A31" s="49" t="s">
        <v>223</v>
      </c>
      <c r="B31" s="49" t="s">
        <v>228</v>
      </c>
      <c r="C31" s="49" t="s">
        <v>214</v>
      </c>
    </row>
    <row r="32" spans="1:3">
      <c r="A32" s="49" t="s">
        <v>224</v>
      </c>
      <c r="B32" s="49" t="s">
        <v>229</v>
      </c>
      <c r="C32" s="49" t="s">
        <v>205</v>
      </c>
    </row>
    <row r="33" spans="1:3">
      <c r="A33" s="49" t="s">
        <v>224</v>
      </c>
      <c r="B33" s="49" t="s">
        <v>230</v>
      </c>
      <c r="C33" s="49" t="s">
        <v>204</v>
      </c>
    </row>
    <row r="34" spans="1:3">
      <c r="A34" s="49" t="s">
        <v>224</v>
      </c>
      <c r="B34" s="49" t="s">
        <v>231</v>
      </c>
      <c r="C34" s="49" t="s">
        <v>206</v>
      </c>
    </row>
    <row r="35" spans="1:3">
      <c r="A35" s="49" t="s">
        <v>224</v>
      </c>
      <c r="B35" s="49" t="s">
        <v>231</v>
      </c>
      <c r="C35" s="49" t="s">
        <v>207</v>
      </c>
    </row>
    <row r="36" spans="1:3">
      <c r="A36" s="49" t="s">
        <v>224</v>
      </c>
      <c r="B36" s="49" t="s">
        <v>231</v>
      </c>
      <c r="C36" s="49" t="s">
        <v>232</v>
      </c>
    </row>
    <row r="37" spans="1:3">
      <c r="A37" s="49" t="s">
        <v>224</v>
      </c>
      <c r="B37" s="49" t="s">
        <v>231</v>
      </c>
      <c r="C37" s="49" t="s">
        <v>209</v>
      </c>
    </row>
    <row r="38" spans="1:3">
      <c r="A38" s="49" t="s">
        <v>224</v>
      </c>
      <c r="B38" s="49" t="s">
        <v>231</v>
      </c>
      <c r="C38" s="49" t="s">
        <v>238</v>
      </c>
    </row>
    <row r="39" spans="1:3">
      <c r="A39" s="49" t="s">
        <v>224</v>
      </c>
      <c r="B39" s="49" t="s">
        <v>231</v>
      </c>
      <c r="C39" s="49" t="s">
        <v>233</v>
      </c>
    </row>
  </sheetData>
  <mergeCells count="1">
    <mergeCell ref="A1:C1"/>
  </mergeCells>
  <phoneticPr fontId="1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5c547fde-86bb-4a86-b1ee-6b1159f746c0">
      <Terms xmlns="http://schemas.microsoft.com/office/infopath/2007/PartnerControls"/>
    </lcf76f155ced4ddcb4097134ff3c332f>
    <TaxCatchAll xmlns="e39818f0-b86a-435d-8fb9-cd10e1f05f4d" xsi:nil="true"/>
    <_dlc_DocId xmlns="e39818f0-b86a-435d-8fb9-cd10e1f05f4d">MRU3PS7DZPM2-180024879-102532</_dlc_DocId>
    <_dlc_DocIdUrl xmlns="e39818f0-b86a-435d-8fb9-cd10e1f05f4d">
      <Url>https://federationuniversity.sharepoint.com/sites/FedUni/R%26I/research-centres/CeRDI/_layouts/15/DocIdRedir.aspx?ID=MRU3PS7DZPM2-180024879-102532</Url>
      <Description>MRU3PS7DZPM2-180024879-102532</Description>
    </_dlc_DocIdUrl>
    <SharedWithUsers xmlns="e39818f0-b86a-435d-8fb9-cd10e1f05f4d">
      <UserInfo>
        <DisplayName>Jennifer Corbett</DisplayName>
        <AccountId>219</AccountId>
        <AccountType/>
      </UserInfo>
      <UserInfo>
        <DisplayName>Peggy Hsu</DisplayName>
        <AccountId>1104</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0814D549DF47F4E8AA7DE4B7414A53E" ma:contentTypeVersion="7640" ma:contentTypeDescription="Create a new document." ma:contentTypeScope="" ma:versionID="9e4fc23bbefe358023b7051604834726">
  <xsd:schema xmlns:xsd="http://www.w3.org/2001/XMLSchema" xmlns:xs="http://www.w3.org/2001/XMLSchema" xmlns:p="http://schemas.microsoft.com/office/2006/metadata/properties" xmlns:ns2="e39818f0-b86a-435d-8fb9-cd10e1f05f4d" xmlns:ns3="5c547fde-86bb-4a86-b1ee-6b1159f746c0" targetNamespace="http://schemas.microsoft.com/office/2006/metadata/properties" ma:root="true" ma:fieldsID="4da2e2457a66ff78d60acc9033f1e6fe" ns2:_="" ns3:_="">
    <xsd:import namespace="e39818f0-b86a-435d-8fb9-cd10e1f05f4d"/>
    <xsd:import namespace="5c547fde-86bb-4a86-b1ee-6b1159f746c0"/>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LengthInSeconds" minOccurs="0"/>
                <xsd:element ref="ns3:MediaServiceAutoTags" minOccurs="0"/>
                <xsd:element ref="ns3:MediaServiceGenerationTime" minOccurs="0"/>
                <xsd:element ref="ns3:MediaServiceEventHashCode" minOccurs="0"/>
                <xsd:element ref="ns3:MediaServiceLocation" minOccurs="0"/>
                <xsd:element ref="ns3:MediaServiceOCR" minOccurs="0"/>
                <xsd:element ref="ns2:SharedWithUsers" minOccurs="0"/>
                <xsd:element ref="ns2:SharedWithDetail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39818f0-b86a-435d-8fb9-cd10e1f05f4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2"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element name="TaxCatchAll" ma:index="26" nillable="true" ma:displayName="Taxonomy Catch All Column" ma:hidden="true" ma:list="{967314bd-1606-42d9-b7c7-dc03a10c388b}" ma:internalName="TaxCatchAll" ma:showField="CatchAllData" ma:web="e39818f0-b86a-435d-8fb9-cd10e1f05f4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c547fde-86bb-4a86-b1ee-6b1159f746c0"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LengthInSeconds" ma:index="16" nillable="true" ma:displayName="Length (seconds)" ma:internalName="MediaLengthInSeconds" ma:readOnly="true">
      <xsd:simpleType>
        <xsd:restriction base="dms:Unknown"/>
      </xsd:simpleType>
    </xsd:element>
    <xsd:element name="MediaServiceAutoTags" ma:index="17" nillable="true" ma:displayName="Tags" ma:internalName="MediaServiceAutoTags"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75c4b21c-4a25-40c1-82fe-fef023c60d70"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B7FF6D6A-C877-4D76-8752-94E5077A9794}">
  <ds:schemaRefs>
    <ds:schemaRef ds:uri="http://www.w3.org/XML/1998/namespace"/>
    <ds:schemaRef ds:uri="http://schemas.microsoft.com/office/infopath/2007/PartnerControls"/>
    <ds:schemaRef ds:uri="http://purl.org/dc/elements/1.1/"/>
    <ds:schemaRef ds:uri="http://schemas.microsoft.com/office/2006/metadata/properties"/>
    <ds:schemaRef ds:uri="http://purl.org/dc/dcmitype/"/>
    <ds:schemaRef ds:uri="http://schemas.openxmlformats.org/package/2006/metadata/core-properties"/>
    <ds:schemaRef ds:uri="http://schemas.microsoft.com/office/2006/documentManagement/types"/>
    <ds:schemaRef ds:uri="5c547fde-86bb-4a86-b1ee-6b1159f746c0"/>
    <ds:schemaRef ds:uri="e39818f0-b86a-435d-8fb9-cd10e1f05f4d"/>
    <ds:schemaRef ds:uri="http://purl.org/dc/terms/"/>
  </ds:schemaRefs>
</ds:datastoreItem>
</file>

<file path=customXml/itemProps2.xml><?xml version="1.0" encoding="utf-8"?>
<ds:datastoreItem xmlns:ds="http://schemas.openxmlformats.org/officeDocument/2006/customXml" ds:itemID="{716BC605-D259-4936-A785-184E600151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39818f0-b86a-435d-8fb9-cd10e1f05f4d"/>
    <ds:schemaRef ds:uri="5c547fde-86bb-4a86-b1ee-6b1159f746c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A319A90-69EE-47F1-AD13-4E69EA8656B9}">
  <ds:schemaRefs>
    <ds:schemaRef ds:uri="http://schemas.microsoft.com/sharepoint/v3/contenttype/forms"/>
  </ds:schemaRefs>
</ds:datastoreItem>
</file>

<file path=customXml/itemProps4.xml><?xml version="1.0" encoding="utf-8"?>
<ds:datastoreItem xmlns:ds="http://schemas.openxmlformats.org/officeDocument/2006/customXml" ds:itemID="{4ABE10BE-3509-4D63-AC5C-1C08A1B5C757}">
  <ds:schemaRefs>
    <ds:schemaRef ds:uri="http://schemas.microsoft.com/sharepoint/events"/>
  </ds:schemaRefs>
</ds:datastoreItem>
</file>

<file path=docMetadata/LabelInfo.xml><?xml version="1.0" encoding="utf-8"?>
<clbl:labelList xmlns:clbl="http://schemas.microsoft.com/office/2020/mipLabelMetadata">
  <clbl:label id="{82b3e37e-8171-485d-b10b-38dae7ed14a8}" enabled="0" method="" siteId="{82b3e37e-8171-485d-b10b-38dae7ed14a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Form</vt:lpstr>
      <vt:lpstr>Structure</vt:lpstr>
      <vt:lpstr>Explanations</vt:lpstr>
      <vt:lpstr>FoR codes</vt:lpstr>
      <vt:lpstr>Form!_Hlk116914289</vt:lpstr>
    </vt:vector>
  </TitlesOfParts>
  <Manager/>
  <Company>Federation University Australia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Jennifer Corbett</dc:creator>
  <cp:keywords/>
  <dc:description/>
  <cp:lastModifiedBy>Washington Gapare</cp:lastModifiedBy>
  <cp:revision/>
  <dcterms:created xsi:type="dcterms:W3CDTF">2022-10-19T00:28:39Z</dcterms:created>
  <dcterms:modified xsi:type="dcterms:W3CDTF">2023-08-07T10:43:08Z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0x010100F0814D549DF47F4E8AA7DE4B7414A53E</vt:lpwstr>
  </property>
  <property fmtid="{D5CDD505-2E9C-101B-9397-08002B2CF9AE}" pid="3" name="_dlc_DocIdItemGuid">
    <vt:lpwstr>acc88f1c-35fb-46ae-9c9f-9ce79fb067cb</vt:lpwstr>
  </property>
  <property fmtid="{D5CDD505-2E9C-101B-9397-08002B2CF9AE}" pid="4" name="MediaServiceImageTags">
    <vt:lpwstr/>
  </property>
</Properties>
</file>