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<sst xmlns="http://schemas.openxmlformats.org/spreadsheetml/2006/main" count="243" uniqueCount="70">
  <si>
    <t>GRUPO A</t>
  </si>
  <si>
    <t>Catar</t>
  </si>
  <si>
    <t>Equador</t>
  </si>
  <si>
    <t>Colocação</t>
  </si>
  <si>
    <t>Pontos</t>
  </si>
  <si>
    <t>Saldo de Gols</t>
  </si>
  <si>
    <t>Gols Marcados</t>
  </si>
  <si>
    <t>Partida 1</t>
  </si>
  <si>
    <t>Partida 2</t>
  </si>
  <si>
    <t>Partida 3</t>
  </si>
  <si>
    <t>Senegal</t>
  </si>
  <si>
    <t>Holanda</t>
  </si>
  <si>
    <t>OITAVAS 1</t>
  </si>
  <si>
    <t>Resultado</t>
  </si>
  <si>
    <t>PÊNALTIS</t>
  </si>
  <si>
    <t>GRUPO B</t>
  </si>
  <si>
    <t>Inglaterra</t>
  </si>
  <si>
    <t>Irã</t>
  </si>
  <si>
    <t xml:space="preserve">Gols Marcados </t>
  </si>
  <si>
    <t>Gales</t>
  </si>
  <si>
    <t>Estados Unidos</t>
  </si>
  <si>
    <t>OITAVAS 2</t>
  </si>
  <si>
    <t>GRUPO C</t>
  </si>
  <si>
    <t>Argentina</t>
  </si>
  <si>
    <t>Arábia Saudita</t>
  </si>
  <si>
    <t>Polônia</t>
  </si>
  <si>
    <t>México</t>
  </si>
  <si>
    <t>OITAVAS 3</t>
  </si>
  <si>
    <t>QUARTAS 1</t>
  </si>
  <si>
    <t>Resulado</t>
  </si>
  <si>
    <t xml:space="preserve">CAMPEÃO: </t>
  </si>
  <si>
    <t>GRUPO D</t>
  </si>
  <si>
    <t>França</t>
  </si>
  <si>
    <t>Austrália</t>
  </si>
  <si>
    <t>Tunísia</t>
  </si>
  <si>
    <t>Dinamarca</t>
  </si>
  <si>
    <t>OITAVAS 4</t>
  </si>
  <si>
    <t>QUARTAS 2</t>
  </si>
  <si>
    <t>SEMIFINAL 1</t>
  </si>
  <si>
    <t>FINAL</t>
  </si>
  <si>
    <t>GRUPO E</t>
  </si>
  <si>
    <t>Espanha</t>
  </si>
  <si>
    <t>Costa Rica</t>
  </si>
  <si>
    <t>Japão</t>
  </si>
  <si>
    <t>Alemanha</t>
  </si>
  <si>
    <t>OITAVAS 5</t>
  </si>
  <si>
    <t>QUARTAS 3</t>
  </si>
  <si>
    <t>SEMIFINAL 2</t>
  </si>
  <si>
    <t>3º LUGAR</t>
  </si>
  <si>
    <t xml:space="preserve">VICE: </t>
  </si>
  <si>
    <t>GRUPO F</t>
  </si>
  <si>
    <t>Bélgica</t>
  </si>
  <si>
    <t>Canadá</t>
  </si>
  <si>
    <t xml:space="preserve">TERCEIRO: </t>
  </si>
  <si>
    <t>Croácia</t>
  </si>
  <si>
    <t>Marrocos</t>
  </si>
  <si>
    <t>OITAVAS 6</t>
  </si>
  <si>
    <t>QUARTAS 4</t>
  </si>
  <si>
    <t>GRUPO G</t>
  </si>
  <si>
    <t>Brasil</t>
  </si>
  <si>
    <t>Sérvia</t>
  </si>
  <si>
    <t>Camarões</t>
  </si>
  <si>
    <t>Suíça</t>
  </si>
  <si>
    <t>OITAVAS 7</t>
  </si>
  <si>
    <t>GRUPO H</t>
  </si>
  <si>
    <t>Portugal</t>
  </si>
  <si>
    <t>Gana</t>
  </si>
  <si>
    <t>Coreia do Sul</t>
  </si>
  <si>
    <t>Uruguai</t>
  </si>
  <si>
    <t>OITAVAS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</si>
</sst>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/>
    <font>
      <color theme="1"/>
      <name val="Arial"/>
      <scheme val="minor"/>
    </font>
    <font>
      <color rgb="FFFFFFFF"/>
      <name val="Arial"/>
      <scheme val="minor"/>
    </font>
    <font>
      <b/>
      <color rgb="FF000000"/>
      <name val="Arial"/>
      <scheme val="minor"/>
    </font>
    <font>
      <b/>
      <color theme="0"/>
      <name val="Arial"/>
      <scheme val="minor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96363"/>
        <bgColor rgb="FFF96363"/>
      </patternFill>
    </fill>
    <fill>
      <patternFill patternType="solid">
        <fgColor rgb="FFF1CECE"/>
        <bgColor rgb="FFF1CECE"/>
      </patternFill>
    </fill>
    <fill>
      <patternFill patternType="solid">
        <fgColor rgb="FFF2B6B6"/>
        <bgColor rgb="FFF2B6B6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left" readingOrder="0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readingOrder="0"/>
    </xf>
    <xf borderId="5" fillId="0" fontId="4" numFmtId="0" xfId="0" applyAlignment="1" applyBorder="1" applyFont="1">
      <alignment horizontal="center" readingOrder="0"/>
    </xf>
    <xf borderId="6" fillId="3" fontId="4" numFmtId="0" xfId="0" applyAlignment="1" applyBorder="1" applyFont="1">
      <alignment horizontal="right" readingOrder="0"/>
    </xf>
    <xf borderId="0" fillId="0" fontId="4" numFmtId="0" xfId="0" applyAlignment="1" applyFont="1">
      <alignment horizontal="center" readingOrder="0"/>
    </xf>
    <xf borderId="7" fillId="2" fontId="5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 readingOrder="0"/>
    </xf>
    <xf borderId="7" fillId="2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8" fillId="4" fontId="4" numFmtId="0" xfId="0" applyAlignment="1" applyBorder="1" applyFill="1" applyFont="1">
      <alignment readingOrder="0"/>
    </xf>
    <xf borderId="9" fillId="4" fontId="4" numFmtId="0" xfId="0" applyAlignment="1" applyBorder="1" applyFont="1">
      <alignment horizontal="right" readingOrder="0"/>
    </xf>
    <xf borderId="0" fillId="0" fontId="4" numFmtId="0" xfId="0" applyAlignment="1" applyFont="1">
      <alignment horizontal="center"/>
    </xf>
    <xf borderId="4" fillId="3" fontId="6" numFmtId="0" xfId="0" applyAlignment="1" applyBorder="1" applyFont="1">
      <alignment readingOrder="0"/>
    </xf>
    <xf borderId="10" fillId="3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4" numFmtId="0" xfId="0" applyFont="1"/>
    <xf borderId="8" fillId="3" fontId="4" numFmtId="0" xfId="0" applyAlignment="1" applyBorder="1" applyFont="1">
      <alignment readingOrder="0"/>
    </xf>
    <xf borderId="9" fillId="3" fontId="4" numFmtId="0" xfId="0" applyAlignment="1" applyBorder="1" applyFont="1">
      <alignment horizontal="right" readingOrder="0"/>
    </xf>
    <xf borderId="5" fillId="2" fontId="7" numFmtId="0" xfId="0" applyAlignment="1" applyBorder="1" applyFont="1">
      <alignment readingOrder="0"/>
    </xf>
    <xf borderId="5" fillId="2" fontId="8" numFmtId="0" xfId="0" applyAlignment="1" applyBorder="1" applyFont="1">
      <alignment readingOrder="0"/>
    </xf>
    <xf borderId="8" fillId="4" fontId="6" numFmtId="0" xfId="0" applyAlignment="1" applyBorder="1" applyFont="1">
      <alignment readingOrder="0"/>
    </xf>
    <xf borderId="0" fillId="4" fontId="4" numFmtId="0" xfId="0" applyAlignment="1" applyFont="1">
      <alignment horizontal="right"/>
    </xf>
    <xf borderId="0" fillId="4" fontId="4" numFmtId="0" xfId="0" applyFont="1"/>
    <xf borderId="9" fillId="4" fontId="4" numFmtId="0" xfId="0" applyBorder="1" applyFont="1"/>
    <xf borderId="4" fillId="3" fontId="1" numFmtId="0" xfId="0" applyBorder="1" applyFont="1"/>
    <xf borderId="10" fillId="3" fontId="4" numFmtId="0" xfId="0" applyAlignment="1" applyBorder="1" applyFont="1">
      <alignment horizontal="center" readingOrder="0"/>
    </xf>
    <xf borderId="6" fillId="3" fontId="4" numFmtId="0" xfId="0" applyAlignment="1" applyBorder="1" applyFont="1">
      <alignment horizontal="center" readingOrder="0"/>
    </xf>
    <xf borderId="8" fillId="3" fontId="6" numFmtId="0" xfId="0" applyAlignment="1" applyBorder="1" applyFont="1">
      <alignment readingOrder="0"/>
    </xf>
    <xf borderId="0" fillId="3" fontId="4" numFmtId="0" xfId="0" applyAlignment="1" applyFont="1">
      <alignment horizontal="right"/>
    </xf>
    <xf borderId="0" fillId="3" fontId="4" numFmtId="0" xfId="0" applyFont="1"/>
    <xf borderId="9" fillId="3" fontId="4" numFmtId="0" xfId="0" applyBorder="1" applyFont="1"/>
    <xf borderId="11" fillId="3" fontId="1" numFmtId="0" xfId="0" applyBorder="1" applyFont="1"/>
    <xf borderId="12" fillId="3" fontId="4" numFmtId="0" xfId="0" applyAlignment="1" applyBorder="1" applyFont="1">
      <alignment horizontal="center" readingOrder="0"/>
    </xf>
    <xf borderId="13" fillId="3" fontId="4" numFmtId="0" xfId="0" applyAlignment="1" applyBorder="1" applyFont="1">
      <alignment horizontal="center" readingOrder="0"/>
    </xf>
    <xf borderId="11" fillId="4" fontId="6" numFmtId="0" xfId="0" applyAlignment="1" applyBorder="1" applyFont="1">
      <alignment readingOrder="0"/>
    </xf>
    <xf borderId="12" fillId="4" fontId="4" numFmtId="0" xfId="0" applyAlignment="1" applyBorder="1" applyFont="1">
      <alignment horizontal="right"/>
    </xf>
    <xf borderId="12" fillId="4" fontId="4" numFmtId="0" xfId="0" applyBorder="1" applyFont="1"/>
    <xf borderId="13" fillId="4" fontId="4" numFmtId="0" xfId="0" applyBorder="1" applyFont="1"/>
    <xf borderId="11" fillId="4" fontId="4" numFmtId="0" xfId="0" applyAlignment="1" applyBorder="1" applyFont="1">
      <alignment readingOrder="0"/>
    </xf>
    <xf borderId="13" fillId="4" fontId="4" numFmtId="0" xfId="0" applyAlignment="1" applyBorder="1" applyFont="1">
      <alignment horizontal="right" readingOrder="0"/>
    </xf>
    <xf borderId="5" fillId="2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8" fillId="4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0" fillId="5" fontId="4" numFmtId="0" xfId="0" applyFill="1" applyFont="1"/>
    <xf borderId="11" fillId="4" fontId="1" numFmtId="0" xfId="0" applyAlignment="1" applyBorder="1" applyFont="1">
      <alignment readingOrder="0"/>
    </xf>
    <xf borderId="5" fillId="2" fontId="5" numFmtId="0" xfId="0" applyAlignment="1" applyBorder="1" applyFont="1">
      <alignment readingOrder="0"/>
    </xf>
    <xf borderId="1" fillId="2" fontId="2" numFmtId="0" xfId="0" applyAlignment="1" applyBorder="1" applyFont="1">
      <alignment horizontal="right" readingOrder="0"/>
    </xf>
    <xf borderId="3" fillId="2" fontId="2" numFmtId="0" xfId="0" applyBorder="1" applyFont="1"/>
  </cellXfs>
  <cellStyles count="1">
    <cellStyle xfId="0" name="Normal" builtinId="0"/>
  </cellStyles>
  <dxfs count="1">
    <dxf>
      <font>
        <i/>
        <color rgb="FFB7B7B7"/>
      </font>
      <fill>
        <patternFill patternType="solid">
          <fgColor rgb="FFB7B7B7"/>
          <bgColor rgb="FFB7B7B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914400</xdr:colOff>
      <xdr:row>0</xdr:row>
      <xdr:rowOff>200025</xdr:rowOff>
    </xdr:from>
    <xdr:ext cx="9134475" cy="235267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847725</xdr:colOff>
      <xdr:row>16</xdr:row>
      <xdr:rowOff>47625</xdr:rowOff>
    </xdr:from>
    <xdr:ext cx="2085975" cy="208597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12.25"/>
    <col customWidth="1" min="2" max="2" width="13.88"/>
    <col customWidth="1" min="3" max="3" width="12.25"/>
    <col customWidth="1" min="4" max="4" width="12.13"/>
    <col customWidth="1" min="5" max="5" width="13.0"/>
    <col customWidth="1" hidden="1" min="6" max="8" width="7.63"/>
    <col customWidth="1" min="9" max="9" width="3.88"/>
    <col customWidth="1" min="11" max="12" width="3.75"/>
    <col customWidth="1" min="15" max="15" width="13.5"/>
    <col customWidth="1" min="16" max="16" width="8.5"/>
    <col customWidth="1" min="17" max="17" width="8.88"/>
    <col customWidth="1" min="19" max="19" width="15.5"/>
    <col customWidth="1" min="20" max="20" width="8.5"/>
    <col customWidth="1" min="21" max="21" width="8.88"/>
    <col customWidth="1" min="23" max="23" width="15.88"/>
    <col customWidth="1" min="24" max="24" width="8.5"/>
    <col customWidth="1" min="25" max="25" width="8.88"/>
    <col customWidth="1" min="27" max="27" width="13.75"/>
    <col customWidth="1" min="28" max="28" width="8.75"/>
    <col customWidth="1" min="29" max="29" width="8.88"/>
  </cols>
  <sheetData>
    <row r="1">
      <c r="A1" s="1"/>
      <c r="B1" s="2" t="s">
        <v>0</v>
      </c>
      <c r="C1" s="3"/>
      <c r="D1" s="3"/>
      <c r="E1" s="4"/>
      <c r="J1" s="5" t="s">
        <v>1</v>
      </c>
      <c r="K1" s="6">
        <v>0.0</v>
      </c>
      <c r="L1" s="6">
        <v>2.0</v>
      </c>
      <c r="M1" s="7" t="s">
        <v>2</v>
      </c>
    </row>
    <row r="2">
      <c r="A2" s="8" t="s">
        <v>3</v>
      </c>
      <c r="B2" s="9"/>
      <c r="C2" s="10" t="s">
        <v>4</v>
      </c>
      <c r="D2" s="11" t="s">
        <v>5</v>
      </c>
      <c r="E2" s="11" t="s">
        <v>6</v>
      </c>
      <c r="F2" s="12" t="s">
        <v>7</v>
      </c>
      <c r="G2" s="12" t="s">
        <v>8</v>
      </c>
      <c r="H2" s="12" t="s">
        <v>9</v>
      </c>
      <c r="J2" s="13" t="s">
        <v>10</v>
      </c>
      <c r="K2" s="6">
        <v>0.0</v>
      </c>
      <c r="L2" s="6">
        <v>2.0</v>
      </c>
      <c r="M2" s="14" t="s">
        <v>11</v>
      </c>
    </row>
    <row r="3">
      <c r="A3" s="15">
        <f t="shared" ref="A3:A6" si="1">(C3&amp;COUNTIF(C3:C$6,C3))*1</f>
        <v>1</v>
      </c>
      <c r="B3" s="16" t="s">
        <v>1</v>
      </c>
      <c r="C3" s="17">
        <f t="shared" ref="C3:C6" si="2">SUM(F3,G3,H3)</f>
        <v>0</v>
      </c>
      <c r="D3" s="18">
        <f>E3-SUM(L1,L3,K6)</f>
        <v>-6</v>
      </c>
      <c r="E3" s="19">
        <f>SUM(K1,K3,L6)</f>
        <v>1</v>
      </c>
      <c r="F3" s="12">
        <f>IFS(K1&gt;L1,3,K1&lt;L1,0,AND(K1="",L1=""),0,K1=L1,1)</f>
        <v>0</v>
      </c>
      <c r="G3" s="20">
        <f>IFS(K3&gt;L3,3,K3&lt;L3,0,AND(K3="",L3=""),0,K3=L3,1)</f>
        <v>0</v>
      </c>
      <c r="H3" s="20">
        <f>IFS(K6&gt;L6,0,K6&lt;L6,3,AND(K6="",L6=""),0,K6=L6,1)</f>
        <v>0</v>
      </c>
      <c r="J3" s="21" t="s">
        <v>1</v>
      </c>
      <c r="K3" s="6">
        <v>1.0</v>
      </c>
      <c r="L3" s="6">
        <v>3.0</v>
      </c>
      <c r="M3" s="22" t="s">
        <v>10</v>
      </c>
      <c r="O3" s="23" t="s">
        <v>12</v>
      </c>
      <c r="P3" s="24" t="s">
        <v>13</v>
      </c>
      <c r="Q3" s="24" t="s">
        <v>14</v>
      </c>
    </row>
    <row r="4">
      <c r="A4" s="15">
        <f t="shared" si="1"/>
        <v>41</v>
      </c>
      <c r="B4" s="25" t="s">
        <v>2</v>
      </c>
      <c r="C4" s="26">
        <f t="shared" si="2"/>
        <v>4</v>
      </c>
      <c r="D4" s="27">
        <f>E4-SUM(K1,K4,L5)</f>
        <v>1</v>
      </c>
      <c r="E4" s="28">
        <f>SUM(L1,L4,K5)</f>
        <v>4</v>
      </c>
      <c r="F4" s="20">
        <f t="shared" ref="F4:F5" si="3">IFS(K1&gt;L1,0,K1&lt;L1,3,AND(K1="",L1=""),0,K1=L1,1)</f>
        <v>3</v>
      </c>
      <c r="G4" s="20">
        <f>IFS(K4&gt;L4,0,K4&lt;L4,3,AND(K4="",L4=""),0,K4=L4,1)</f>
        <v>1</v>
      </c>
      <c r="H4" s="20">
        <f t="shared" ref="H4:H5" si="4">IFS(K5&gt;L5,3,K5&lt;L5,0,AND(K5="",L5=""),0,K5=L5,1)</f>
        <v>0</v>
      </c>
      <c r="J4" s="13" t="s">
        <v>11</v>
      </c>
      <c r="K4" s="6">
        <v>1.0</v>
      </c>
      <c r="L4" s="6">
        <v>1.0</v>
      </c>
      <c r="M4" s="14" t="s">
        <v>2</v>
      </c>
      <c r="O4" s="29" t="str">
        <f>G8</f>
        <v>Holanda</v>
      </c>
      <c r="P4" s="30">
        <v>3.0</v>
      </c>
      <c r="Q4" s="31"/>
    </row>
    <row r="5">
      <c r="A5" s="15">
        <f t="shared" si="1"/>
        <v>71</v>
      </c>
      <c r="B5" s="32" t="s">
        <v>11</v>
      </c>
      <c r="C5" s="33">
        <f t="shared" si="2"/>
        <v>7</v>
      </c>
      <c r="D5" s="34">
        <f>E5-SUM(K2,L4,L6)</f>
        <v>4</v>
      </c>
      <c r="E5" s="35">
        <f>SUM(L2,K4,K6)</f>
        <v>5</v>
      </c>
      <c r="F5" s="20">
        <f t="shared" si="3"/>
        <v>3</v>
      </c>
      <c r="G5" s="20">
        <f>IFS(K4&gt;L4,3,K4&lt;L4,0,AND(K4="",L4=""),0,K4=L4,1)</f>
        <v>1</v>
      </c>
      <c r="H5" s="20">
        <f t="shared" si="4"/>
        <v>3</v>
      </c>
      <c r="J5" s="21" t="s">
        <v>2</v>
      </c>
      <c r="K5" s="6">
        <v>1.0</v>
      </c>
      <c r="L5" s="6">
        <v>2.0</v>
      </c>
      <c r="M5" s="22" t="s">
        <v>10</v>
      </c>
      <c r="O5" s="36" t="str">
        <f>G21</f>
        <v>Estados Unidos</v>
      </c>
      <c r="P5" s="37">
        <v>1.0</v>
      </c>
      <c r="Q5" s="38"/>
    </row>
    <row r="6">
      <c r="A6" s="15">
        <f t="shared" si="1"/>
        <v>61</v>
      </c>
      <c r="B6" s="39" t="s">
        <v>10</v>
      </c>
      <c r="C6" s="40">
        <f t="shared" si="2"/>
        <v>6</v>
      </c>
      <c r="D6" s="41">
        <f>E6-SUM(L2,K3,K5)</f>
        <v>1</v>
      </c>
      <c r="E6" s="42">
        <f>SUM(K2,L3,L5)</f>
        <v>5</v>
      </c>
      <c r="F6" s="20">
        <f>IFS(K2&gt;L2,3,K2&lt;L2,0,AND(K2="",L2=""),0,K2=L2,1)</f>
        <v>0</v>
      </c>
      <c r="G6" s="20">
        <f>IFS(K3&gt;L3,0,K3&lt;L3,3,AND(K3="",L3=""),0,K3=L3,1)</f>
        <v>3</v>
      </c>
      <c r="H6" s="20">
        <f>IFS(K5&gt;L5,0,K5&lt;L5,3,AND(K5="",L5=""),0,K5=L5,1)</f>
        <v>3</v>
      </c>
      <c r="J6" s="43" t="s">
        <v>11</v>
      </c>
      <c r="K6" s="6">
        <v>2.0</v>
      </c>
      <c r="L6" s="6">
        <v>0.0</v>
      </c>
      <c r="M6" s="44" t="s">
        <v>1</v>
      </c>
    </row>
    <row r="7">
      <c r="A7" s="12"/>
      <c r="B7" s="12"/>
      <c r="C7" s="12"/>
      <c r="D7" s="12"/>
    </row>
    <row r="8" hidden="1">
      <c r="B8" s="20" t="str">
        <f t="array" ref="B8:E8">XLOOKUP(LARGE(A3:A6,1),A3:A6,B3:E6)</f>
        <v>Holanda</v>
      </c>
      <c r="C8" s="20">
        <v>7.0</v>
      </c>
      <c r="D8" s="20">
        <v>4.0</v>
      </c>
      <c r="E8" s="20">
        <v>5.0</v>
      </c>
      <c r="G8" s="20" t="str">
        <f>IF(AND(C8=0,C9=0,C10=0),"1º Lugar A",IF(C8&lt;&gt;C9,B8,IF(D8&gt;D9,B8,IF(OR(D9&gt;D8,E9&gt;E8),B9,B8))))</f>
        <v>Holanda</v>
      </c>
    </row>
    <row r="9" hidden="1">
      <c r="B9" s="20" t="str">
        <f t="array" ref="B9:E9">XLOOKUP(LARGE(A3:A6,2),A3:A6,B3:E6)</f>
        <v>Senegal</v>
      </c>
      <c r="C9" s="20">
        <v>6.0</v>
      </c>
      <c r="D9" s="20">
        <v>1.0</v>
      </c>
      <c r="E9" s="20">
        <v>5.0</v>
      </c>
      <c r="G9" s="20" t="str">
        <f>IF(AND(C8=0,C9=0,C10=0),"2º Lugar A",IF(B9=G8,B8,IF(C9&gt;C10,B9,IF(D9&gt;D10,B9,IF(E9&gt;E10,B9,B10)))))</f>
        <v>Senegal</v>
      </c>
    </row>
    <row r="10" hidden="1">
      <c r="B10" s="20" t="str">
        <f t="array" ref="B10:E10">XLOOKUP(LARGE(A3:A6,3),A3:A6,B3:E6)</f>
        <v>Equador</v>
      </c>
      <c r="C10" s="20">
        <v>4.0</v>
      </c>
      <c r="D10" s="20">
        <v>1.0</v>
      </c>
      <c r="E10" s="20">
        <v>4.0</v>
      </c>
    </row>
    <row r="13">
      <c r="A13" s="1"/>
      <c r="B13" s="2" t="s">
        <v>15</v>
      </c>
      <c r="C13" s="3"/>
      <c r="D13" s="3"/>
      <c r="E13" s="4"/>
      <c r="J13" s="5" t="s">
        <v>16</v>
      </c>
      <c r="K13" s="6">
        <v>6.0</v>
      </c>
      <c r="L13" s="6">
        <v>2.0</v>
      </c>
      <c r="M13" s="7" t="s">
        <v>17</v>
      </c>
    </row>
    <row r="14">
      <c r="A14" s="8" t="s">
        <v>3</v>
      </c>
      <c r="B14" s="45"/>
      <c r="C14" s="45" t="s">
        <v>4</v>
      </c>
      <c r="D14" s="46" t="s">
        <v>5</v>
      </c>
      <c r="E14" s="46" t="s">
        <v>18</v>
      </c>
      <c r="F14" s="12" t="s">
        <v>7</v>
      </c>
      <c r="G14" s="12" t="s">
        <v>8</v>
      </c>
      <c r="H14" s="12" t="s">
        <v>9</v>
      </c>
      <c r="J14" s="13" t="s">
        <v>19</v>
      </c>
      <c r="K14" s="6">
        <v>1.0</v>
      </c>
      <c r="L14" s="6">
        <v>1.0</v>
      </c>
      <c r="M14" s="14" t="s">
        <v>20</v>
      </c>
    </row>
    <row r="15">
      <c r="A15" s="15">
        <f t="shared" ref="A15:A18" si="5">(C15&amp;COUNTIF(C15:C$18,C15))*1</f>
        <v>71</v>
      </c>
      <c r="B15" s="47" t="s">
        <v>16</v>
      </c>
      <c r="C15" s="17">
        <f t="shared" ref="C15:C18" si="6">SUM(F15,G15,H15)</f>
        <v>7</v>
      </c>
      <c r="D15" s="18">
        <f>E15-(SUM(L13,L15,K18))</f>
        <v>7</v>
      </c>
      <c r="E15" s="19">
        <f>SUM(K13,K15,L18)</f>
        <v>9</v>
      </c>
      <c r="F15" s="12">
        <f>IFS(K13&gt;L13,3,K13&lt;L13,0,AND(K13="",L13=""),0,K13=L13,1)</f>
        <v>3</v>
      </c>
      <c r="G15" s="20">
        <f>IFS(K15&gt;L15,3,K15&lt;L15,0,AND(K15="",L15=""),0,K15=L15,1)</f>
        <v>3</v>
      </c>
      <c r="H15" s="20">
        <f>IFS(K18&gt;L18,0,K18&lt;L18,3,AND(K18="",L18=""),0,K18=L18,1)</f>
        <v>1</v>
      </c>
      <c r="J15" s="21" t="s">
        <v>16</v>
      </c>
      <c r="K15" s="6">
        <v>3.0</v>
      </c>
      <c r="L15" s="6">
        <v>0.0</v>
      </c>
      <c r="M15" s="22" t="s">
        <v>19</v>
      </c>
      <c r="O15" s="23" t="s">
        <v>21</v>
      </c>
      <c r="P15" s="24" t="s">
        <v>13</v>
      </c>
      <c r="Q15" s="24" t="s">
        <v>14</v>
      </c>
    </row>
    <row r="16">
      <c r="A16" s="15">
        <f t="shared" si="5"/>
        <v>31</v>
      </c>
      <c r="B16" s="48" t="s">
        <v>17</v>
      </c>
      <c r="C16" s="26">
        <f t="shared" si="6"/>
        <v>3</v>
      </c>
      <c r="D16" s="27">
        <f>E16-(SUM(K13,K16,L17))</f>
        <v>-3</v>
      </c>
      <c r="E16" s="28">
        <f>SUM(L13,L16,K17)</f>
        <v>4</v>
      </c>
      <c r="F16" s="20">
        <f t="shared" ref="F16:F17" si="7">IFS(K13&gt;L13,0,K13&lt;L13,3,AND(K13="",L13=""),0,K13=L13,1)</f>
        <v>0</v>
      </c>
      <c r="G16" s="20">
        <f>IFS(K16&gt;L16,0,K16&lt;L16,3,AND(K16="",L16=""),0,K16=L16,1)</f>
        <v>0</v>
      </c>
      <c r="H16" s="20">
        <f t="shared" ref="H16:H17" si="8">IFS(K17&gt;L17,3,K17&lt;L17,0,AND(K17="",L17=""),0,K17=L17,1)</f>
        <v>3</v>
      </c>
      <c r="J16" s="13" t="s">
        <v>20</v>
      </c>
      <c r="K16" s="6">
        <v>1.0</v>
      </c>
      <c r="L16" s="6">
        <v>0.0</v>
      </c>
      <c r="M16" s="14" t="s">
        <v>17</v>
      </c>
      <c r="O16" s="29" t="str">
        <f>G32</f>
        <v>Argentina</v>
      </c>
      <c r="P16" s="30">
        <v>2.0</v>
      </c>
      <c r="Q16" s="31"/>
    </row>
    <row r="17">
      <c r="A17" s="15">
        <f t="shared" si="5"/>
        <v>51</v>
      </c>
      <c r="B17" s="49" t="s">
        <v>20</v>
      </c>
      <c r="C17" s="33">
        <f t="shared" si="6"/>
        <v>5</v>
      </c>
      <c r="D17" s="34">
        <f>E17-SUM(K14,L16,L18)</f>
        <v>1</v>
      </c>
      <c r="E17" s="35">
        <f>SUM(L14,K16,K18)</f>
        <v>2</v>
      </c>
      <c r="F17" s="20">
        <f t="shared" si="7"/>
        <v>1</v>
      </c>
      <c r="G17" s="20">
        <f>IFS(K16&gt;L16,3,K16&lt;L16,0,AND(K16="",L16=""),0,K16=L16,1)</f>
        <v>3</v>
      </c>
      <c r="H17" s="20">
        <f t="shared" si="8"/>
        <v>1</v>
      </c>
      <c r="J17" s="21" t="s">
        <v>17</v>
      </c>
      <c r="K17" s="6">
        <v>2.0</v>
      </c>
      <c r="L17" s="6">
        <v>0.0</v>
      </c>
      <c r="M17" s="22" t="s">
        <v>19</v>
      </c>
      <c r="O17" s="36" t="str">
        <f>G45</f>
        <v>Austrália</v>
      </c>
      <c r="P17" s="37">
        <v>1.0</v>
      </c>
      <c r="Q17" s="38"/>
      <c r="AA17" s="50"/>
      <c r="AB17" s="50"/>
    </row>
    <row r="18">
      <c r="A18" s="15">
        <f t="shared" si="5"/>
        <v>11</v>
      </c>
      <c r="B18" s="51" t="s">
        <v>19</v>
      </c>
      <c r="C18" s="40">
        <f t="shared" si="6"/>
        <v>1</v>
      </c>
      <c r="D18" s="41">
        <f>E18-SUM(L14,K15,K17)</f>
        <v>-5</v>
      </c>
      <c r="E18" s="42">
        <f>SUM(K14,L15,L17)</f>
        <v>1</v>
      </c>
      <c r="F18" s="20">
        <f>IFS(K14&gt;L14,3,K14&lt;L14,0,AND(K14="",L14=""),0,K14=L14,1)</f>
        <v>1</v>
      </c>
      <c r="G18" s="20">
        <f>IFS(K15&gt;L15,0,K15&lt;L15,3,AND(K15="",L15=""),0,K15=L15,1)</f>
        <v>0</v>
      </c>
      <c r="H18" s="20">
        <f>IFS(K17&gt;L17,0,K17&lt;L17,3,AND(K17="",L17=""),0,K17=L17,1)</f>
        <v>0</v>
      </c>
      <c r="J18" s="43" t="s">
        <v>20</v>
      </c>
      <c r="K18" s="6">
        <v>0.0</v>
      </c>
      <c r="L18" s="6">
        <v>0.0</v>
      </c>
      <c r="M18" s="44" t="s">
        <v>16</v>
      </c>
      <c r="AA18" s="50"/>
      <c r="AB18" s="50"/>
    </row>
    <row r="19">
      <c r="AA19" s="50"/>
      <c r="AB19" s="50"/>
    </row>
    <row r="20" hidden="1">
      <c r="B20" s="20" t="str">
        <f t="array" ref="B20:E20">XLOOKUP(LARGE(A15:A18,1),A15:A18,B15:E18)</f>
        <v>Inglaterra</v>
      </c>
      <c r="C20" s="20">
        <v>7.0</v>
      </c>
      <c r="D20" s="20">
        <v>7.0</v>
      </c>
      <c r="E20" s="20">
        <v>9.0</v>
      </c>
      <c r="G20" s="20" t="str">
        <f>IF(AND(C20=0,C21=0,C22=0),"1º Lugar B",IF(C20&lt;&gt;C21,B20,IF(D20&gt;D21,B20,IF(OR(D21&gt;D20,E21&gt;E20),B21,B20))))</f>
        <v>Inglaterra</v>
      </c>
      <c r="AA20" s="50"/>
      <c r="AB20" s="50"/>
    </row>
    <row r="21" hidden="1">
      <c r="B21" s="20" t="str">
        <f t="array" ref="B21:E21">XLOOKUP(LARGE(A15:A18,2),A15:A18,B15:E18)</f>
        <v>Estados Unidos</v>
      </c>
      <c r="C21" s="20">
        <v>5.0</v>
      </c>
      <c r="D21" s="20">
        <v>1.0</v>
      </c>
      <c r="E21" s="20">
        <v>2.0</v>
      </c>
      <c r="G21" s="20" t="str">
        <f>IF(AND(C20=0,C21=0,C22=0),"2º Lugar B",IF(B21=G20,B20,IF(C21&gt;C22,B21,IF(D21&gt;D22,B21,IF(E21&gt;E22,B21,B22)))))</f>
        <v>Estados Unidos</v>
      </c>
      <c r="AA21" s="50"/>
      <c r="AB21" s="50"/>
    </row>
    <row r="22" hidden="1">
      <c r="B22" s="20" t="str">
        <f t="array" ref="B22:E22">XLOOKUP(LARGE(A15:A18,3),A15:A18,B15:E18)</f>
        <v>Irã</v>
      </c>
      <c r="C22" s="20">
        <v>3.0</v>
      </c>
      <c r="D22" s="20">
        <v>-3.0</v>
      </c>
      <c r="E22" s="20">
        <v>4.0</v>
      </c>
      <c r="AA22" s="50"/>
      <c r="AB22" s="50"/>
    </row>
    <row r="23">
      <c r="AA23" s="50"/>
      <c r="AB23" s="50"/>
    </row>
    <row r="24">
      <c r="AA24" s="50"/>
      <c r="AB24" s="50"/>
    </row>
    <row r="25">
      <c r="A25" s="1"/>
      <c r="B25" s="2" t="s">
        <v>22</v>
      </c>
      <c r="C25" s="3"/>
      <c r="D25" s="3"/>
      <c r="E25" s="4"/>
      <c r="J25" s="5" t="s">
        <v>23</v>
      </c>
      <c r="K25" s="6">
        <v>1.0</v>
      </c>
      <c r="L25" s="6">
        <v>2.0</v>
      </c>
      <c r="M25" s="7" t="s">
        <v>24</v>
      </c>
      <c r="AA25" s="50"/>
      <c r="AB25" s="50"/>
    </row>
    <row r="26">
      <c r="A26" s="8" t="s">
        <v>3</v>
      </c>
      <c r="B26" s="45"/>
      <c r="C26" s="45" t="s">
        <v>4</v>
      </c>
      <c r="D26" s="46" t="s">
        <v>5</v>
      </c>
      <c r="E26" s="46" t="s">
        <v>6</v>
      </c>
      <c r="F26" s="12" t="s">
        <v>7</v>
      </c>
      <c r="G26" s="12" t="s">
        <v>8</v>
      </c>
      <c r="H26" s="12" t="s">
        <v>9</v>
      </c>
      <c r="J26" s="13" t="s">
        <v>25</v>
      </c>
      <c r="K26" s="6">
        <v>0.0</v>
      </c>
      <c r="L26" s="6">
        <v>0.0</v>
      </c>
      <c r="M26" s="14" t="s">
        <v>26</v>
      </c>
      <c r="AA26" s="50"/>
      <c r="AB26" s="50"/>
    </row>
    <row r="27">
      <c r="A27" s="15">
        <f t="shared" ref="A27:A30" si="9">(C27&amp;COUNTIF(C27:C$30,C27))*1</f>
        <v>61</v>
      </c>
      <c r="B27" s="47" t="s">
        <v>23</v>
      </c>
      <c r="C27" s="17">
        <f t="shared" ref="C27:C30" si="10">SUM(F27,G27,H27)</f>
        <v>6</v>
      </c>
      <c r="D27" s="18">
        <f>E27-SUM(L25,L27,K30)</f>
        <v>3</v>
      </c>
      <c r="E27" s="19">
        <f>SUM(K25,K27,L30)</f>
        <v>5</v>
      </c>
      <c r="F27" s="12">
        <f>IFS(K25&gt;L25,3,K25&lt;L25,0,AND(K25="",L25=""),0,K25=L25,1)</f>
        <v>0</v>
      </c>
      <c r="G27" s="20">
        <f>IFS(K27&gt;L27,3,K27&lt;L27,0,AND(K27="",L27=""),0,K27=L27,1)</f>
        <v>3</v>
      </c>
      <c r="H27" s="20">
        <f>IFS(K30&gt;L30,0,K30&lt;L30,3,AND(K30="",L30=""),0,K30=L30,1)</f>
        <v>3</v>
      </c>
      <c r="J27" s="21" t="s">
        <v>23</v>
      </c>
      <c r="K27" s="6">
        <v>2.0</v>
      </c>
      <c r="L27" s="6">
        <v>0.0</v>
      </c>
      <c r="M27" s="22" t="s">
        <v>25</v>
      </c>
      <c r="O27" s="23" t="s">
        <v>27</v>
      </c>
      <c r="P27" s="24" t="s">
        <v>13</v>
      </c>
      <c r="Q27" s="52" t="s">
        <v>14</v>
      </c>
      <c r="S27" s="23" t="s">
        <v>28</v>
      </c>
      <c r="T27" s="24" t="s">
        <v>29</v>
      </c>
      <c r="U27" s="24" t="s">
        <v>14</v>
      </c>
      <c r="AA27" s="50"/>
      <c r="AB27" s="50"/>
    </row>
    <row r="28">
      <c r="A28" s="15">
        <f t="shared" si="9"/>
        <v>31</v>
      </c>
      <c r="B28" s="48" t="s">
        <v>24</v>
      </c>
      <c r="C28" s="26">
        <f t="shared" si="10"/>
        <v>3</v>
      </c>
      <c r="D28" s="27">
        <f>E28-SUM(K25,K28,L29)</f>
        <v>-2</v>
      </c>
      <c r="E28" s="28">
        <f>SUM(L25,L28,K29)</f>
        <v>3</v>
      </c>
      <c r="F28" s="20">
        <f t="shared" ref="F28:F29" si="11">IFS(K25&gt;L25,0,K25&lt;L25,3,AND(K25="",L25=""),0,K25=L25,1)</f>
        <v>3</v>
      </c>
      <c r="G28" s="20">
        <f>IFS(K28&gt;L28,0,K28&lt;L28,3,AND(K28="",L28=""),0,K28=L28,1)</f>
        <v>0</v>
      </c>
      <c r="H28" s="20">
        <f t="shared" ref="H28:H29" si="12">IFS(K29&gt;L29,3,K29&lt;L29,0,AND(K29="",L29=""),0,K29=L29,1)</f>
        <v>0</v>
      </c>
      <c r="J28" s="13" t="s">
        <v>26</v>
      </c>
      <c r="K28" s="6">
        <v>2.0</v>
      </c>
      <c r="L28" s="6">
        <v>1.0</v>
      </c>
      <c r="M28" s="14" t="s">
        <v>24</v>
      </c>
      <c r="O28" s="29" t="str">
        <f>G56</f>
        <v>Japão</v>
      </c>
      <c r="P28" s="30">
        <v>1.0</v>
      </c>
      <c r="Q28" s="31">
        <v>1.0</v>
      </c>
      <c r="S28" s="29" t="str">
        <f>IF(AND(P4="",P5=""),"Vencedor Oitavas 1",IFS(P4&gt;P5,O4,P4&lt;P5,O5,P4=P5,IF(AND(Q4="",Q5=""),"Vencedor Oitavas 1",IF(Q4&gt;Q5,O4,O5))))</f>
        <v>Holanda</v>
      </c>
      <c r="T28" s="30">
        <v>2.0</v>
      </c>
      <c r="U28" s="31">
        <v>3.0</v>
      </c>
      <c r="AA28" s="50"/>
      <c r="AB28" s="50"/>
    </row>
    <row r="29">
      <c r="A29" s="15">
        <f t="shared" si="9"/>
        <v>42</v>
      </c>
      <c r="B29" s="49" t="s">
        <v>26</v>
      </c>
      <c r="C29" s="33">
        <f t="shared" si="10"/>
        <v>4</v>
      </c>
      <c r="D29" s="34">
        <f>E29-SUM(K26,L28,L30)</f>
        <v>-1</v>
      </c>
      <c r="E29" s="35">
        <f>SUM(L26,K28,K30)</f>
        <v>2</v>
      </c>
      <c r="F29" s="20">
        <f t="shared" si="11"/>
        <v>1</v>
      </c>
      <c r="G29" s="20">
        <f>IFS(K28&gt;L28,3,K28&lt;L28,0,AND(K28="",L28=""),0,K28=L28,1)</f>
        <v>3</v>
      </c>
      <c r="H29" s="20">
        <f t="shared" si="12"/>
        <v>0</v>
      </c>
      <c r="J29" s="21" t="s">
        <v>24</v>
      </c>
      <c r="K29" s="6">
        <v>0.0</v>
      </c>
      <c r="L29" s="6">
        <v>2.0</v>
      </c>
      <c r="M29" s="22" t="s">
        <v>25</v>
      </c>
      <c r="O29" s="36" t="str">
        <f>G69</f>
        <v>Croácia</v>
      </c>
      <c r="P29" s="37">
        <v>1.0</v>
      </c>
      <c r="Q29" s="38">
        <v>3.0</v>
      </c>
      <c r="S29" s="36" t="str">
        <f>IF(AND(P16="",P17=""),"Vencedor Oitavas 2",IFS(P16&gt;P17,O16,P16&lt;P17,O17,P16=P17,IF(AND(Q16="",Q17=""),"Vencedor Oitavas 2",IF(Q16&gt;Q17,O16,O17))))</f>
        <v>Argentina</v>
      </c>
      <c r="T29" s="37">
        <v>2.0</v>
      </c>
      <c r="U29" s="38">
        <v>4.0</v>
      </c>
      <c r="AA29" s="50"/>
      <c r="AB29" s="50"/>
    </row>
    <row r="30">
      <c r="A30" s="15">
        <f t="shared" si="9"/>
        <v>41</v>
      </c>
      <c r="B30" s="51" t="s">
        <v>25</v>
      </c>
      <c r="C30" s="40">
        <f t="shared" si="10"/>
        <v>4</v>
      </c>
      <c r="D30" s="41">
        <f>E30-SUM(L26,K27,K29)</f>
        <v>0</v>
      </c>
      <c r="E30" s="42">
        <f>SUM(K26,L27,L29)</f>
        <v>2</v>
      </c>
      <c r="F30" s="20">
        <f>IFS(K26&gt;L26,3,K26&lt;L26,0,AND(K26="",L26=""),0,K26=L26,1)</f>
        <v>1</v>
      </c>
      <c r="G30" s="20">
        <f>IFS(K27&gt;L27,0,K27&lt;L27,3,AND(K27="",L27=""),0,K27=L27,1)</f>
        <v>0</v>
      </c>
      <c r="H30" s="20">
        <f>IFS(K29&gt;L29,0,K29&lt;L29,3,AND(K29="",L29=""),0,K29=L29,1)</f>
        <v>3</v>
      </c>
      <c r="J30" s="43" t="s">
        <v>26</v>
      </c>
      <c r="K30" s="6">
        <v>0.0</v>
      </c>
      <c r="L30" s="6">
        <v>2.0</v>
      </c>
      <c r="M30" s="44" t="s">
        <v>23</v>
      </c>
      <c r="AA30" s="50"/>
      <c r="AB30" s="50"/>
    </row>
    <row r="31">
      <c r="W31" s="50"/>
      <c r="AA31" s="53" t="s">
        <v>30</v>
      </c>
      <c r="AB31" s="54" t="str">
        <f>IF(AND(AB40="",AB41=""),"CAMPEÃO",IFS(AB40&gt;AB41,AA40,AB40&lt;AB41,AA41,AB40=AB41,IF(AND(AC40="",AC41=""),"CAMPEÃO",IF(AC40&gt;AC41,AA40,AA41))))</f>
        <v>Argentina</v>
      </c>
    </row>
    <row r="32" hidden="1">
      <c r="B32" s="20" t="str">
        <f t="array" ref="B32:E32">XLOOKUP(LARGE(A27:A30,1),A27:A30,B27:E30)</f>
        <v>Argentina</v>
      </c>
      <c r="C32" s="20">
        <v>6.0</v>
      </c>
      <c r="D32" s="20">
        <v>3.0</v>
      </c>
      <c r="E32" s="20">
        <v>5.0</v>
      </c>
      <c r="G32" s="20" t="str">
        <f>IF(AND(C32=0,C33=0,C34=0),"1º Lugar C",IF(C32&lt;&gt;C33,B32,IF(D32&gt;D33,B32,IF(OR(D33&gt;D32,E33&gt;E32),B33,B32))))</f>
        <v>Argentina</v>
      </c>
    </row>
    <row r="33" hidden="1">
      <c r="B33" s="20" t="str">
        <f t="array" ref="B33:E33">XLOOKUP(LARGE(A27:A30,2),A27:A30,B27:E30)</f>
        <v>México</v>
      </c>
      <c r="C33" s="20">
        <v>4.0</v>
      </c>
      <c r="D33" s="20">
        <v>-1.0</v>
      </c>
      <c r="E33" s="20">
        <v>2.0</v>
      </c>
      <c r="G33" s="20" t="str">
        <f>IF(AND(C32=0,C33=0,C34=0),"2º Lugar C",IF(B33=G32,B32,IF(C33&gt;C34,B33,IF(D33&gt;D34,B33,IF(E33&gt;E34,B33,B34)))))</f>
        <v>Polônia</v>
      </c>
    </row>
    <row r="34" hidden="1">
      <c r="B34" s="20" t="str">
        <f t="array" ref="B34:E34">XLOOKUP(LARGE(A27:A30,3),A27:A30,B27:E30)</f>
        <v>Polônia</v>
      </c>
      <c r="C34" s="20">
        <v>4.0</v>
      </c>
      <c r="D34" s="20">
        <v>0.0</v>
      </c>
      <c r="E34" s="20">
        <v>2.0</v>
      </c>
    </row>
    <row r="37">
      <c r="A37" s="1"/>
      <c r="B37" s="2" t="s">
        <v>31</v>
      </c>
      <c r="C37" s="3"/>
      <c r="D37" s="3"/>
      <c r="E37" s="4"/>
      <c r="J37" s="5" t="s">
        <v>32</v>
      </c>
      <c r="K37" s="6">
        <v>4.0</v>
      </c>
      <c r="L37" s="6">
        <v>1.0</v>
      </c>
      <c r="M37" s="7" t="s">
        <v>33</v>
      </c>
    </row>
    <row r="38">
      <c r="A38" s="8" t="s">
        <v>3</v>
      </c>
      <c r="B38" s="9"/>
      <c r="C38" s="10" t="s">
        <v>4</v>
      </c>
      <c r="D38" s="11" t="s">
        <v>5</v>
      </c>
      <c r="E38" s="11" t="s">
        <v>6</v>
      </c>
      <c r="F38" s="12" t="s">
        <v>7</v>
      </c>
      <c r="G38" s="12" t="s">
        <v>8</v>
      </c>
      <c r="H38" s="12" t="s">
        <v>9</v>
      </c>
      <c r="J38" s="13" t="s">
        <v>34</v>
      </c>
      <c r="K38" s="6">
        <v>0.0</v>
      </c>
      <c r="L38" s="6">
        <v>0.0</v>
      </c>
      <c r="M38" s="14" t="s">
        <v>35</v>
      </c>
    </row>
    <row r="39">
      <c r="A39" s="15">
        <f t="shared" ref="A39:A42" si="13">(C39&amp;COUNTIF(C39:C$42,C39))*1</f>
        <v>62</v>
      </c>
      <c r="B39" s="16" t="s">
        <v>32</v>
      </c>
      <c r="C39" s="17">
        <f t="shared" ref="C39:C42" si="14">SUM(F39,G39,H39)</f>
        <v>6</v>
      </c>
      <c r="D39" s="18">
        <f>E39-SUM(L37,L39,K42)</f>
        <v>3</v>
      </c>
      <c r="E39" s="19">
        <f>SUM(K37,K39,L42)</f>
        <v>6</v>
      </c>
      <c r="F39" s="12">
        <f>IFS(K37&gt;L37,3,K37&lt;L37,0,AND(K37="",L37=""),0,K37=L37,1)</f>
        <v>3</v>
      </c>
      <c r="G39" s="20">
        <f>IFS(K39&gt;L39,3,K39&lt;L39,0,AND(K39="",L39=""),0,K39=L39,1)</f>
        <v>0</v>
      </c>
      <c r="H39" s="20">
        <f>IFS(K42&gt;L42,0,K42&lt;L42,3,AND(K42="",L42=""),0,K42=L42,1)</f>
        <v>3</v>
      </c>
      <c r="J39" s="21" t="s">
        <v>32</v>
      </c>
      <c r="K39" s="6">
        <v>0.0</v>
      </c>
      <c r="L39" s="6">
        <v>1.0</v>
      </c>
      <c r="M39" s="22" t="s">
        <v>34</v>
      </c>
      <c r="O39" s="23" t="s">
        <v>36</v>
      </c>
      <c r="P39" s="24" t="s">
        <v>13</v>
      </c>
      <c r="Q39" s="52" t="s">
        <v>14</v>
      </c>
      <c r="S39" s="23" t="s">
        <v>37</v>
      </c>
      <c r="T39" s="24" t="s">
        <v>13</v>
      </c>
      <c r="U39" s="24" t="s">
        <v>14</v>
      </c>
      <c r="W39" s="23" t="s">
        <v>38</v>
      </c>
      <c r="X39" s="24" t="s">
        <v>13</v>
      </c>
      <c r="Y39" s="24" t="s">
        <v>14</v>
      </c>
      <c r="AA39" s="23" t="s">
        <v>39</v>
      </c>
      <c r="AB39" s="24" t="s">
        <v>13</v>
      </c>
      <c r="AC39" s="24" t="s">
        <v>14</v>
      </c>
    </row>
    <row r="40">
      <c r="A40" s="15">
        <f t="shared" si="13"/>
        <v>61</v>
      </c>
      <c r="B40" s="25" t="s">
        <v>33</v>
      </c>
      <c r="C40" s="26">
        <f t="shared" si="14"/>
        <v>6</v>
      </c>
      <c r="D40" s="27">
        <f>E40-SUM(K37,K40,L41)</f>
        <v>-1</v>
      </c>
      <c r="E40" s="28">
        <f>SUM(L37,L40,K41)</f>
        <v>3</v>
      </c>
      <c r="F40" s="20">
        <f t="shared" ref="F40:F41" si="15">IFS(K37&gt;L37,0,K37&lt;L37,3,AND(K37="",L37=""),0,K37=L37,1)</f>
        <v>0</v>
      </c>
      <c r="G40" s="20">
        <f>IFS(K40&gt;L40,0,K40&lt;L40,3,AND(K40="",L40=""),0,K40=L40,1)</f>
        <v>3</v>
      </c>
      <c r="H40" s="20">
        <f t="shared" ref="H40:H41" si="16">IFS(K41&gt;L41,3,K41&lt;L41,0,AND(K41="",L41=""),0,K41=L41,1)</f>
        <v>3</v>
      </c>
      <c r="J40" s="13" t="s">
        <v>35</v>
      </c>
      <c r="K40" s="6">
        <v>0.0</v>
      </c>
      <c r="L40" s="6">
        <v>1.0</v>
      </c>
      <c r="M40" s="14" t="s">
        <v>33</v>
      </c>
      <c r="O40" s="29" t="str">
        <f>G80</f>
        <v>Brasil</v>
      </c>
      <c r="P40" s="30">
        <v>4.0</v>
      </c>
      <c r="Q40" s="31"/>
      <c r="S40" s="29" t="str">
        <f>IF(AND(P28="",P29=""),"Vencedor Oitavas 3",IFS(P28&gt;P29,O28,P28&lt;P29,O29,P28=P29,IF(AND(Q28="",Q29=""),"Vencedor Oitavas 3",IF(Q28&gt;Q29,O28,O29))))</f>
        <v>Croácia</v>
      </c>
      <c r="T40" s="30">
        <v>1.0</v>
      </c>
      <c r="U40" s="31">
        <v>4.0</v>
      </c>
      <c r="W40" s="29" t="str">
        <f>IF(AND(T28="",T29=""),"Vencedor Quartas 1",IFS(T28&gt;T29,S28,T28&lt;T29,S29,T28=T29,IF(AND(U28="",U29=""),"Vencedor Quartas 1",IF(U28&gt;U29,S28,S29))))</f>
        <v>Argentina</v>
      </c>
      <c r="X40" s="30">
        <v>3.0</v>
      </c>
      <c r="Y40" s="31"/>
      <c r="AA40" s="29" t="str">
        <f>IF(AND(X40="",X41=""),"Vencedor Semi 1",IFS(X40&gt;X41,W40,X40&lt;X41,W41,X40=X41,IF(AND(Y40="",Y41=""),"Vencedor Semi 1",IF(Y40&gt;Y41,W40,W41))))</f>
        <v>Argentina</v>
      </c>
      <c r="AB40" s="30">
        <v>3.0</v>
      </c>
      <c r="AC40" s="31">
        <v>4.0</v>
      </c>
    </row>
    <row r="41">
      <c r="A41" s="15">
        <f t="shared" si="13"/>
        <v>11</v>
      </c>
      <c r="B41" s="32" t="s">
        <v>35</v>
      </c>
      <c r="C41" s="33">
        <f t="shared" si="14"/>
        <v>1</v>
      </c>
      <c r="D41" s="34">
        <f>E41-SUM(K38,L40,L42)</f>
        <v>-2</v>
      </c>
      <c r="E41" s="35">
        <f>SUM(L38,K40,K42)</f>
        <v>1</v>
      </c>
      <c r="F41" s="20">
        <f t="shared" si="15"/>
        <v>1</v>
      </c>
      <c r="G41" s="20">
        <f>IFS(K40&gt;L40,3,K40&lt;L40,0,AND(K40="",L40=""),0,K40=L40,1)</f>
        <v>0</v>
      </c>
      <c r="H41" s="20">
        <f t="shared" si="16"/>
        <v>0</v>
      </c>
      <c r="J41" s="21" t="s">
        <v>33</v>
      </c>
      <c r="K41" s="6">
        <v>1.0</v>
      </c>
      <c r="L41" s="6">
        <v>0.0</v>
      </c>
      <c r="M41" s="22" t="s">
        <v>34</v>
      </c>
      <c r="O41" s="36" t="str">
        <f>G93</f>
        <v>Coreia do Sul</v>
      </c>
      <c r="P41" s="37">
        <v>1.0</v>
      </c>
      <c r="Q41" s="38"/>
      <c r="S41" s="36" t="str">
        <f>IF(AND(P40="",P41=""),"Vencedor Oitavas 4",IFS(P40&gt;P41,O40,P40&lt;P41,O41,P40=P41,IF(AND(Q40="",Q41=""),"Vencedor Oitavas 4",IF(Q40&gt;Q41,O40,O41))))</f>
        <v>Brasil</v>
      </c>
      <c r="T41" s="37">
        <v>1.0</v>
      </c>
      <c r="U41" s="38">
        <v>2.0</v>
      </c>
      <c r="W41" s="36" t="str">
        <f>IF(AND(T40="",T41=""),"Vencedor Quartas 2",IFS(T40&gt;T41,S40,T40&lt;T41,S41,T40=T41,IF(AND(U40="",U41=""),"Vencedor Quartas 2",IF(U40&gt;U41,S40,S41))))</f>
        <v>Croácia</v>
      </c>
      <c r="X41" s="37">
        <v>0.0</v>
      </c>
      <c r="Y41" s="38"/>
      <c r="AA41" s="36" t="str">
        <f>IF(AND(X51="",X52=""),"Vencedor Semi 2",IFS(X51&gt;X52,W51,X51&lt;X52,W52,X51=X52,IF(AND(Y51="",Y52=""),"Vencedor Semi 2",IF(Y51&gt;Y52,W51,W52))))</f>
        <v>França</v>
      </c>
      <c r="AB41" s="37">
        <v>3.0</v>
      </c>
      <c r="AC41" s="38">
        <v>2.0</v>
      </c>
    </row>
    <row r="42">
      <c r="A42" s="15">
        <f t="shared" si="13"/>
        <v>41</v>
      </c>
      <c r="B42" s="39" t="s">
        <v>34</v>
      </c>
      <c r="C42" s="40">
        <f t="shared" si="14"/>
        <v>4</v>
      </c>
      <c r="D42" s="41">
        <f>E42-SUM(L38,K39,K41)</f>
        <v>0</v>
      </c>
      <c r="E42" s="42">
        <f>SUM(K38,L39,L41)</f>
        <v>1</v>
      </c>
      <c r="F42" s="20">
        <f>IFS(K38&gt;L38,3,K38&lt;L38,0,AND(K38="",L38=""),0,K38=L38,1)</f>
        <v>1</v>
      </c>
      <c r="G42" s="20">
        <f>IFS(K39&gt;L39,0,K39&lt;L39,3,AND(K39="",L39=""),0,K39=L39,1)</f>
        <v>3</v>
      </c>
      <c r="H42" s="20">
        <f>IFS(K41&gt;L41,0,K41&lt;L41,3,AND(K41="",L41=""),0,K41=L41,1)</f>
        <v>0</v>
      </c>
      <c r="J42" s="43" t="s">
        <v>35</v>
      </c>
      <c r="K42" s="6">
        <v>1.0</v>
      </c>
      <c r="L42" s="6">
        <v>2.0</v>
      </c>
      <c r="M42" s="44" t="s">
        <v>32</v>
      </c>
    </row>
    <row r="44" hidden="1">
      <c r="B44" s="20" t="str">
        <f t="array" ref="B44:E44">XLOOKUP(LARGE(A39:A42,1),A39:A42,B39:E42)</f>
        <v>França</v>
      </c>
      <c r="C44" s="20">
        <v>6.0</v>
      </c>
      <c r="D44" s="20">
        <v>3.0</v>
      </c>
      <c r="E44" s="20">
        <v>6.0</v>
      </c>
      <c r="G44" s="20" t="str">
        <f>IF(AND(C44=0,C45=0,C46=0),"1º Lugar D",IF(C44&lt;&gt;C45,B44,IF(D44&gt;D45,B44,IF(OR(D45&gt;D44,E45&gt;E44),B45,B44))))</f>
        <v>França</v>
      </c>
    </row>
    <row r="45" hidden="1">
      <c r="B45" s="20" t="str">
        <f t="array" ref="B45:E45">XLOOKUP(LARGE(A39:A42,2),A39:A42,B39:E42)</f>
        <v>Austrália</v>
      </c>
      <c r="C45" s="20">
        <v>6.0</v>
      </c>
      <c r="D45" s="20">
        <v>-1.0</v>
      </c>
      <c r="E45" s="20">
        <v>3.0</v>
      </c>
      <c r="G45" s="20" t="str">
        <f>IF(AND(C44=0,C45=0,C46=0),"2º Lugar D",IF(B45=G44,B44,IF(C45&gt;C46,B45,IF(D45&gt;D46,B45,IF(E45&gt;E46,B45,B46)))))</f>
        <v>Austrália</v>
      </c>
    </row>
    <row r="46" hidden="1">
      <c r="B46" s="20" t="str">
        <f t="array" ref="B46:E46">XLOOKUP(LARGE(A39:A42,3),A39:A42,B39:E42)</f>
        <v>Tunísia</v>
      </c>
      <c r="C46" s="20">
        <v>4.0</v>
      </c>
      <c r="D46" s="20">
        <v>0.0</v>
      </c>
      <c r="E46" s="20">
        <v>1.0</v>
      </c>
    </row>
    <row r="49">
      <c r="A49" s="1"/>
      <c r="B49" s="2" t="s">
        <v>40</v>
      </c>
      <c r="C49" s="3"/>
      <c r="D49" s="3"/>
      <c r="E49" s="4"/>
      <c r="J49" s="5" t="s">
        <v>41</v>
      </c>
      <c r="K49" s="6">
        <v>7.0</v>
      </c>
      <c r="L49" s="6">
        <v>0.0</v>
      </c>
      <c r="M49" s="7" t="s">
        <v>42</v>
      </c>
    </row>
    <row r="50">
      <c r="A50" s="8" t="s">
        <v>3</v>
      </c>
      <c r="B50" s="9"/>
      <c r="C50" s="10" t="s">
        <v>4</v>
      </c>
      <c r="D50" s="11" t="s">
        <v>5</v>
      </c>
      <c r="E50" s="11" t="s">
        <v>6</v>
      </c>
      <c r="F50" s="12" t="s">
        <v>7</v>
      </c>
      <c r="G50" s="12" t="s">
        <v>8</v>
      </c>
      <c r="H50" s="12" t="s">
        <v>9</v>
      </c>
      <c r="J50" s="13" t="s">
        <v>43</v>
      </c>
      <c r="K50" s="6">
        <v>2.0</v>
      </c>
      <c r="L50" s="6">
        <v>1.0</v>
      </c>
      <c r="M50" s="14" t="s">
        <v>44</v>
      </c>
      <c r="O50" s="23" t="s">
        <v>45</v>
      </c>
      <c r="P50" s="24" t="s">
        <v>13</v>
      </c>
      <c r="Q50" s="52" t="s">
        <v>14</v>
      </c>
      <c r="S50" s="23" t="s">
        <v>46</v>
      </c>
      <c r="T50" s="24" t="s">
        <v>13</v>
      </c>
      <c r="U50" s="24" t="s">
        <v>14</v>
      </c>
      <c r="W50" s="23" t="s">
        <v>47</v>
      </c>
      <c r="X50" s="24" t="s">
        <v>13</v>
      </c>
      <c r="Y50" s="24" t="s">
        <v>14</v>
      </c>
      <c r="AA50" s="23" t="s">
        <v>48</v>
      </c>
      <c r="AB50" s="24" t="s">
        <v>13</v>
      </c>
      <c r="AC50" s="24" t="s">
        <v>14</v>
      </c>
    </row>
    <row r="51">
      <c r="A51" s="15">
        <f t="shared" ref="A51:A54" si="17">(C51&amp;COUNTIF(C51:C$54,C51))*1</f>
        <v>42</v>
      </c>
      <c r="B51" s="16" t="s">
        <v>41</v>
      </c>
      <c r="C51" s="17">
        <f t="shared" ref="C51:C54" si="18">SUM(F51,G51,H51)</f>
        <v>4</v>
      </c>
      <c r="D51" s="18">
        <f>E51-SUM(L49,L51,K54)</f>
        <v>6</v>
      </c>
      <c r="E51" s="19">
        <f>SUM(K49,K51,L54)</f>
        <v>9</v>
      </c>
      <c r="F51" s="12">
        <f>IFS(K49&gt;L49,3,K49&lt;L49,0,AND(K49="",L49=""),0,K49=L49,1)</f>
        <v>3</v>
      </c>
      <c r="G51" s="20">
        <f>IFS(K51&gt;L51,3,K51&lt;L51,0,AND(K51="",L51=""),0,K51=L51,1)</f>
        <v>0</v>
      </c>
      <c r="H51" s="20">
        <f>IFS(K54&gt;L54,0,K54&lt;L54,3,AND(K54="",L54=""),0,K54=L54,1)</f>
        <v>1</v>
      </c>
      <c r="J51" s="21" t="s">
        <v>41</v>
      </c>
      <c r="K51" s="6">
        <v>1.0</v>
      </c>
      <c r="L51" s="6">
        <v>2.0</v>
      </c>
      <c r="M51" s="22" t="s">
        <v>43</v>
      </c>
      <c r="O51" s="29" t="str">
        <f>G20</f>
        <v>Inglaterra</v>
      </c>
      <c r="P51" s="30">
        <v>3.0</v>
      </c>
      <c r="Q51" s="31"/>
      <c r="S51" s="29" t="str">
        <f>IF(AND(P51="",P52=""),"Vencedor Oitavas 5",IFS(P51&gt;P52,O51,P51&lt;P52,O52,P51=P52,IF(AND(Q51="",Q52=""),"Vencedor Oitavas 5",IF(Q51&gt;Q52,O51,O52))))</f>
        <v>Inglaterra</v>
      </c>
      <c r="T51" s="30">
        <v>1.0</v>
      </c>
      <c r="U51" s="31"/>
      <c r="W51" s="29" t="str">
        <f>IF(AND(T51="",T52=""),"Vencedor Quartas 3",IFS(T51&gt;T52,S51,T51&lt;T52,S52,T51=T52,IF(AND(U51="",U52=""),"Vencedor Quartas 3",IF(U51&gt;U52,S51,S52))))</f>
        <v>França</v>
      </c>
      <c r="X51" s="30">
        <v>2.0</v>
      </c>
      <c r="Y51" s="31"/>
      <c r="AA51" s="29" t="str">
        <f>IF(AND(X40="",X41=""),"Perdedor Semi 1",IFS(X40&gt;X41,W41,X40&lt;X41,W40,X40=X41,IF(AND(Y40="",Y41=""),"Perdedor Semi 1",IF(Y40&gt;Y41,W41,W40))))</f>
        <v>Croácia</v>
      </c>
      <c r="AB51" s="30">
        <v>2.0</v>
      </c>
      <c r="AC51" s="31"/>
    </row>
    <row r="52">
      <c r="A52" s="15">
        <f t="shared" si="17"/>
        <v>31</v>
      </c>
      <c r="B52" s="25" t="s">
        <v>42</v>
      </c>
      <c r="C52" s="26">
        <f t="shared" si="18"/>
        <v>3</v>
      </c>
      <c r="D52" s="27">
        <f>E52-SUM(K49,K52,L53)</f>
        <v>-8</v>
      </c>
      <c r="E52" s="28">
        <f>SUM(L49,L52,K53)</f>
        <v>3</v>
      </c>
      <c r="F52" s="20">
        <f t="shared" ref="F52:F53" si="19">IFS(K49&gt;L49,0,K49&lt;L49,3,AND(K49="",L49=""),0,K49=L49,1)</f>
        <v>0</v>
      </c>
      <c r="G52" s="20">
        <f>IFS(K52&gt;L52,0,K52&lt;L52,3,AND(K52="",L52=""),0,K52=L52,1)</f>
        <v>0</v>
      </c>
      <c r="H52" s="20">
        <f t="shared" ref="H52:H53" si="20">IFS(K53&gt;L53,3,K53&lt;L53,0,AND(K53="",L53=""),0,K53=L53,1)</f>
        <v>3</v>
      </c>
      <c r="J52" s="13" t="s">
        <v>44</v>
      </c>
      <c r="K52" s="6">
        <v>4.0</v>
      </c>
      <c r="L52" s="6">
        <v>2.0</v>
      </c>
      <c r="M52" s="14" t="s">
        <v>42</v>
      </c>
      <c r="O52" s="36" t="str">
        <f>G9</f>
        <v>Senegal</v>
      </c>
      <c r="P52" s="37">
        <v>0.0</v>
      </c>
      <c r="Q52" s="38"/>
      <c r="S52" s="36" t="str">
        <f>IF(AND(P63="",P64=""),"Vencedor Oitavas 6",IFS(P63&gt;P64,O63,P63&lt;P64,O64,P63=P64,IF(AND(Q63="",Q64=""),"Vencedor Oitavas 6",IF(Q63&gt;Q64,O63,O64))))</f>
        <v>França</v>
      </c>
      <c r="T52" s="37">
        <v>2.0</v>
      </c>
      <c r="U52" s="38"/>
      <c r="W52" s="36" t="str">
        <f>IF(AND(T63="",T64=""),"Vencedor Quartas 4",IFS(T63&gt;T64,S63,T63&lt;T64,S64,T63=T64,IF(AND(U63="",U64=""),"Vencedor Quartas 4",IF(U63&gt;U64,S63,S64))))</f>
        <v>Marrocos</v>
      </c>
      <c r="X52" s="37">
        <v>0.0</v>
      </c>
      <c r="Y52" s="38"/>
      <c r="AA52" s="36" t="str">
        <f>IF(AND(X51="",X52=""),"Perdedor Semi 1",IFS(X51&gt;X52,W52,X51&lt;X52,W51,X51=X52,IF(AND(Y51="",Y52=""),"Perdedor Semi 1",IF(Y51&gt;Y52,W52,W51))))</f>
        <v>Marrocos</v>
      </c>
      <c r="AB52" s="37">
        <v>1.0</v>
      </c>
      <c r="AC52" s="38"/>
    </row>
    <row r="53">
      <c r="A53" s="15">
        <f t="shared" si="17"/>
        <v>41</v>
      </c>
      <c r="B53" s="32" t="s">
        <v>44</v>
      </c>
      <c r="C53" s="33">
        <f t="shared" si="18"/>
        <v>4</v>
      </c>
      <c r="D53" s="34">
        <f>E53-SUM(K50,L52,L54)</f>
        <v>1</v>
      </c>
      <c r="E53" s="35">
        <f>SUM(L50,K52,K54)</f>
        <v>6</v>
      </c>
      <c r="F53" s="20">
        <f t="shared" si="19"/>
        <v>0</v>
      </c>
      <c r="G53" s="20">
        <f>IFS(K52&gt;L52,3,K52&lt;L52,0,AND(K52="",L52=""),0,K52=L52,1)</f>
        <v>3</v>
      </c>
      <c r="H53" s="20">
        <f t="shared" si="20"/>
        <v>1</v>
      </c>
      <c r="J53" s="21" t="s">
        <v>42</v>
      </c>
      <c r="K53" s="6">
        <v>1.0</v>
      </c>
      <c r="L53" s="6">
        <v>0.0</v>
      </c>
      <c r="M53" s="22" t="s">
        <v>43</v>
      </c>
    </row>
    <row r="54">
      <c r="A54" s="15">
        <f t="shared" si="17"/>
        <v>61</v>
      </c>
      <c r="B54" s="39" t="s">
        <v>43</v>
      </c>
      <c r="C54" s="40">
        <f t="shared" si="18"/>
        <v>6</v>
      </c>
      <c r="D54" s="41">
        <f>E54-SUM(L50,K51,K53)</f>
        <v>1</v>
      </c>
      <c r="E54" s="42">
        <f>SUM(K50,L51,L53)</f>
        <v>4</v>
      </c>
      <c r="F54" s="20">
        <f>IFS(K50&gt;L50,3,K50&lt;L50,0,AND(K50="",L50=""),0,K50=L50,1)</f>
        <v>3</v>
      </c>
      <c r="G54" s="20">
        <f>IFS(K51&gt;L51,0,K51&lt;L51,3,AND(K51="",L51=""),0,K51=L51,1)</f>
        <v>3</v>
      </c>
      <c r="H54" s="20">
        <f>IFS(K53&gt;L53,0,K53&lt;L53,3,AND(K53="",L53=""),0,K53=L53,1)</f>
        <v>0</v>
      </c>
      <c r="J54" s="43" t="s">
        <v>44</v>
      </c>
      <c r="K54" s="6">
        <v>1.0</v>
      </c>
      <c r="L54" s="6">
        <v>1.0</v>
      </c>
      <c r="M54" s="44" t="s">
        <v>41</v>
      </c>
    </row>
    <row r="56" hidden="1">
      <c r="B56" s="20" t="str">
        <f t="array" ref="B56:E56">XLOOKUP(LARGE(A51:A54,1),A51:A54,B51:E54)</f>
        <v>Japão</v>
      </c>
      <c r="C56" s="20">
        <v>6.0</v>
      </c>
      <c r="D56" s="20">
        <v>1.0</v>
      </c>
      <c r="E56" s="20">
        <v>4.0</v>
      </c>
      <c r="G56" s="20" t="str">
        <f>IF(AND(C56=0,C57=0,C58=0),"1º Lugar E",IF(C56&lt;&gt;C57,B56,IF(D56&gt;D57,B56,IF(OR(D57&gt;D56,E57&gt;E56),B57,B56))))</f>
        <v>Japão</v>
      </c>
    </row>
    <row r="57" hidden="1">
      <c r="B57" s="20" t="str">
        <f t="array" ref="B57:E57">XLOOKUP(LARGE(A51:A54,2),A51:A54,B51:E54)</f>
        <v>Espanha</v>
      </c>
      <c r="C57" s="20">
        <v>4.0</v>
      </c>
      <c r="D57" s="20">
        <v>6.0</v>
      </c>
      <c r="E57" s="20">
        <v>9.0</v>
      </c>
      <c r="G57" s="20" t="str">
        <f>IF(AND(C56=0,C57=0,C58=0),"2º Lugar E",IF(B57=G56,B56,IF(C57&gt;C58,B57,IF(D57&gt;D58,B57,IF(E57&gt;E58,B57,B58)))))</f>
        <v>Espanha</v>
      </c>
    </row>
    <row r="58" hidden="1">
      <c r="B58" s="20" t="str">
        <f t="array" ref="B58:E58">XLOOKUP(LARGE(A51:A54,3),A51:A54,B51:E54)</f>
        <v>Alemanha</v>
      </c>
      <c r="C58" s="20">
        <v>4.0</v>
      </c>
      <c r="D58" s="20">
        <v>1.0</v>
      </c>
      <c r="E58" s="20">
        <v>6.0</v>
      </c>
    </row>
    <row r="59">
      <c r="AA59" s="53" t="s">
        <v>49</v>
      </c>
      <c r="AB59" s="54" t="str">
        <f>IF(AND(AB40="",AB41=""),"2º LUGAR",IFS(AB40&gt;AB41,AA41,AB40&lt;AB41,AA40,AB40=AB41,IF(AND(AC40="",AC41=""),"2º LUGAR",IF(AC40&gt;AC41,AA41,AA40))))</f>
        <v>França</v>
      </c>
    </row>
    <row r="61">
      <c r="A61" s="1"/>
      <c r="B61" s="2" t="s">
        <v>50</v>
      </c>
      <c r="C61" s="3"/>
      <c r="D61" s="3"/>
      <c r="E61" s="4"/>
      <c r="J61" s="5" t="s">
        <v>51</v>
      </c>
      <c r="K61" s="6">
        <v>1.0</v>
      </c>
      <c r="L61" s="6">
        <v>0.0</v>
      </c>
      <c r="M61" s="7" t="s">
        <v>52</v>
      </c>
      <c r="AA61" s="53" t="s">
        <v>53</v>
      </c>
      <c r="AB61" s="54" t="str">
        <f>IF(AND(AB51="",AB52=""),"2º LUGAR",IFS(AB51&gt;AB52,AA51,AB51&lt;AB52,AA52,AB51=AB52,IF(AND(AC51="",AC52=""),"2º LUGAR",IF(AC51&gt;AC52,AA51,AA52))))</f>
        <v>Croácia</v>
      </c>
    </row>
    <row r="62">
      <c r="A62" s="8" t="s">
        <v>3</v>
      </c>
      <c r="B62" s="9"/>
      <c r="C62" s="10" t="s">
        <v>4</v>
      </c>
      <c r="D62" s="11" t="s">
        <v>5</v>
      </c>
      <c r="E62" s="11" t="s">
        <v>6</v>
      </c>
      <c r="F62" s="12" t="s">
        <v>7</v>
      </c>
      <c r="G62" s="12" t="s">
        <v>8</v>
      </c>
      <c r="H62" s="12" t="s">
        <v>9</v>
      </c>
      <c r="J62" s="13" t="s">
        <v>54</v>
      </c>
      <c r="K62" s="6">
        <v>0.0</v>
      </c>
      <c r="L62" s="6">
        <v>0.0</v>
      </c>
      <c r="M62" s="14" t="s">
        <v>55</v>
      </c>
      <c r="O62" s="23" t="s">
        <v>56</v>
      </c>
      <c r="P62" s="24" t="s">
        <v>13</v>
      </c>
      <c r="Q62" s="52" t="s">
        <v>14</v>
      </c>
      <c r="S62" s="23" t="s">
        <v>57</v>
      </c>
      <c r="T62" s="24" t="s">
        <v>13</v>
      </c>
      <c r="U62" s="24" t="s">
        <v>14</v>
      </c>
    </row>
    <row r="63">
      <c r="A63" s="15">
        <f t="shared" ref="A63:A66" si="21">(C63&amp;COUNTIF(C63:C$66,C63))*1</f>
        <v>41</v>
      </c>
      <c r="B63" s="16" t="s">
        <v>51</v>
      </c>
      <c r="C63" s="17">
        <f t="shared" ref="C63:C66" si="22">SUM(F63,G63,H63)</f>
        <v>4</v>
      </c>
      <c r="D63" s="18">
        <f>E63-SUM(L61,L63,K66)</f>
        <v>-1</v>
      </c>
      <c r="E63" s="19">
        <f>SUM(K61,K63,L66)</f>
        <v>1</v>
      </c>
      <c r="F63" s="12">
        <f>IFS(K61&gt;L61,3,K61&lt;L61,0,AND(K61="",L61=""),0,K61=L61,1)</f>
        <v>3</v>
      </c>
      <c r="G63" s="20">
        <f>IFS(K63&gt;L63,3,K63&lt;L63,0,AND(K63="",L63=""),0,K63=L63,1)</f>
        <v>1</v>
      </c>
      <c r="H63" s="20">
        <f>IFS(K66&gt;L66,0,K66&lt;L66,3,AND(K66="",L66=""),0,K66=L66,1)</f>
        <v>0</v>
      </c>
      <c r="J63" s="21" t="s">
        <v>51</v>
      </c>
      <c r="K63" s="6">
        <v>0.0</v>
      </c>
      <c r="L63" s="6">
        <v>0.0</v>
      </c>
      <c r="M63" s="22" t="s">
        <v>54</v>
      </c>
      <c r="O63" s="29" t="str">
        <f>G44</f>
        <v>França</v>
      </c>
      <c r="P63" s="30">
        <v>3.0</v>
      </c>
      <c r="Q63" s="31"/>
      <c r="S63" s="29" t="str">
        <f>IF(AND(P75="",P76=""),"Vencedor Oitavas 7",IFS(P75&gt;P76,O75,P75&lt;P76,O76,P75=P76,IF(AND(Q75="",Q76=""),"Vencedor Oitavas 7",IF(Q75&gt;Q76,O75,O76))))</f>
        <v>Marrocos</v>
      </c>
      <c r="T63" s="30">
        <v>1.0</v>
      </c>
      <c r="U63" s="31"/>
    </row>
    <row r="64">
      <c r="A64" s="15">
        <f t="shared" si="21"/>
        <v>1</v>
      </c>
      <c r="B64" s="25" t="s">
        <v>52</v>
      </c>
      <c r="C64" s="26">
        <f t="shared" si="22"/>
        <v>0</v>
      </c>
      <c r="D64" s="27">
        <f>E64-SUM(K61,K64,L65)</f>
        <v>-5</v>
      </c>
      <c r="E64" s="28">
        <f>SUM(L61,L64,K65)</f>
        <v>2</v>
      </c>
      <c r="F64" s="20">
        <f t="shared" ref="F64:F65" si="23">IFS(K61&gt;L61,0,K61&lt;L61,3,AND(K61="",L61=""),0,K61=L61,1)</f>
        <v>0</v>
      </c>
      <c r="G64" s="20">
        <f>IFS(K64&gt;L64,0,K64&lt;L64,3,AND(K64="",L64=""),0,K64=L64,1)</f>
        <v>0</v>
      </c>
      <c r="H64" s="20">
        <f t="shared" ref="H64:H65" si="24">IFS(K65&gt;L65,3,K65&lt;L65,0,AND(K65="",L65=""),0,K65=L65,1)</f>
        <v>0</v>
      </c>
      <c r="J64" s="13" t="s">
        <v>55</v>
      </c>
      <c r="K64" s="6">
        <v>2.0</v>
      </c>
      <c r="L64" s="6">
        <v>1.0</v>
      </c>
      <c r="M64" s="14" t="s">
        <v>52</v>
      </c>
      <c r="O64" s="36" t="str">
        <f>G33</f>
        <v>Polônia</v>
      </c>
      <c r="P64" s="37">
        <v>1.0</v>
      </c>
      <c r="Q64" s="38"/>
      <c r="S64" s="36" t="str">
        <f>IF(AND(P87="",P88=""),"Vencedor Oitavas 8",IFS(P87&gt;P88,O87,P87&lt;P88,O88,P87=P88,IF(AND(Q87="",Q88=""),"Vencedor Oitavas 8",IF(Q87&gt;Q88,O87,O88))))</f>
        <v>Portugal</v>
      </c>
      <c r="T64" s="37">
        <v>0.0</v>
      </c>
      <c r="U64" s="38"/>
    </row>
    <row r="65">
      <c r="A65" s="15">
        <f t="shared" si="21"/>
        <v>71</v>
      </c>
      <c r="B65" s="32" t="s">
        <v>55</v>
      </c>
      <c r="C65" s="33">
        <f t="shared" si="22"/>
        <v>7</v>
      </c>
      <c r="D65" s="34">
        <f>E65-SUM(K62,L64,L66)</f>
        <v>3</v>
      </c>
      <c r="E65" s="35">
        <f>SUM(L62,K64,K66)</f>
        <v>4</v>
      </c>
      <c r="F65" s="20">
        <f t="shared" si="23"/>
        <v>1</v>
      </c>
      <c r="G65" s="20">
        <f>IFS(K64&gt;L64,3,K64&lt;L64,0,AND(K64="",L64=""),0,K64=L64,1)</f>
        <v>3</v>
      </c>
      <c r="H65" s="20">
        <f t="shared" si="24"/>
        <v>3</v>
      </c>
      <c r="J65" s="21" t="s">
        <v>52</v>
      </c>
      <c r="K65" s="6">
        <v>1.0</v>
      </c>
      <c r="L65" s="6">
        <v>4.0</v>
      </c>
      <c r="M65" s="22" t="s">
        <v>54</v>
      </c>
    </row>
    <row r="66">
      <c r="A66" s="15">
        <f t="shared" si="21"/>
        <v>51</v>
      </c>
      <c r="B66" s="39" t="s">
        <v>54</v>
      </c>
      <c r="C66" s="40">
        <f t="shared" si="22"/>
        <v>5</v>
      </c>
      <c r="D66" s="41">
        <f>E66-SUM(L62,K63,K65)</f>
        <v>3</v>
      </c>
      <c r="E66" s="42">
        <f>SUM(K62,L63,L65)</f>
        <v>4</v>
      </c>
      <c r="F66" s="20">
        <f>IFS(K62&gt;L62,3,K62&lt;L62,0,AND(K62="",L62=""),0,K62=L62,1)</f>
        <v>1</v>
      </c>
      <c r="G66" s="20">
        <f>IFS(K63&gt;L63,0,K63&lt;L63,3,AND(K63="",L63=""),0,K63=L63,1)</f>
        <v>1</v>
      </c>
      <c r="H66" s="20">
        <f>IFS(K65&gt;L65,0,K65&lt;L65,3,AND(K65="",L65=""),0,K65=L65,1)</f>
        <v>3</v>
      </c>
      <c r="J66" s="43" t="s">
        <v>55</v>
      </c>
      <c r="K66" s="6">
        <v>2.0</v>
      </c>
      <c r="L66" s="6">
        <v>0.0</v>
      </c>
      <c r="M66" s="44" t="s">
        <v>51</v>
      </c>
    </row>
    <row r="68" hidden="1">
      <c r="B68" s="20" t="str">
        <f t="array" ref="B68:E68">XLOOKUP(LARGE(A63:A66,1),A63:A66,B63:E66)</f>
        <v>Marrocos</v>
      </c>
      <c r="C68" s="20">
        <v>7.0</v>
      </c>
      <c r="D68" s="20">
        <v>3.0</v>
      </c>
      <c r="E68" s="20">
        <v>4.0</v>
      </c>
      <c r="G68" s="20" t="str">
        <f>IF(AND(C68=0,C69=0,C70=0),"1º Lugar F",IF(C68&lt;&gt;C69,B68,IF(D68&gt;D69,B68,IF(OR(D69&gt;D68,E69&gt;E68),B69,B68))))</f>
        <v>Marrocos</v>
      </c>
    </row>
    <row r="69" hidden="1">
      <c r="B69" s="20" t="str">
        <f t="array" ref="B69:E69">XLOOKUP(LARGE(A63:A66,2),A63:A66,B63:E66)</f>
        <v>Croácia</v>
      </c>
      <c r="C69" s="20">
        <v>5.0</v>
      </c>
      <c r="D69" s="20">
        <v>3.0</v>
      </c>
      <c r="E69" s="20">
        <v>4.0</v>
      </c>
      <c r="G69" s="20" t="str">
        <f>IF(AND(C68=0,C69=0,C70=0),"2º Lugar F",IF(B69=G68,B68,IF(C69&gt;C70,B69,IF(D69&gt;D70,B69,IF(E69&gt;E70,B69,B70)))))</f>
        <v>Croácia</v>
      </c>
    </row>
    <row r="70" hidden="1">
      <c r="B70" s="20" t="str">
        <f t="array" ref="B70:E70">XLOOKUP(LARGE(A63:A66,3),A63:A66,B63:E66)</f>
        <v>Bélgica</v>
      </c>
      <c r="C70" s="20">
        <v>4.0</v>
      </c>
      <c r="D70" s="20">
        <v>-1.0</v>
      </c>
      <c r="E70" s="20">
        <v>1.0</v>
      </c>
    </row>
    <row r="73">
      <c r="A73" s="1"/>
      <c r="B73" s="2" t="s">
        <v>58</v>
      </c>
      <c r="C73" s="3"/>
      <c r="D73" s="3"/>
      <c r="E73" s="4"/>
      <c r="J73" s="5" t="s">
        <v>59</v>
      </c>
      <c r="K73" s="6">
        <v>2.0</v>
      </c>
      <c r="L73" s="6">
        <v>0.0</v>
      </c>
      <c r="M73" s="7" t="s">
        <v>60</v>
      </c>
    </row>
    <row r="74">
      <c r="A74" s="8" t="s">
        <v>3</v>
      </c>
      <c r="B74" s="9"/>
      <c r="C74" s="10" t="s">
        <v>4</v>
      </c>
      <c r="D74" s="11" t="s">
        <v>5</v>
      </c>
      <c r="E74" s="11" t="s">
        <v>6</v>
      </c>
      <c r="F74" s="12" t="s">
        <v>7</v>
      </c>
      <c r="G74" s="12" t="s">
        <v>8</v>
      </c>
      <c r="H74" s="12" t="s">
        <v>9</v>
      </c>
      <c r="J74" s="13" t="s">
        <v>61</v>
      </c>
      <c r="K74" s="6">
        <v>0.0</v>
      </c>
      <c r="L74" s="6">
        <v>1.0</v>
      </c>
      <c r="M74" s="14" t="s">
        <v>62</v>
      </c>
      <c r="O74" s="23" t="s">
        <v>63</v>
      </c>
      <c r="P74" s="24" t="s">
        <v>13</v>
      </c>
      <c r="Q74" s="52" t="s">
        <v>14</v>
      </c>
    </row>
    <row r="75">
      <c r="A75" s="15">
        <f t="shared" ref="A75:A78" si="25">(C75&amp;COUNTIF(C75:C$78,C75))*1</f>
        <v>62</v>
      </c>
      <c r="B75" s="16" t="s">
        <v>59</v>
      </c>
      <c r="C75" s="17">
        <f t="shared" ref="C75:C78" si="26">SUM(F75,G75,H75)</f>
        <v>6</v>
      </c>
      <c r="D75" s="18">
        <f>E75-SUM(L73,L75,K78)</f>
        <v>2</v>
      </c>
      <c r="E75" s="19">
        <f>SUM(K73,K75,L78)</f>
        <v>3</v>
      </c>
      <c r="F75" s="12">
        <f>IFS(K73&gt;L73,3,K73&lt;L73,0,AND(K73="",L73=""),0,K73=L73,1)</f>
        <v>3</v>
      </c>
      <c r="G75" s="20">
        <f>IFS(K75&gt;L75,3,K75&lt;L75,0,AND(K75="",L75=""),0,K75=L75,1)</f>
        <v>0</v>
      </c>
      <c r="H75" s="20">
        <f>IFS(K78&gt;L78,0,K78&lt;L78,3,AND(K78="",L78=""),0,K78=L78,1)</f>
        <v>3</v>
      </c>
      <c r="J75" s="21" t="s">
        <v>59</v>
      </c>
      <c r="K75" s="6">
        <v>0.0</v>
      </c>
      <c r="L75" s="6">
        <v>1.0</v>
      </c>
      <c r="M75" s="22" t="s">
        <v>61</v>
      </c>
      <c r="O75" s="29" t="str">
        <f>G68</f>
        <v>Marrocos</v>
      </c>
      <c r="P75" s="30">
        <v>0.0</v>
      </c>
      <c r="Q75" s="31">
        <v>3.0</v>
      </c>
    </row>
    <row r="76">
      <c r="A76" s="15">
        <f t="shared" si="25"/>
        <v>11</v>
      </c>
      <c r="B76" s="25" t="s">
        <v>60</v>
      </c>
      <c r="C76" s="26">
        <f t="shared" si="26"/>
        <v>1</v>
      </c>
      <c r="D76" s="27">
        <f>E76-SUM(K73,K76,L77)</f>
        <v>-3</v>
      </c>
      <c r="E76" s="28">
        <f>SUM(L73,L76,K77)</f>
        <v>5</v>
      </c>
      <c r="F76" s="20">
        <f t="shared" ref="F76:F77" si="27">IFS(K73&gt;L73,0,K73&lt;L73,3,AND(K73="",L73=""),0,K73=L73,1)</f>
        <v>0</v>
      </c>
      <c r="G76" s="20">
        <f>IFS(K76&gt;L76,0,K76&lt;L76,3,AND(K76="",L76=""),0,K76=L76,1)</f>
        <v>0</v>
      </c>
      <c r="H76" s="20">
        <f t="shared" ref="H76:H77" si="28">IFS(K77&gt;L77,3,K77&lt;L77,0,AND(K77="",L77=""),0,K77=L77,1)</f>
        <v>1</v>
      </c>
      <c r="J76" s="13" t="s">
        <v>62</v>
      </c>
      <c r="K76" s="6">
        <v>3.0</v>
      </c>
      <c r="L76" s="6">
        <v>2.0</v>
      </c>
      <c r="M76" s="14" t="s">
        <v>60</v>
      </c>
      <c r="O76" s="36" t="str">
        <f>G57</f>
        <v>Espanha</v>
      </c>
      <c r="P76" s="37">
        <v>0.0</v>
      </c>
      <c r="Q76" s="38">
        <v>0.0</v>
      </c>
    </row>
    <row r="77">
      <c r="A77" s="15">
        <f t="shared" si="25"/>
        <v>61</v>
      </c>
      <c r="B77" s="32" t="s">
        <v>62</v>
      </c>
      <c r="C77" s="33">
        <f t="shared" si="26"/>
        <v>6</v>
      </c>
      <c r="D77" s="34">
        <f>E77-SUM(K74,L76,L78)</f>
        <v>1</v>
      </c>
      <c r="E77" s="35">
        <f>SUM(L74,K76,K78)</f>
        <v>4</v>
      </c>
      <c r="F77" s="20">
        <f t="shared" si="27"/>
        <v>3</v>
      </c>
      <c r="G77" s="20">
        <f>IFS(K76&gt;L76,3,K76&lt;L76,0,AND(K76="",L76=""),0,K76=L76,1)</f>
        <v>3</v>
      </c>
      <c r="H77" s="20">
        <f t="shared" si="28"/>
        <v>0</v>
      </c>
      <c r="J77" s="21" t="s">
        <v>60</v>
      </c>
      <c r="K77" s="6">
        <v>3.0</v>
      </c>
      <c r="L77" s="6">
        <v>3.0</v>
      </c>
      <c r="M77" s="22" t="s">
        <v>61</v>
      </c>
    </row>
    <row r="78">
      <c r="A78" s="15">
        <f t="shared" si="25"/>
        <v>41</v>
      </c>
      <c r="B78" s="39" t="s">
        <v>61</v>
      </c>
      <c r="C78" s="40">
        <f t="shared" si="26"/>
        <v>4</v>
      </c>
      <c r="D78" s="41">
        <f>E78-SUM(L74,K75,K77)</f>
        <v>0</v>
      </c>
      <c r="E78" s="42">
        <f>SUM(K74,L75,L77)</f>
        <v>4</v>
      </c>
      <c r="F78" s="20">
        <f>IFS(K74&gt;L74,3,K74&lt;L74,0,AND(K74="",L74=""),0,K74=L74,1)</f>
        <v>0</v>
      </c>
      <c r="G78" s="20">
        <f>IFS(K75&gt;L75,0,K75&lt;L75,3,AND(K75="",L75=""),0,K75=L75,1)</f>
        <v>3</v>
      </c>
      <c r="H78" s="20">
        <f>IFS(K77&gt;L77,0,K77&lt;L77,3,AND(K77="",L77=""),0,K77=L77,1)</f>
        <v>1</v>
      </c>
      <c r="J78" s="43" t="s">
        <v>62</v>
      </c>
      <c r="K78" s="6">
        <v>0.0</v>
      </c>
      <c r="L78" s="6">
        <v>1.0</v>
      </c>
      <c r="M78" s="44" t="s">
        <v>59</v>
      </c>
    </row>
    <row r="80" hidden="1">
      <c r="B80" s="20" t="str">
        <f t="array" ref="B80:E80">XLOOKUP(LARGE(A75:A78,1),A75:A78,B75:E78)</f>
        <v>Brasil</v>
      </c>
      <c r="C80" s="20">
        <v>6.0</v>
      </c>
      <c r="D80" s="20">
        <v>2.0</v>
      </c>
      <c r="E80" s="20">
        <v>3.0</v>
      </c>
      <c r="G80" s="20" t="str">
        <f>IF(AND(C80=0,C81=0,C82=0),"1º Lugar G",IF(C80&lt;&gt;C81,B80,IF(D80&gt;D81,B80,IF(OR(D81&gt;D80,E81&gt;E80),B81,B80))))</f>
        <v>Brasil</v>
      </c>
    </row>
    <row r="81" hidden="1">
      <c r="B81" s="20" t="str">
        <f t="array" ref="B81:E81">XLOOKUP(LARGE(A75:A78,2),A75:A78,B75:E78)</f>
        <v>Suíça</v>
      </c>
      <c r="C81" s="20">
        <v>6.0</v>
      </c>
      <c r="D81" s="20">
        <v>1.0</v>
      </c>
      <c r="E81" s="20">
        <v>4.0</v>
      </c>
      <c r="G81" s="20" t="str">
        <f>IF(AND(C80=0,C81=0,C82=0),"2º Lugar G",IF(B81=G80,B80,IF(C81&gt;C82,B81,IF(D81&gt;D82,B81,IF(E81&gt;E82,B81,B82)))))</f>
        <v>Suíça</v>
      </c>
    </row>
    <row r="82" hidden="1">
      <c r="B82" s="20" t="str">
        <f t="array" ref="B82:E82">XLOOKUP(LARGE(A75:A78,3),A75:A78,B75:E78)</f>
        <v>Camarões</v>
      </c>
      <c r="C82" s="20">
        <v>4.0</v>
      </c>
      <c r="D82" s="20">
        <v>0.0</v>
      </c>
      <c r="E82" s="20">
        <v>4.0</v>
      </c>
    </row>
    <row r="85">
      <c r="A85" s="1"/>
      <c r="B85" s="2" t="s">
        <v>64</v>
      </c>
      <c r="C85" s="3"/>
      <c r="D85" s="3"/>
      <c r="E85" s="4"/>
      <c r="J85" s="5" t="s">
        <v>65</v>
      </c>
      <c r="K85" s="6">
        <v>3.0</v>
      </c>
      <c r="L85" s="6">
        <v>2.0</v>
      </c>
      <c r="M85" s="7" t="s">
        <v>66</v>
      </c>
    </row>
    <row r="86">
      <c r="A86" s="8" t="s">
        <v>3</v>
      </c>
      <c r="B86" s="9"/>
      <c r="C86" s="10" t="s">
        <v>4</v>
      </c>
      <c r="D86" s="11" t="s">
        <v>5</v>
      </c>
      <c r="E86" s="11" t="s">
        <v>6</v>
      </c>
      <c r="F86" s="12" t="s">
        <v>7</v>
      </c>
      <c r="G86" s="12" t="s">
        <v>8</v>
      </c>
      <c r="H86" s="12" t="s">
        <v>9</v>
      </c>
      <c r="J86" s="13" t="s">
        <v>67</v>
      </c>
      <c r="K86" s="6">
        <v>0.0</v>
      </c>
      <c r="L86" s="6">
        <v>0.0</v>
      </c>
      <c r="M86" s="14" t="s">
        <v>68</v>
      </c>
      <c r="O86" s="23" t="s">
        <v>69</v>
      </c>
      <c r="P86" s="24" t="s">
        <v>13</v>
      </c>
      <c r="Q86" s="52" t="s">
        <v>14</v>
      </c>
    </row>
    <row r="87">
      <c r="A87" s="15">
        <f t="shared" ref="A87:A90" si="29">(C87&amp;COUNTIF(C87:C$90,C87))*1</f>
        <v>61</v>
      </c>
      <c r="B87" s="16" t="s">
        <v>65</v>
      </c>
      <c r="C87" s="17">
        <f t="shared" ref="C87:C90" si="30">SUM(F87,G87,H87)</f>
        <v>6</v>
      </c>
      <c r="D87" s="18">
        <f>E87-SUM(L85,L87,K90)</f>
        <v>2</v>
      </c>
      <c r="E87" s="19">
        <f>SUM(K85,K87,L90)</f>
        <v>6</v>
      </c>
      <c r="F87" s="12">
        <f>IFS(K85&gt;L85,3,K85&lt;L85,0,AND(K85="",L85=""),0,K85=L85,1)</f>
        <v>3</v>
      </c>
      <c r="G87" s="20">
        <f>IFS(K87&gt;L87,3,K87&lt;L87,0,AND(K87="",L87=""),0,K87=L87,1)</f>
        <v>0</v>
      </c>
      <c r="H87" s="20">
        <f>IFS(K90&gt;L90,0,K90&lt;L90,3,AND(K90="",L90=""),0,K90=L90,1)</f>
        <v>3</v>
      </c>
      <c r="J87" s="21" t="s">
        <v>65</v>
      </c>
      <c r="K87" s="6">
        <v>1.0</v>
      </c>
      <c r="L87" s="6">
        <v>2.0</v>
      </c>
      <c r="M87" s="22" t="s">
        <v>67</v>
      </c>
      <c r="O87" s="29" t="str">
        <f>G92</f>
        <v>Portugal</v>
      </c>
      <c r="P87" s="30">
        <v>6.0</v>
      </c>
      <c r="Q87" s="31"/>
    </row>
    <row r="88">
      <c r="A88" s="15">
        <f t="shared" si="29"/>
        <v>31</v>
      </c>
      <c r="B88" s="25" t="s">
        <v>66</v>
      </c>
      <c r="C88" s="26">
        <f t="shared" si="30"/>
        <v>3</v>
      </c>
      <c r="D88" s="27">
        <f>E88-SUM(K85,K88,L89)</f>
        <v>-2</v>
      </c>
      <c r="E88" s="28">
        <f>SUM(L85,L88,K89)</f>
        <v>5</v>
      </c>
      <c r="F88" s="20">
        <f t="shared" ref="F88:F89" si="31">IFS(K85&gt;L85,0,K85&lt;L85,3,AND(K85="",L85=""),0,K85=L85,1)</f>
        <v>0</v>
      </c>
      <c r="G88" s="20">
        <f>IFS(K88&gt;L88,0,K88&lt;L88,3,AND(K88="",L88=""),0,K88=L88,1)</f>
        <v>0</v>
      </c>
      <c r="H88" s="20">
        <f t="shared" ref="H88:H89" si="32">IFS(K89&gt;L89,3,K89&lt;L89,0,AND(K89="",L89=""),0,K89=L89,1)</f>
        <v>3</v>
      </c>
      <c r="J88" s="13" t="s">
        <v>68</v>
      </c>
      <c r="K88" s="6">
        <v>2.0</v>
      </c>
      <c r="L88" s="6">
        <v>0.0</v>
      </c>
      <c r="M88" s="14" t="s">
        <v>66</v>
      </c>
      <c r="O88" s="36" t="str">
        <f>G81</f>
        <v>Suíça</v>
      </c>
      <c r="P88" s="37">
        <v>1.0</v>
      </c>
      <c r="Q88" s="38"/>
    </row>
    <row r="89">
      <c r="A89" s="15">
        <f t="shared" si="29"/>
        <v>42</v>
      </c>
      <c r="B89" s="32" t="s">
        <v>68</v>
      </c>
      <c r="C89" s="33">
        <f t="shared" si="30"/>
        <v>4</v>
      </c>
      <c r="D89" s="34">
        <f>E89-SUM(K86,L88,L90)</f>
        <v>0</v>
      </c>
      <c r="E89" s="35">
        <f>SUM(L86,K88,K90)</f>
        <v>2</v>
      </c>
      <c r="F89" s="20">
        <f t="shared" si="31"/>
        <v>1</v>
      </c>
      <c r="G89" s="20">
        <f>IFS(K88&gt;L88,3,K88&lt;L88,0,AND(K88="",L88=""),0,K88=L88,1)</f>
        <v>3</v>
      </c>
      <c r="H89" s="20">
        <f t="shared" si="32"/>
        <v>0</v>
      </c>
      <c r="J89" s="21" t="s">
        <v>66</v>
      </c>
      <c r="K89" s="6">
        <v>3.0</v>
      </c>
      <c r="L89" s="6">
        <v>2.0</v>
      </c>
      <c r="M89" s="22" t="s">
        <v>67</v>
      </c>
    </row>
    <row r="90">
      <c r="A90" s="15">
        <f t="shared" si="29"/>
        <v>41</v>
      </c>
      <c r="B90" s="39" t="s">
        <v>67</v>
      </c>
      <c r="C90" s="40">
        <f t="shared" si="30"/>
        <v>4</v>
      </c>
      <c r="D90" s="41">
        <f>E90-SUM(L86,K87,K89)</f>
        <v>0</v>
      </c>
      <c r="E90" s="42">
        <f>SUM(K86,L87,L89)</f>
        <v>4</v>
      </c>
      <c r="F90" s="20">
        <f>IFS(K86&gt;L86,3,K86&lt;L86,0,AND(K86="",L86=""),0,K86=L86,1)</f>
        <v>1</v>
      </c>
      <c r="G90" s="20">
        <f>IFS(K87&gt;L87,0,K87&lt;L87,3,AND(K87="",L87=""),0,K87=L87,1)</f>
        <v>3</v>
      </c>
      <c r="H90" s="20">
        <f>IFS(K89&gt;L89,0,K89&lt;L89,3,AND(K89="",L89=""),0,K89=L89,1)</f>
        <v>0</v>
      </c>
      <c r="J90" s="43" t="s">
        <v>68</v>
      </c>
      <c r="K90" s="6">
        <v>0.0</v>
      </c>
      <c r="L90" s="6">
        <v>2.0</v>
      </c>
      <c r="M90" s="44" t="s">
        <v>65</v>
      </c>
    </row>
    <row r="92" hidden="1">
      <c r="A92" s="50"/>
      <c r="B92" s="50" t="str">
        <f t="array" ref="B92:E92">XLOOKUP(LARGE(A87:A90,1),A87:A90,B87:E90)</f>
        <v>Portugal</v>
      </c>
      <c r="C92" s="50">
        <v>6.0</v>
      </c>
      <c r="D92" s="20">
        <v>2.0</v>
      </c>
      <c r="E92" s="50">
        <v>6.0</v>
      </c>
      <c r="F92" s="50"/>
      <c r="G92" s="20" t="str">
        <f>IF(AND(C92=0,C93=0,C94=0),"1º Lugar H",IF(C92&lt;&gt;C93,B92,IF(D92&gt;D93,B92,IF(OR(D93&gt;D92,E93&gt;E92),B93,B92))))</f>
        <v>Portugal</v>
      </c>
    </row>
    <row r="93" hidden="1">
      <c r="A93" s="50"/>
      <c r="B93" s="50" t="str">
        <f t="array" ref="B93:E93">XLOOKUP(LARGE(A87:A90,2),A87:A90,B87:E90)</f>
        <v>Uruguai</v>
      </c>
      <c r="C93" s="50">
        <v>4.0</v>
      </c>
      <c r="D93" s="50">
        <v>0.0</v>
      </c>
      <c r="E93" s="50">
        <v>2.0</v>
      </c>
      <c r="F93" s="50"/>
      <c r="G93" s="20" t="str">
        <f>IF(AND(C92=0,C93=0,C94=0),"2º Lugar H",IF(B93=G92,B92,IF(C93&gt;C94,B93,IF(D93&gt;D94,B93,IF(E93&gt;E94,B93,B94)))))</f>
        <v>Coreia do Sul</v>
      </c>
    </row>
    <row r="94" hidden="1">
      <c r="A94" s="50"/>
      <c r="B94" s="50" t="str">
        <f t="array" ref="B94:E94">XLOOKUP(LARGE(A87:A90,3),A87:A90,B87:E90)</f>
        <v>Coreia do Sul</v>
      </c>
      <c r="C94" s="50">
        <v>4.0</v>
      </c>
      <c r="D94" s="50">
        <v>0.0</v>
      </c>
      <c r="E94" s="50">
        <v>4.0</v>
      </c>
      <c r="F94" s="50"/>
      <c r="G94" s="50"/>
    </row>
  </sheetData>
  <mergeCells count="8">
    <mergeCell ref="B1:E1"/>
    <mergeCell ref="B13:E13"/>
    <mergeCell ref="B25:E25"/>
    <mergeCell ref="B37:E37"/>
    <mergeCell ref="B49:E49"/>
    <mergeCell ref="B61:E61"/>
    <mergeCell ref="B73:E73"/>
    <mergeCell ref="B85:E85"/>
  </mergeCells>
  <conditionalFormatting sqref="Q3 Q15 Q27 U27 Q39 U39 Y39 AC39 Q50 U50 Y50 AC50 Q62 U62 Q74 Q86">
    <cfRule type="expression" dxfId="0" priority="1">
      <formula>and(Q4="",Q5="")</formula>
    </cfRule>
  </conditionalFormatting>
  <drawing r:id="rId1"/>
</worksheet>
</file>