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8855" activeTab="2"/>
  </bookViews>
  <sheets>
    <sheet name="税率" sheetId="1" r:id="rId1"/>
    <sheet name="第0季" sheetId="2" r:id="rId2"/>
    <sheet name="第1季" sheetId="3" r:id="rId3"/>
    <sheet name="第2季" sheetId="4" r:id="rId4"/>
    <sheet name="第3季" sheetId="5" r:id="rId5"/>
    <sheet name="第4季" sheetId="6" r:id="rId6"/>
    <sheet name="第5季" sheetId="7" r:id="rId7"/>
    <sheet name="第6季" sheetId="8" r:id="rId8"/>
    <sheet name="第7季" sheetId="9" r:id="rId9"/>
    <sheet name="第8季" sheetId="10" r:id="rId10"/>
    <sheet name="Sheet12" sheetId="1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<sst xmlns="http://schemas.openxmlformats.org/spreadsheetml/2006/main" count="1009" uniqueCount="110">
  <si>
    <t>增值税</t>
  </si>
  <si>
    <t>附加税</t>
  </si>
  <si>
    <t>企业所得税</t>
  </si>
  <si>
    <t>年利率</t>
  </si>
  <si>
    <t>折现率</t>
  </si>
  <si>
    <t>东</t>
  </si>
  <si>
    <t>西</t>
  </si>
  <si>
    <t>南</t>
  </si>
  <si>
    <t>北</t>
  </si>
  <si>
    <t>利润表</t>
  </si>
  <si>
    <t>现金流量表</t>
  </si>
  <si>
    <t>价格</t>
  </si>
  <si>
    <t>销售收入</t>
  </si>
  <si>
    <t>营销</t>
  </si>
  <si>
    <t>研发费用</t>
  </si>
  <si>
    <t>借款</t>
  </si>
  <si>
    <t>班次管理费</t>
  </si>
  <si>
    <t>现金流入合计</t>
  </si>
  <si>
    <t>计划生产量</t>
  </si>
  <si>
    <t>研发</t>
  </si>
  <si>
    <t>人工费用</t>
  </si>
  <si>
    <t>现金费用支出</t>
  </si>
  <si>
    <t>原材料耗用</t>
  </si>
  <si>
    <t>购料支出</t>
  </si>
  <si>
    <t>最大生产量</t>
  </si>
  <si>
    <t>市场总量</t>
  </si>
  <si>
    <t>原材料订购成本</t>
  </si>
  <si>
    <t>生产线投资支出</t>
  </si>
  <si>
    <t>原材料非正常采购费用</t>
  </si>
  <si>
    <t>还款</t>
  </si>
  <si>
    <t>投放量</t>
  </si>
  <si>
    <t>生产线维护费用</t>
  </si>
  <si>
    <t>现金流出合计</t>
  </si>
  <si>
    <t>市场量</t>
  </si>
  <si>
    <t>生产线订购成本</t>
  </si>
  <si>
    <t>本季现金流量</t>
  </si>
  <si>
    <t>生产线折旧</t>
  </si>
  <si>
    <t>季末现金余额</t>
  </si>
  <si>
    <t>可借额度</t>
  </si>
  <si>
    <t>产成品存货价值修正</t>
  </si>
  <si>
    <t>营销费用</t>
  </si>
  <si>
    <t>资产负债表</t>
  </si>
  <si>
    <t>正采</t>
  </si>
  <si>
    <t>紧采</t>
  </si>
  <si>
    <t>原材料单价</t>
  </si>
  <si>
    <t>生产线</t>
  </si>
  <si>
    <t>单位原材料成本</t>
  </si>
  <si>
    <t>原材料库存</t>
  </si>
  <si>
    <t>运输费用</t>
  </si>
  <si>
    <t>现金</t>
  </si>
  <si>
    <t>紧急调拨费用</t>
  </si>
  <si>
    <t>原材料存货价值</t>
  </si>
  <si>
    <t>招聘费</t>
  </si>
  <si>
    <t>产成品存货价值</t>
  </si>
  <si>
    <t>招聘</t>
  </si>
  <si>
    <t>解雇</t>
  </si>
  <si>
    <t>培训费</t>
  </si>
  <si>
    <t>生产设备价值</t>
  </si>
  <si>
    <t>员工工资</t>
  </si>
  <si>
    <t>资产合计</t>
  </si>
  <si>
    <t>一次性生活安置费</t>
  </si>
  <si>
    <t>负债</t>
  </si>
  <si>
    <t>原材料仓储费用</t>
  </si>
  <si>
    <t>正常负债</t>
  </si>
  <si>
    <t>产成品仓储费用</t>
  </si>
  <si>
    <t>非正常负债</t>
  </si>
  <si>
    <t>技术人员</t>
  </si>
  <si>
    <t>银行利息</t>
  </si>
  <si>
    <t>负债合计</t>
  </si>
  <si>
    <t>所有者权益</t>
  </si>
  <si>
    <t>市场需求量</t>
  </si>
  <si>
    <t>市场销售量</t>
  </si>
  <si>
    <t>市场销售额</t>
  </si>
  <si>
    <t>市场占有率</t>
  </si>
  <si>
    <t>库存</t>
  </si>
  <si>
    <t>市场人员</t>
  </si>
  <si>
    <t>公司所得税</t>
  </si>
  <si>
    <t>费用合计</t>
  </si>
  <si>
    <t>净利润</t>
  </si>
  <si>
    <t>市场需求总量</t>
  </si>
  <si>
    <t>市场销售总量</t>
  </si>
  <si>
    <t>总销售额</t>
  </si>
  <si>
    <t>总占有率</t>
  </si>
  <si>
    <t>总库存</t>
  </si>
  <si>
    <t>总员工人数</t>
  </si>
  <si>
    <t>下季产能</t>
  </si>
  <si>
    <t>下季实际产能</t>
  </si>
  <si>
    <t>本机生产量</t>
  </si>
  <si>
    <t>生产线数量</t>
  </si>
  <si>
    <t>员工总数</t>
  </si>
  <si>
    <t>技术工人</t>
  </si>
  <si>
    <t>客服</t>
  </si>
  <si>
    <t>工人</t>
  </si>
  <si>
    <t>所需现金</t>
  </si>
  <si>
    <t>原材料双季采购</t>
  </si>
  <si>
    <t>市场情况</t>
  </si>
  <si>
    <t>市场占有率(%)</t>
  </si>
  <si>
    <t>产成品库存</t>
  </si>
  <si>
    <t>东部市场</t>
  </si>
  <si>
    <t>西部市场</t>
  </si>
  <si>
    <t>南部市场</t>
  </si>
  <si>
    <t>北部市场</t>
  </si>
  <si>
    <t>市场合计</t>
  </si>
  <si>
    <t>市场销售总额</t>
  </si>
  <si>
    <t>总市场占有率（%）</t>
  </si>
  <si>
    <t>产成品总库存</t>
  </si>
  <si>
    <t>市场人员总数</t>
  </si>
  <si>
    <t>本季生产量</t>
  </si>
  <si>
    <t>技术工人数量</t>
  </si>
  <si>
    <t>双季原材料采购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</si>
</sst>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0"/>
      <color rgb="FF4F4F4F"/>
      <name val="Tahoma"/>
      <charset val="134"/>
    </font>
    <font>
      <b/>
      <sz val="10"/>
      <color rgb="FF4F4F4F"/>
      <name val="Tahoma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6" borderId="1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18" applyNumberFormat="0" applyAlignment="0" applyProtection="0">
      <alignment vertical="center"/>
    </xf>
    <xf numFmtId="0" fontId="13" fillId="8" borderId="19" applyNumberFormat="0" applyAlignment="0" applyProtection="0">
      <alignment vertical="center"/>
    </xf>
    <xf numFmtId="0" fontId="14" fillId="8" borderId="18" applyNumberFormat="0" applyAlignment="0" applyProtection="0">
      <alignment vertical="center"/>
    </xf>
    <xf numFmtId="0" fontId="15" fillId="9" borderId="20" applyNumberFormat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3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2" fillId="4" borderId="2" xfId="0" applyFont="1" applyFill="1" applyBorder="1" applyAlignment="1">
      <alignment horizontal="center" vertical="center" wrapText="1"/>
    </xf>
    <xf numFmtId="3" fontId="1" fillId="4" borderId="2" xfId="0" applyNumberFormat="1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5" xfId="0" applyBorder="1">
      <alignment vertical="center"/>
    </xf>
    <xf numFmtId="0" fontId="0" fillId="5" borderId="5" xfId="0" applyFill="1" applyBorder="1">
      <alignment vertical="center"/>
    </xf>
    <xf numFmtId="0" fontId="0" fillId="5" borderId="6" xfId="0" applyFill="1" applyBorder="1">
      <alignment vertical="center"/>
    </xf>
    <xf numFmtId="0" fontId="0" fillId="0" borderId="13" xfId="0" applyBorder="1">
      <alignment vertical="center"/>
    </xf>
    <xf numFmtId="0" fontId="0" fillId="0" borderId="5" xfId="0" applyFill="1" applyBorder="1">
      <alignment vertical="center"/>
    </xf>
    <xf numFmtId="0" fontId="0" fillId="0" borderId="14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www.wps.cn/officeDocument/2023/relationships/customStorage" Target="customStorage/customStorage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8</xdr:col>
      <xdr:colOff>30979</xdr:colOff>
      <xdr:row>15</xdr:row>
      <xdr:rowOff>22859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7220" y="175260"/>
          <a:ext cx="4351020" cy="2475865"/>
        </a:xfrm>
        <a:prstGeom prst="rect">
          <a:avLst/>
        </a:prstGeom>
      </xdr:spPr>
    </xdr:pic>
    <xdr:clientData/>
  </xdr:twoCellAnchor>
  <xdr:twoCellAnchor editAs="oneCell">
    <xdr:from>
      <xdr:col>8</xdr:col>
      <xdr:colOff>533400</xdr:colOff>
      <xdr:row>1</xdr:row>
      <xdr:rowOff>7108</xdr:rowOff>
    </xdr:from>
    <xdr:to>
      <xdr:col>15</xdr:col>
      <xdr:colOff>451839</xdr:colOff>
      <xdr:row>15</xdr:row>
      <xdr:rowOff>7620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471160" y="182245"/>
          <a:ext cx="4238625" cy="2454275"/>
        </a:xfrm>
        <a:prstGeom prst="rect">
          <a:avLst/>
        </a:prstGeom>
      </xdr:spPr>
    </xdr:pic>
    <xdr:clientData/>
  </xdr:twoCellAnchor>
  <xdr:twoCellAnchor editAs="oneCell">
    <xdr:from>
      <xdr:col>16</xdr:col>
      <xdr:colOff>206170</xdr:colOff>
      <xdr:row>1</xdr:row>
      <xdr:rowOff>38100</xdr:rowOff>
    </xdr:from>
    <xdr:to>
      <xdr:col>23</xdr:col>
      <xdr:colOff>93346</xdr:colOff>
      <xdr:row>14</xdr:row>
      <xdr:rowOff>146685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081260" y="213360"/>
          <a:ext cx="4208145" cy="23869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3"/>
  <sheetViews>
    <sheetView workbookViewId="0">
      <selection activeCell="I15" sqref="I15"/>
    </sheetView>
  </sheetViews>
  <sheetFormatPr defaultColWidth="9" defaultRowHeight="13.8" outlineLevelRow="2" outlineLevelCol="5"/>
  <cols>
    <col min="4" max="4" width="11.6666666666667" customWidth="1"/>
  </cols>
  <sheetData>
    <row r="2" spans="2:6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2:6">
      <c r="B3" s="4">
        <v>0.06</v>
      </c>
      <c r="C3" s="4">
        <v>0.08</v>
      </c>
      <c r="D3" s="4">
        <v>0.2</v>
      </c>
      <c r="E3" s="4">
        <v>0.06</v>
      </c>
      <c r="F3" s="4">
        <v>0.03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33"/>
  <sheetViews>
    <sheetView workbookViewId="0">
      <selection activeCell="G26" sqref="G26"/>
    </sheetView>
  </sheetViews>
  <sheetFormatPr defaultColWidth="9" defaultRowHeight="13.8"/>
  <cols>
    <col min="2" max="5" width="11.6666666666667" customWidth="1"/>
    <col min="6" max="6" width="16.1111111111111" customWidth="1"/>
    <col min="7" max="7" width="11.6666666666667" customWidth="1"/>
    <col min="8" max="8" width="13.8888888888889" customWidth="1"/>
    <col min="10" max="10" width="22.6666666666667" customWidth="1"/>
    <col min="13" max="13" width="16.1111111111111" customWidth="1"/>
    <col min="16" max="16" width="9.55555555555556" customWidth="1"/>
  </cols>
  <sheetData>
    <row r="1" ht="14.55"/>
    <row r="2" ht="14.55" spans="2:17">
      <c r="B2" s="3"/>
      <c r="C2" s="3" t="s">
        <v>5</v>
      </c>
      <c r="D2" s="3" t="s">
        <v>6</v>
      </c>
      <c r="E2" s="3" t="s">
        <v>7</v>
      </c>
      <c r="F2" s="3" t="s">
        <v>8</v>
      </c>
      <c r="J2" s="14" t="s">
        <v>9</v>
      </c>
      <c r="K2" s="15"/>
      <c r="M2" s="14" t="s">
        <v>10</v>
      </c>
      <c r="N2" s="15"/>
      <c r="P2" t="s">
        <v>91</v>
      </c>
      <c r="Q2" t="s">
        <v>92</v>
      </c>
    </row>
    <row r="3" ht="14.55" spans="2:17">
      <c r="B3" s="3" t="s">
        <v>11</v>
      </c>
      <c r="C3" s="4">
        <v>6.7</v>
      </c>
      <c r="D3" s="4"/>
      <c r="E3" s="4">
        <v>6.7</v>
      </c>
      <c r="F3" s="4">
        <v>6.7</v>
      </c>
      <c r="J3" s="16" t="s">
        <v>12</v>
      </c>
      <c r="K3" s="17">
        <f>C3*(C11-G26)+D3*(D11-G27)+E3*(E11-G28)+F3*(F11-G29)</f>
        <v>15760041.5</v>
      </c>
      <c r="M3" s="16" t="s">
        <v>12</v>
      </c>
      <c r="N3" s="18">
        <f>K3</f>
        <v>15760041.5</v>
      </c>
      <c r="P3">
        <f>SUM(C19:C22)</f>
        <v>0</v>
      </c>
      <c r="Q3">
        <f>C23</f>
        <v>0</v>
      </c>
    </row>
    <row r="4" spans="2:17">
      <c r="B4" s="3" t="s">
        <v>13</v>
      </c>
      <c r="C4" s="4"/>
      <c r="D4" s="4"/>
      <c r="E4" s="4"/>
      <c r="F4" s="4"/>
      <c r="J4" s="16" t="s">
        <v>14</v>
      </c>
      <c r="K4" s="18">
        <f>D7</f>
        <v>0</v>
      </c>
      <c r="M4" s="19" t="s">
        <v>15</v>
      </c>
      <c r="N4" s="20">
        <f>C13</f>
        <v>0</v>
      </c>
      <c r="P4">
        <f>第7季!P3+第7季!P4</f>
        <v>30</v>
      </c>
      <c r="Q4">
        <f>第7季!Q3+第7季!Q4</f>
        <v>57</v>
      </c>
    </row>
    <row r="5" ht="14.55" spans="10:17">
      <c r="J5" s="19" t="s">
        <v>16</v>
      </c>
      <c r="K5" s="20">
        <f>20000</f>
        <v>20000</v>
      </c>
      <c r="M5" s="21" t="s">
        <v>17</v>
      </c>
      <c r="N5" s="22">
        <f>SUM(N3:N4)</f>
        <v>15760041.5</v>
      </c>
      <c r="P5">
        <v>4500</v>
      </c>
      <c r="Q5">
        <v>3750</v>
      </c>
    </row>
    <row r="6" spans="2:17">
      <c r="B6" s="5" t="s">
        <v>18</v>
      </c>
      <c r="C6" s="5"/>
      <c r="D6" s="5" t="s">
        <v>19</v>
      </c>
      <c r="E6" s="5"/>
      <c r="F6" s="6"/>
      <c r="J6" s="19" t="s">
        <v>20</v>
      </c>
      <c r="K6" s="20">
        <f>1.45*B7</f>
        <v>3665470.95</v>
      </c>
      <c r="M6" s="16" t="s">
        <v>21</v>
      </c>
      <c r="N6" s="18">
        <f>K27-K7-K12-K13</f>
        <v>8139325.52229502</v>
      </c>
      <c r="P6">
        <v>9000</v>
      </c>
      <c r="Q6">
        <v>7500</v>
      </c>
    </row>
    <row r="7" spans="2:14">
      <c r="B7" s="7">
        <v>2527911</v>
      </c>
      <c r="C7" s="7"/>
      <c r="D7" s="7"/>
      <c r="E7" s="7"/>
      <c r="F7" s="6"/>
      <c r="J7" s="19" t="s">
        <v>22</v>
      </c>
      <c r="K7" s="20">
        <f>G16*F16</f>
        <v>4265849.8125</v>
      </c>
      <c r="M7" s="19" t="s">
        <v>23</v>
      </c>
      <c r="N7" s="20">
        <f>SUM(B16:C16)*D16</f>
        <v>0</v>
      </c>
    </row>
    <row r="8" spans="2:14">
      <c r="B8" s="3" t="s">
        <v>24</v>
      </c>
      <c r="C8" s="8">
        <f>第7季!H18*3</f>
        <v>2527911</v>
      </c>
      <c r="D8" s="3" t="s">
        <v>25</v>
      </c>
      <c r="E8" s="8">
        <f>B7+SUM(第7季!G26:G29)</f>
        <v>2773235</v>
      </c>
      <c r="F8" s="6"/>
      <c r="J8" s="19" t="s">
        <v>26</v>
      </c>
      <c r="K8" s="20"/>
      <c r="M8" s="19" t="s">
        <v>27</v>
      </c>
      <c r="N8" s="20">
        <f>500000*E16</f>
        <v>0</v>
      </c>
    </row>
    <row r="9" spans="2:14">
      <c r="B9" s="3"/>
      <c r="C9" s="3" t="s">
        <v>5</v>
      </c>
      <c r="D9" s="3" t="s">
        <v>6</v>
      </c>
      <c r="E9" s="3" t="s">
        <v>7</v>
      </c>
      <c r="F9" s="3" t="s">
        <v>8</v>
      </c>
      <c r="J9" s="19" t="s">
        <v>28</v>
      </c>
      <c r="K9" s="20">
        <f>C16</f>
        <v>0</v>
      </c>
      <c r="M9" s="19" t="s">
        <v>29</v>
      </c>
      <c r="N9" s="20">
        <f>E13</f>
        <v>8010932</v>
      </c>
    </row>
    <row r="10" ht="14.55" spans="2:14">
      <c r="B10" s="3" t="s">
        <v>30</v>
      </c>
      <c r="C10" s="3">
        <f>C11-第7季!G26</f>
        <v>1148200</v>
      </c>
      <c r="D10" s="3">
        <f>D11-第7季!G27</f>
        <v>0</v>
      </c>
      <c r="E10" s="3">
        <f>E11-第7季!G28</f>
        <v>687575</v>
      </c>
      <c r="F10" s="3">
        <f>F11-第7季!G29</f>
        <v>692136</v>
      </c>
      <c r="J10" s="19" t="s">
        <v>31</v>
      </c>
      <c r="K10" s="20">
        <f>第7季!E33*12000</f>
        <v>228000</v>
      </c>
      <c r="M10" s="21" t="s">
        <v>32</v>
      </c>
      <c r="N10" s="22">
        <f>SUM(N6:N9)</f>
        <v>16150257.522295</v>
      </c>
    </row>
    <row r="11" ht="14.55" spans="2:16">
      <c r="B11" s="3" t="s">
        <v>33</v>
      </c>
      <c r="C11" s="4">
        <v>1149050</v>
      </c>
      <c r="D11" s="4"/>
      <c r="E11" s="4">
        <v>770781</v>
      </c>
      <c r="F11" s="4">
        <v>853404</v>
      </c>
      <c r="G11">
        <f>E8-SUM(C11:F11)</f>
        <v>0</v>
      </c>
      <c r="J11" s="19" t="s">
        <v>34</v>
      </c>
      <c r="K11" s="20">
        <f>100000*E16</f>
        <v>0</v>
      </c>
      <c r="M11" s="23" t="s">
        <v>35</v>
      </c>
      <c r="N11" s="17">
        <f>N5-N10</f>
        <v>-390216.022295017</v>
      </c>
      <c r="O11" t="s">
        <v>93</v>
      </c>
      <c r="P11">
        <f>N3/2-第7季!N12</f>
        <v>-1054714.51445321</v>
      </c>
    </row>
    <row r="12" ht="14.55" spans="10:14">
      <c r="J12" s="19" t="s">
        <v>36</v>
      </c>
      <c r="K12" s="20">
        <f>第7季!N18*0.025</f>
        <v>210660.341951981</v>
      </c>
      <c r="M12" s="23" t="s">
        <v>37</v>
      </c>
      <c r="N12" s="17">
        <f>IF(第7季!N12+N11&gt;=N3/2,第7季!N12+N11,N3/2)</f>
        <v>8544519.24215819</v>
      </c>
    </row>
    <row r="13" ht="14.55" spans="2:11">
      <c r="B13" s="3" t="s">
        <v>15</v>
      </c>
      <c r="C13" s="4"/>
      <c r="D13" s="3" t="s">
        <v>29</v>
      </c>
      <c r="E13" s="4">
        <v>8010932</v>
      </c>
      <c r="F13" s="3" t="s">
        <v>38</v>
      </c>
      <c r="G13" s="8">
        <f>N11-P11</f>
        <v>664498.492158193</v>
      </c>
      <c r="J13" s="21" t="s">
        <v>39</v>
      </c>
      <c r="K13" s="22">
        <f>第7季!N17-N17</f>
        <v>-702664</v>
      </c>
    </row>
    <row r="14" ht="14.55" spans="10:14">
      <c r="J14" s="16" t="s">
        <v>40</v>
      </c>
      <c r="K14" s="18">
        <f>SUM(C4:F4)</f>
        <v>0</v>
      </c>
      <c r="M14" s="14" t="s">
        <v>41</v>
      </c>
      <c r="N14" s="15"/>
    </row>
    <row r="15" spans="2:14">
      <c r="B15" s="3" t="s">
        <v>42</v>
      </c>
      <c r="C15" s="3" t="s">
        <v>43</v>
      </c>
      <c r="D15" s="3" t="s">
        <v>44</v>
      </c>
      <c r="E15" s="3" t="s">
        <v>45</v>
      </c>
      <c r="F15" s="3" t="s">
        <v>46</v>
      </c>
      <c r="G15" s="3" t="s">
        <v>22</v>
      </c>
      <c r="H15" s="3" t="s">
        <v>47</v>
      </c>
      <c r="J15" s="19" t="s">
        <v>48</v>
      </c>
      <c r="K15" s="20">
        <f>0.5*C10+0.1*D10+0.4*(E10+F10)</f>
        <v>1125984.4</v>
      </c>
      <c r="M15" s="16" t="s">
        <v>49</v>
      </c>
      <c r="N15" s="18">
        <f>N12</f>
        <v>8544519.24215819</v>
      </c>
    </row>
    <row r="16" ht="14.55" spans="2:14">
      <c r="B16" s="4"/>
      <c r="C16" s="4"/>
      <c r="D16" s="4"/>
      <c r="E16" s="4"/>
      <c r="F16" s="3">
        <f>(第7季!N16+第7季!N7)/(第7季!H16+第7季!B16+第7季!C16)</f>
        <v>1.25</v>
      </c>
      <c r="G16" s="3">
        <f>B7*1.35</f>
        <v>3412679.85</v>
      </c>
      <c r="H16" s="3">
        <f>第7季!H16-G16</f>
        <v>2.39999999850988</v>
      </c>
      <c r="J16" s="21" t="s">
        <v>50</v>
      </c>
      <c r="K16" s="22"/>
      <c r="M16" s="19" t="s">
        <v>51</v>
      </c>
      <c r="N16" s="20"/>
    </row>
    <row r="17" spans="8:14">
      <c r="H17" s="3" t="s">
        <v>86</v>
      </c>
      <c r="J17" s="16" t="s">
        <v>52</v>
      </c>
      <c r="K17" s="18">
        <f>500*SUM(C19:C23)</f>
        <v>0</v>
      </c>
      <c r="M17" s="19" t="s">
        <v>53</v>
      </c>
      <c r="N17" s="20">
        <f>SUM(G26:G29)*4</f>
        <v>1683960</v>
      </c>
    </row>
    <row r="18" spans="2:14">
      <c r="B18" s="3"/>
      <c r="C18" s="3" t="s">
        <v>54</v>
      </c>
      <c r="D18" s="3" t="s">
        <v>55</v>
      </c>
      <c r="H18" s="3">
        <f>ROUNDDOWN(第7季!H18*0.975+50000*E16,0)</f>
        <v>821571</v>
      </c>
      <c r="J18" s="19" t="s">
        <v>56</v>
      </c>
      <c r="K18" s="20">
        <f>1000*SUM(C19:C23)</f>
        <v>0</v>
      </c>
      <c r="M18" s="19" t="s">
        <v>57</v>
      </c>
      <c r="N18" s="20">
        <f>第7季!N18*0.975+N8</f>
        <v>8215753.33612724</v>
      </c>
    </row>
    <row r="19" ht="14.55" spans="2:14">
      <c r="B19" s="3" t="s">
        <v>5</v>
      </c>
      <c r="C19" s="4"/>
      <c r="D19" s="3"/>
      <c r="J19" s="19" t="s">
        <v>58</v>
      </c>
      <c r="K19" s="20">
        <f>P3*P5+P4*P6+Q3*Q5+Q4*Q6</f>
        <v>697500</v>
      </c>
      <c r="M19" s="21" t="s">
        <v>59</v>
      </c>
      <c r="N19" s="22">
        <f>SUM(N15:N18)</f>
        <v>18444232.5782854</v>
      </c>
    </row>
    <row r="20" spans="2:14">
      <c r="B20" s="3" t="s">
        <v>6</v>
      </c>
      <c r="C20" s="4"/>
      <c r="D20" s="3"/>
      <c r="J20" s="19" t="s">
        <v>60</v>
      </c>
      <c r="K20" s="20">
        <f>6000*SUM(D19:D22)+5000*D23</f>
        <v>6000</v>
      </c>
      <c r="M20" s="16" t="s">
        <v>61</v>
      </c>
      <c r="N20" s="18"/>
    </row>
    <row r="21" spans="2:14">
      <c r="B21" s="3" t="s">
        <v>7</v>
      </c>
      <c r="C21" s="4"/>
      <c r="D21" s="3"/>
      <c r="J21" s="19" t="s">
        <v>62</v>
      </c>
      <c r="K21" s="20">
        <f>第7季!H16*0.1</f>
        <v>341268.225</v>
      </c>
      <c r="M21" s="19" t="s">
        <v>63</v>
      </c>
      <c r="N21" s="20">
        <f>N4+第7季!N23-N9</f>
        <v>0.369433961808681</v>
      </c>
    </row>
    <row r="22" ht="14.55" spans="2:14">
      <c r="B22" s="3" t="s">
        <v>8</v>
      </c>
      <c r="C22" s="4"/>
      <c r="D22" s="3">
        <v>1</v>
      </c>
      <c r="J22" s="21" t="s">
        <v>64</v>
      </c>
      <c r="K22" s="22">
        <f>SUM(G26:G29)*0.5</f>
        <v>210495</v>
      </c>
      <c r="M22" s="19" t="s">
        <v>65</v>
      </c>
      <c r="N22" s="20">
        <f>IF(第7季!N12+N11&gt;=N3/2,0,N3/2-N11-第7季!N12)</f>
        <v>0</v>
      </c>
    </row>
    <row r="23" ht="14.55" spans="2:14">
      <c r="B23" s="3" t="s">
        <v>66</v>
      </c>
      <c r="C23" s="8">
        <f>3*E16</f>
        <v>0</v>
      </c>
      <c r="D23" s="3"/>
      <c r="J23" s="23" t="s">
        <v>67</v>
      </c>
      <c r="K23" s="17">
        <f>N21*税率!E3/4+第7季!N22*税率!E3*3/4</f>
        <v>0.00554150942713022</v>
      </c>
      <c r="M23" s="21" t="s">
        <v>68</v>
      </c>
      <c r="N23" s="22">
        <f>SUM(N21:N22)</f>
        <v>0.369433961808681</v>
      </c>
    </row>
    <row r="24" ht="14.55" spans="10:14">
      <c r="J24" s="16" t="s">
        <v>0</v>
      </c>
      <c r="K24" s="18">
        <f>(K3/(税率!B3+1))*税率!B3</f>
        <v>892077.820754717</v>
      </c>
      <c r="M24" s="24" t="s">
        <v>69</v>
      </c>
      <c r="N24" s="25">
        <f>N19-N23</f>
        <v>18444232.2088515</v>
      </c>
    </row>
    <row r="25" ht="14.55" spans="2:11">
      <c r="B25" s="9" t="s">
        <v>95</v>
      </c>
      <c r="C25" s="9" t="s">
        <v>70</v>
      </c>
      <c r="D25" s="9" t="s">
        <v>71</v>
      </c>
      <c r="E25" s="9" t="s">
        <v>72</v>
      </c>
      <c r="F25" s="9" t="s">
        <v>96</v>
      </c>
      <c r="G25" s="9" t="s">
        <v>97</v>
      </c>
      <c r="H25" s="9" t="s">
        <v>75</v>
      </c>
      <c r="J25" s="19" t="s">
        <v>1</v>
      </c>
      <c r="K25" s="20">
        <f>K24*税率!C3</f>
        <v>71366.2256603774</v>
      </c>
    </row>
    <row r="26" ht="14.55" spans="2:13">
      <c r="B26" s="9" t="s">
        <v>98</v>
      </c>
      <c r="C26" s="10">
        <v>994057</v>
      </c>
      <c r="D26" s="10">
        <v>994057</v>
      </c>
      <c r="E26" s="10">
        <v>6660182</v>
      </c>
      <c r="F26" s="11">
        <v>14.92</v>
      </c>
      <c r="G26" s="10">
        <v>154993</v>
      </c>
      <c r="H26" s="11">
        <v>12</v>
      </c>
      <c r="J26" s="21" t="s">
        <v>76</v>
      </c>
      <c r="K26" s="22">
        <f>IF(M27&gt;=0,M27,0)</f>
        <v>881162.895338413</v>
      </c>
      <c r="M26" s="26" t="s">
        <v>2</v>
      </c>
    </row>
    <row r="27" ht="14.55" spans="2:13">
      <c r="B27" s="9" t="s">
        <v>99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J27" s="27" t="s">
        <v>77</v>
      </c>
      <c r="K27" s="17">
        <f>SUM(K4:K26)</f>
        <v>11913171.676747</v>
      </c>
      <c r="M27" s="28">
        <f>(K3/(1+税率!B3)-SUM(第7季!K4:K23)-第7季!K25)*税率!D3</f>
        <v>881162.895338413</v>
      </c>
    </row>
    <row r="28" ht="14.55" spans="2:11">
      <c r="B28" s="9" t="s">
        <v>100</v>
      </c>
      <c r="C28" s="10">
        <v>616799</v>
      </c>
      <c r="D28" s="10">
        <v>616799</v>
      </c>
      <c r="E28" s="10">
        <v>4132553</v>
      </c>
      <c r="F28" s="11">
        <v>7.73</v>
      </c>
      <c r="G28" s="10">
        <v>153982</v>
      </c>
      <c r="H28" s="11">
        <v>8</v>
      </c>
      <c r="J28" s="23" t="s">
        <v>78</v>
      </c>
      <c r="K28" s="17">
        <f>K3-K27</f>
        <v>3846869.823253</v>
      </c>
    </row>
    <row r="29" ht="14.55" spans="2:8">
      <c r="B29" s="9" t="s">
        <v>101</v>
      </c>
      <c r="C29" s="10">
        <v>741389</v>
      </c>
      <c r="D29" s="10">
        <v>741389</v>
      </c>
      <c r="E29" s="10">
        <v>4967306</v>
      </c>
      <c r="F29" s="11">
        <v>11.51</v>
      </c>
      <c r="G29" s="10">
        <v>112015</v>
      </c>
      <c r="H29" s="11">
        <v>9</v>
      </c>
    </row>
    <row r="30" ht="25.95" spans="2:8">
      <c r="B30" s="12" t="s">
        <v>102</v>
      </c>
      <c r="C30" s="9" t="s">
        <v>79</v>
      </c>
      <c r="D30" s="9" t="s">
        <v>80</v>
      </c>
      <c r="E30" s="9" t="s">
        <v>103</v>
      </c>
      <c r="F30" s="9" t="s">
        <v>104</v>
      </c>
      <c r="G30" s="9" t="s">
        <v>105</v>
      </c>
      <c r="H30" s="9" t="s">
        <v>106</v>
      </c>
    </row>
    <row r="31" ht="14.55" spans="2:8">
      <c r="B31" s="13"/>
      <c r="C31" s="10">
        <v>2352245</v>
      </c>
      <c r="D31" s="10">
        <v>2352245</v>
      </c>
      <c r="E31" s="10">
        <v>15760042</v>
      </c>
      <c r="F31" s="11">
        <v>8.42</v>
      </c>
      <c r="G31" s="10">
        <v>420990</v>
      </c>
      <c r="H31" s="11">
        <v>29</v>
      </c>
    </row>
    <row r="32" ht="24.75" spans="2:8">
      <c r="B32" s="9" t="s">
        <v>85</v>
      </c>
      <c r="C32" s="9" t="s">
        <v>86</v>
      </c>
      <c r="D32" s="9" t="s">
        <v>107</v>
      </c>
      <c r="E32" s="9" t="s">
        <v>88</v>
      </c>
      <c r="F32" s="9" t="s">
        <v>47</v>
      </c>
      <c r="G32" s="9" t="s">
        <v>89</v>
      </c>
      <c r="H32" s="9" t="s">
        <v>108</v>
      </c>
    </row>
    <row r="33" ht="14.55" spans="2:8">
      <c r="B33" s="10">
        <v>821571</v>
      </c>
      <c r="C33" s="10">
        <v>821571</v>
      </c>
      <c r="D33" s="10">
        <v>2527911</v>
      </c>
      <c r="E33" s="11">
        <v>19</v>
      </c>
      <c r="F33" s="11">
        <v>199</v>
      </c>
      <c r="G33" s="11">
        <v>86</v>
      </c>
      <c r="H33" s="11">
        <v>57</v>
      </c>
    </row>
  </sheetData>
  <mergeCells count="8">
    <mergeCell ref="J2:K2"/>
    <mergeCell ref="M2:N2"/>
    <mergeCell ref="B6:C6"/>
    <mergeCell ref="D6:E6"/>
    <mergeCell ref="B7:C7"/>
    <mergeCell ref="D7:E7"/>
    <mergeCell ref="M14:N14"/>
    <mergeCell ref="B30:B31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6:V26"/>
  <sheetViews>
    <sheetView workbookViewId="0">
      <selection activeCell="V26" sqref="V26"/>
    </sheetView>
  </sheetViews>
  <sheetFormatPr defaultColWidth="9" defaultRowHeight="13.8"/>
  <sheetData>
    <row r="16" spans="7:12">
      <c r="G16">
        <v>1323750</v>
      </c>
      <c r="L16">
        <v>1440654</v>
      </c>
    </row>
    <row r="17" spans="2:19">
      <c r="B17">
        <f>9*1.33</f>
        <v>11.97</v>
      </c>
      <c r="C17">
        <f>1/B17</f>
        <v>0.0835421888053467</v>
      </c>
      <c r="D17">
        <f>521*C17</f>
        <v>43.5254803675856</v>
      </c>
      <c r="F17" s="1">
        <v>446773</v>
      </c>
      <c r="H17">
        <f>521/448*F17</f>
        <v>519573.064732143</v>
      </c>
      <c r="I17">
        <f>H17/H20*G20</f>
        <v>499454.831863421</v>
      </c>
      <c r="K17" s="1">
        <v>571044</v>
      </c>
      <c r="M17">
        <f>640/521*K17</f>
        <v>701474.395393474</v>
      </c>
      <c r="N17">
        <f>M17/M20*L16</f>
        <v>554747.375592091</v>
      </c>
      <c r="P17">
        <f>640*0.85/8</f>
        <v>68</v>
      </c>
      <c r="S17">
        <v>1704636</v>
      </c>
    </row>
    <row r="18" spans="2:21">
      <c r="B18">
        <f>12*1.33</f>
        <v>15.96</v>
      </c>
      <c r="C18">
        <f>1/B18</f>
        <v>0.06265664160401</v>
      </c>
      <c r="D18">
        <f>501*C18</f>
        <v>31.390977443609</v>
      </c>
      <c r="F18" s="1">
        <v>324140</v>
      </c>
      <c r="G18" s="1">
        <v>25860</v>
      </c>
      <c r="H18">
        <f>501/448*F18</f>
        <v>362486.919642857</v>
      </c>
      <c r="I18">
        <f>H18/H20*G20</f>
        <v>348451.172302875</v>
      </c>
      <c r="K18" s="1">
        <v>388387</v>
      </c>
      <c r="M18">
        <f>600/501*K18</f>
        <v>465134.131736527</v>
      </c>
      <c r="N18">
        <f>M18/M20*L16</f>
        <v>367842.277029097</v>
      </c>
      <c r="P18">
        <f>600*0.85/11</f>
        <v>46.3636363636364</v>
      </c>
      <c r="R18" s="1">
        <v>532935</v>
      </c>
      <c r="S18" s="1">
        <v>21812</v>
      </c>
      <c r="T18">
        <f>780/640*R18</f>
        <v>649514.53125</v>
      </c>
      <c r="U18">
        <f>T18/T21*S21</f>
        <v>684283.001478905</v>
      </c>
    </row>
    <row r="19" spans="2:21">
      <c r="B19">
        <f>9*1.33</f>
        <v>11.97</v>
      </c>
      <c r="C19">
        <f>1/B19</f>
        <v>0.0835421888053467</v>
      </c>
      <c r="D19">
        <f>561*C19</f>
        <v>46.8671679197995</v>
      </c>
      <c r="F19" s="1">
        <v>416786</v>
      </c>
      <c r="H19">
        <f>561/448*F19</f>
        <v>521912.825892857</v>
      </c>
      <c r="I19">
        <f>H19/H20*G20</f>
        <v>501703.995833704</v>
      </c>
      <c r="K19" s="1">
        <v>525007</v>
      </c>
      <c r="M19">
        <f>700/561*K19</f>
        <v>655088.948306595</v>
      </c>
      <c r="N19">
        <f>M19/M20*L16</f>
        <v>518064.347378812</v>
      </c>
      <c r="P19">
        <f>700*0.8/9</f>
        <v>62.2222222222222</v>
      </c>
      <c r="R19" s="1">
        <v>315850</v>
      </c>
      <c r="S19" s="1">
        <v>51992</v>
      </c>
      <c r="T19">
        <f>720/600*R19</f>
        <v>379020</v>
      </c>
      <c r="U19">
        <f>T19/T21*S21</f>
        <v>399308.915724177</v>
      </c>
    </row>
    <row r="20" spans="4:21">
      <c r="D20">
        <f>SUM(D17:D19)</f>
        <v>121.783625730994</v>
      </c>
      <c r="G20">
        <f>SUM(G16:G19)</f>
        <v>1349610</v>
      </c>
      <c r="H20">
        <f>SUM(H17:H19)</f>
        <v>1403972.81026786</v>
      </c>
      <c r="M20">
        <f>SUM(M17:M19)</f>
        <v>1821697.4754366</v>
      </c>
      <c r="P20">
        <f>SUM(P17:P19)</f>
        <v>176.585858585859</v>
      </c>
      <c r="R20" s="1">
        <v>549619</v>
      </c>
      <c r="T20">
        <f>840/700*R20</f>
        <v>659542.8</v>
      </c>
      <c r="U20">
        <f>T20/T21*S21</f>
        <v>694848.082796918</v>
      </c>
    </row>
    <row r="21" spans="4:20">
      <c r="D21">
        <f>12.1/14*D20</f>
        <v>105.255847953216</v>
      </c>
      <c r="S21">
        <f>SUM(S17:S20)</f>
        <v>1778440</v>
      </c>
      <c r="T21">
        <f>SUM(T18:T20)</f>
        <v>1688077.33125</v>
      </c>
    </row>
    <row r="22" spans="5:20">
      <c r="E22">
        <v>2112018</v>
      </c>
      <c r="J22">
        <v>2659215</v>
      </c>
      <c r="O22">
        <v>2592732</v>
      </c>
      <c r="T22">
        <v>2527911</v>
      </c>
    </row>
    <row r="23" spans="2:22">
      <c r="B23">
        <f>742/8</f>
        <v>92.75</v>
      </c>
      <c r="D23" s="1">
        <v>811093</v>
      </c>
      <c r="F23">
        <f>850/780*D23</f>
        <v>883883.397435897</v>
      </c>
      <c r="G23">
        <f>F23/F26*E22</f>
        <v>831955.215718907</v>
      </c>
      <c r="I23" s="1">
        <v>976826</v>
      </c>
      <c r="K23">
        <f>803/850*I23</f>
        <v>922813.268235294</v>
      </c>
      <c r="L23">
        <f>K23/K26*J22</f>
        <v>1071828.06521138</v>
      </c>
      <c r="N23" s="1">
        <v>1035476</v>
      </c>
      <c r="O23" s="1">
        <v>36352</v>
      </c>
      <c r="P23">
        <f>782/850*N23</f>
        <v>952637.92</v>
      </c>
      <c r="Q23">
        <f>P23/P26*O26</f>
        <v>988359.501361633</v>
      </c>
      <c r="S23" s="1">
        <v>987509</v>
      </c>
      <c r="T23" s="2">
        <v>850</v>
      </c>
      <c r="U23">
        <f>742/782*S23</f>
        <v>936997.030690537</v>
      </c>
      <c r="V23">
        <f>U23/U26*T26</f>
        <v>1149049.93729201</v>
      </c>
    </row>
    <row r="24" spans="2:22">
      <c r="B24">
        <f>782/11</f>
        <v>71.0909090909091</v>
      </c>
      <c r="D24" s="1">
        <v>495535</v>
      </c>
      <c r="F24">
        <f>790/720*D24</f>
        <v>543712.013888889</v>
      </c>
      <c r="G24">
        <f>F24/F26*E22</f>
        <v>511768.913316078</v>
      </c>
      <c r="I24" s="1">
        <v>572997</v>
      </c>
      <c r="K24">
        <f>843/790*I24</f>
        <v>611438.570886076</v>
      </c>
      <c r="L24">
        <f>K24/K26*J22</f>
        <v>710172.949378674</v>
      </c>
      <c r="N24" s="1">
        <v>735324</v>
      </c>
      <c r="P24">
        <f>822/843*N24</f>
        <v>717006.320284697</v>
      </c>
      <c r="Q24">
        <f>P24/P26*O26</f>
        <v>743892.295605578</v>
      </c>
      <c r="S24" s="1">
        <v>660686</v>
      </c>
      <c r="T24" s="1">
        <v>83206</v>
      </c>
      <c r="U24">
        <f>782/822*S24</f>
        <v>628535.829683698</v>
      </c>
      <c r="V24">
        <f>U24/U26*T26</f>
        <v>770780.51693673</v>
      </c>
    </row>
    <row r="25" spans="2:22">
      <c r="B25">
        <f>702/9</f>
        <v>78</v>
      </c>
      <c r="D25" s="1">
        <v>836157</v>
      </c>
      <c r="F25">
        <f>820/840*D25</f>
        <v>816248.5</v>
      </c>
      <c r="G25">
        <f>F25/F26*E22</f>
        <v>768293.870965015</v>
      </c>
      <c r="I25" s="1">
        <v>773677</v>
      </c>
      <c r="K25">
        <f>820/840*I25</f>
        <v>755256.119047619</v>
      </c>
      <c r="L25">
        <f>K25/K26*J22</f>
        <v>877213.985409949</v>
      </c>
      <c r="N25" s="1">
        <v>912183</v>
      </c>
      <c r="P25">
        <f>742/783*N25</f>
        <v>864418.62835249</v>
      </c>
      <c r="Q25">
        <f>P25/P26*O26</f>
        <v>896832.203032789</v>
      </c>
      <c r="S25" s="1">
        <v>735565</v>
      </c>
      <c r="T25" s="1">
        <v>161268</v>
      </c>
      <c r="U25">
        <f>702/742*S25</f>
        <v>695911.900269542</v>
      </c>
      <c r="V25">
        <f>U25/U26*T26</f>
        <v>853404.545771262</v>
      </c>
    </row>
    <row r="26" spans="2:21">
      <c r="B26">
        <f>SUM(B23:B25)</f>
        <v>241.840909090909</v>
      </c>
      <c r="F26">
        <f>SUM(F23:F25)</f>
        <v>2243843.91132479</v>
      </c>
      <c r="K26">
        <f>SUM(K23:K25)</f>
        <v>2289507.95816899</v>
      </c>
      <c r="O26">
        <f>SUM(O22:O25)</f>
        <v>2629084</v>
      </c>
      <c r="P26">
        <f>SUM(P23:P25)</f>
        <v>2534062.86863719</v>
      </c>
      <c r="T26">
        <f>SUM(T22:T25)</f>
        <v>2773235</v>
      </c>
      <c r="U26">
        <f>SUM(U23:U25)</f>
        <v>2261444.76064378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33"/>
  <sheetViews>
    <sheetView workbookViewId="0">
      <selection activeCell="C3" sqref="C3"/>
    </sheetView>
  </sheetViews>
  <sheetFormatPr defaultColWidth="9" defaultRowHeight="13.8"/>
  <cols>
    <col min="2" max="5" width="11.6666666666667" customWidth="1"/>
    <col min="6" max="6" width="16.1111111111111" customWidth="1"/>
    <col min="7" max="8" width="11.6666666666667" customWidth="1"/>
    <col min="10" max="10" width="22.6666666666667" customWidth="1"/>
    <col min="13" max="13" width="16.1111111111111" customWidth="1"/>
  </cols>
  <sheetData>
    <row r="1" ht="14.55"/>
    <row r="2" ht="14.55" spans="2:14">
      <c r="B2" s="3"/>
      <c r="C2" s="3" t="s">
        <v>5</v>
      </c>
      <c r="D2" s="3" t="s">
        <v>6</v>
      </c>
      <c r="E2" s="3" t="s">
        <v>7</v>
      </c>
      <c r="F2" s="3" t="s">
        <v>8</v>
      </c>
      <c r="J2" s="14" t="s">
        <v>9</v>
      </c>
      <c r="K2" s="15"/>
      <c r="M2" s="14" t="s">
        <v>10</v>
      </c>
      <c r="N2" s="15"/>
    </row>
    <row r="3" ht="14.55" spans="2:14">
      <c r="B3" s="3" t="s">
        <v>11</v>
      </c>
      <c r="C3" s="4"/>
      <c r="D3" s="4"/>
      <c r="E3" s="4"/>
      <c r="F3" s="4"/>
      <c r="J3" s="16" t="s">
        <v>12</v>
      </c>
      <c r="K3" s="17"/>
      <c r="M3" s="16" t="s">
        <v>12</v>
      </c>
      <c r="N3" s="18"/>
    </row>
    <row r="4" spans="2:14">
      <c r="B4" s="3" t="s">
        <v>13</v>
      </c>
      <c r="C4" s="4"/>
      <c r="D4" s="4"/>
      <c r="E4" s="4"/>
      <c r="F4" s="4"/>
      <c r="J4" s="16" t="s">
        <v>14</v>
      </c>
      <c r="K4" s="18">
        <f>D7</f>
        <v>2117750</v>
      </c>
      <c r="M4" s="19" t="s">
        <v>15</v>
      </c>
      <c r="N4" s="20">
        <f>C13</f>
        <v>0</v>
      </c>
    </row>
    <row r="5" ht="14.55" spans="10:14">
      <c r="J5" s="19" t="s">
        <v>16</v>
      </c>
      <c r="K5" s="20"/>
      <c r="M5" s="21" t="s">
        <v>17</v>
      </c>
      <c r="N5" s="22">
        <f>SUM(N3:N4)</f>
        <v>0</v>
      </c>
    </row>
    <row r="6" spans="2:14">
      <c r="B6" s="5" t="s">
        <v>18</v>
      </c>
      <c r="C6" s="5"/>
      <c r="D6" s="5" t="s">
        <v>19</v>
      </c>
      <c r="E6" s="5"/>
      <c r="F6" s="6"/>
      <c r="J6" s="19" t="s">
        <v>20</v>
      </c>
      <c r="K6" s="20"/>
      <c r="M6" s="16" t="s">
        <v>21</v>
      </c>
      <c r="N6" s="18">
        <f>K27</f>
        <v>3000000</v>
      </c>
    </row>
    <row r="7" spans="2:14">
      <c r="B7" s="7"/>
      <c r="C7" s="7"/>
      <c r="D7" s="7">
        <v>2117750</v>
      </c>
      <c r="E7" s="7"/>
      <c r="F7" s="6"/>
      <c r="J7" s="19" t="s">
        <v>22</v>
      </c>
      <c r="K7" s="20"/>
      <c r="M7" s="19" t="s">
        <v>23</v>
      </c>
      <c r="N7" s="20"/>
    </row>
    <row r="8" spans="2:14">
      <c r="B8" s="3" t="s">
        <v>24</v>
      </c>
      <c r="C8" s="8"/>
      <c r="D8" s="3" t="s">
        <v>25</v>
      </c>
      <c r="E8" s="8"/>
      <c r="F8" s="6"/>
      <c r="J8" s="19" t="s">
        <v>26</v>
      </c>
      <c r="K8" s="20"/>
      <c r="M8" s="19" t="s">
        <v>27</v>
      </c>
      <c r="N8" s="20">
        <f>500000*E16</f>
        <v>3500000</v>
      </c>
    </row>
    <row r="9" spans="2:14">
      <c r="B9" s="3"/>
      <c r="C9" s="3" t="s">
        <v>5</v>
      </c>
      <c r="D9" s="3" t="s">
        <v>6</v>
      </c>
      <c r="E9" s="3" t="s">
        <v>7</v>
      </c>
      <c r="F9" s="3" t="s">
        <v>8</v>
      </c>
      <c r="J9" s="19" t="s">
        <v>28</v>
      </c>
      <c r="K9" s="20"/>
      <c r="M9" s="19" t="s">
        <v>29</v>
      </c>
      <c r="N9" s="20">
        <f>E13</f>
        <v>0</v>
      </c>
    </row>
    <row r="10" ht="14.55" spans="2:14">
      <c r="B10" s="3" t="s">
        <v>30</v>
      </c>
      <c r="C10" s="3"/>
      <c r="D10" s="3"/>
      <c r="E10" s="3"/>
      <c r="F10" s="3"/>
      <c r="J10" s="19" t="s">
        <v>31</v>
      </c>
      <c r="K10" s="20"/>
      <c r="M10" s="21" t="s">
        <v>32</v>
      </c>
      <c r="N10" s="22">
        <f>SUM(N6:N9)</f>
        <v>6500000</v>
      </c>
    </row>
    <row r="11" ht="14.55" spans="2:14">
      <c r="B11" s="3" t="s">
        <v>33</v>
      </c>
      <c r="C11" s="4"/>
      <c r="D11" s="4"/>
      <c r="E11" s="4"/>
      <c r="F11" s="4"/>
      <c r="J11" s="19" t="s">
        <v>34</v>
      </c>
      <c r="K11" s="20">
        <f>100000*E16</f>
        <v>700000</v>
      </c>
      <c r="M11" s="23" t="s">
        <v>35</v>
      </c>
      <c r="N11" s="17">
        <f>N5-N10</f>
        <v>-6500000</v>
      </c>
    </row>
    <row r="12" ht="14.55" spans="10:14">
      <c r="J12" s="19" t="s">
        <v>36</v>
      </c>
      <c r="K12" s="20"/>
      <c r="M12" s="23" t="s">
        <v>37</v>
      </c>
      <c r="N12" s="17">
        <f>6500000+N11</f>
        <v>0</v>
      </c>
    </row>
    <row r="13" ht="14.55" spans="2:11">
      <c r="B13" s="3" t="s">
        <v>15</v>
      </c>
      <c r="C13" s="4"/>
      <c r="D13" s="3" t="s">
        <v>29</v>
      </c>
      <c r="E13" s="4"/>
      <c r="F13" s="3" t="s">
        <v>38</v>
      </c>
      <c r="G13" s="8"/>
      <c r="J13" s="21" t="s">
        <v>39</v>
      </c>
      <c r="K13" s="22"/>
    </row>
    <row r="14" ht="14.55" spans="10:14">
      <c r="J14" s="16" t="s">
        <v>40</v>
      </c>
      <c r="K14" s="18"/>
      <c r="M14" s="14" t="s">
        <v>41</v>
      </c>
      <c r="N14" s="15"/>
    </row>
    <row r="15" spans="2:14">
      <c r="B15" s="3" t="s">
        <v>42</v>
      </c>
      <c r="C15" s="3" t="s">
        <v>43</v>
      </c>
      <c r="D15" s="3" t="s">
        <v>44</v>
      </c>
      <c r="E15" s="3" t="s">
        <v>45</v>
      </c>
      <c r="F15" s="3" t="s">
        <v>46</v>
      </c>
      <c r="G15" s="3" t="s">
        <v>22</v>
      </c>
      <c r="H15" s="3" t="s">
        <v>47</v>
      </c>
      <c r="J15" s="19" t="s">
        <v>48</v>
      </c>
      <c r="K15" s="20"/>
      <c r="M15" s="16" t="s">
        <v>49</v>
      </c>
      <c r="N15" s="18">
        <f>N12</f>
        <v>0</v>
      </c>
    </row>
    <row r="16" ht="14.55" spans="2:14">
      <c r="B16" s="4"/>
      <c r="C16" s="4"/>
      <c r="D16" s="4"/>
      <c r="E16" s="4">
        <v>7</v>
      </c>
      <c r="F16" s="3"/>
      <c r="G16" s="3"/>
      <c r="H16" s="3"/>
      <c r="J16" s="21" t="s">
        <v>50</v>
      </c>
      <c r="K16" s="22"/>
      <c r="M16" s="19" t="s">
        <v>51</v>
      </c>
      <c r="N16" s="20"/>
    </row>
    <row r="17" spans="10:14">
      <c r="J17" s="16" t="s">
        <v>52</v>
      </c>
      <c r="K17" s="18">
        <f>500*SUM(C19:C23)</f>
        <v>16500</v>
      </c>
      <c r="M17" s="19" t="s">
        <v>53</v>
      </c>
      <c r="N17" s="20"/>
    </row>
    <row r="18" spans="2:14">
      <c r="B18" s="3"/>
      <c r="C18" s="3" t="s">
        <v>54</v>
      </c>
      <c r="D18" s="3" t="s">
        <v>55</v>
      </c>
      <c r="J18" s="19" t="s">
        <v>56</v>
      </c>
      <c r="K18" s="20">
        <f>1000*SUM(C19:C23)</f>
        <v>33000</v>
      </c>
      <c r="M18" s="19" t="s">
        <v>57</v>
      </c>
      <c r="N18" s="20">
        <f>N8</f>
        <v>3500000</v>
      </c>
    </row>
    <row r="19" ht="14.55" spans="2:14">
      <c r="B19" s="3" t="s">
        <v>5</v>
      </c>
      <c r="C19" s="4">
        <v>4</v>
      </c>
      <c r="D19" s="3"/>
      <c r="J19" s="19" t="s">
        <v>58</v>
      </c>
      <c r="K19" s="20">
        <f>4500*SUM(C19:C22)+3750*C23</f>
        <v>132750</v>
      </c>
      <c r="M19" s="21" t="s">
        <v>59</v>
      </c>
      <c r="N19" s="22">
        <f>SUM(N15:N18)</f>
        <v>3500000</v>
      </c>
    </row>
    <row r="20" spans="2:14">
      <c r="B20" s="3" t="s">
        <v>6</v>
      </c>
      <c r="C20" s="4"/>
      <c r="D20" s="3"/>
      <c r="J20" s="19" t="s">
        <v>60</v>
      </c>
      <c r="K20" s="20"/>
      <c r="M20" s="16" t="s">
        <v>61</v>
      </c>
      <c r="N20" s="18"/>
    </row>
    <row r="21" spans="2:14">
      <c r="B21" s="3" t="s">
        <v>7</v>
      </c>
      <c r="C21" s="4">
        <v>4</v>
      </c>
      <c r="D21" s="3"/>
      <c r="J21" s="19" t="s">
        <v>62</v>
      </c>
      <c r="K21" s="20"/>
      <c r="M21" s="19" t="s">
        <v>63</v>
      </c>
      <c r="N21" s="20"/>
    </row>
    <row r="22" ht="14.55" spans="2:14">
      <c r="B22" s="3" t="s">
        <v>8</v>
      </c>
      <c r="C22" s="4">
        <v>4</v>
      </c>
      <c r="D22" s="3"/>
      <c r="J22" s="21" t="s">
        <v>64</v>
      </c>
      <c r="K22" s="22"/>
      <c r="M22" s="19" t="s">
        <v>65</v>
      </c>
      <c r="N22" s="20"/>
    </row>
    <row r="23" ht="14.55" spans="2:14">
      <c r="B23" s="3" t="s">
        <v>66</v>
      </c>
      <c r="C23" s="8">
        <f>3*E16</f>
        <v>21</v>
      </c>
      <c r="D23" s="3"/>
      <c r="J23" s="23" t="s">
        <v>67</v>
      </c>
      <c r="K23" s="17"/>
      <c r="M23" s="21" t="s">
        <v>68</v>
      </c>
      <c r="N23" s="22">
        <f>SUM(N21:N22)</f>
        <v>0</v>
      </c>
    </row>
    <row r="24" ht="14.55" spans="10:14">
      <c r="J24" s="16" t="s">
        <v>0</v>
      </c>
      <c r="K24" s="18"/>
      <c r="M24" s="24" t="s">
        <v>69</v>
      </c>
      <c r="N24" s="25">
        <f>N19-N23</f>
        <v>3500000</v>
      </c>
    </row>
    <row r="25" spans="2:11">
      <c r="B25" s="3"/>
      <c r="C25" s="3" t="s">
        <v>70</v>
      </c>
      <c r="D25" s="3" t="s">
        <v>71</v>
      </c>
      <c r="E25" s="3" t="s">
        <v>72</v>
      </c>
      <c r="F25" s="3" t="s">
        <v>73</v>
      </c>
      <c r="G25" s="3" t="s">
        <v>74</v>
      </c>
      <c r="H25" s="3" t="s">
        <v>75</v>
      </c>
      <c r="J25" s="19" t="s">
        <v>1</v>
      </c>
      <c r="K25" s="20"/>
    </row>
    <row r="26" ht="14.55" spans="2:11">
      <c r="B26" s="3" t="s">
        <v>5</v>
      </c>
      <c r="C26" s="3"/>
      <c r="D26" s="3"/>
      <c r="E26" s="3"/>
      <c r="F26" s="3"/>
      <c r="G26" s="4"/>
      <c r="H26" s="3"/>
      <c r="J26" s="21" t="s">
        <v>76</v>
      </c>
      <c r="K26" s="22"/>
    </row>
    <row r="27" ht="14.55" spans="2:11">
      <c r="B27" s="3" t="s">
        <v>6</v>
      </c>
      <c r="C27" s="3"/>
      <c r="D27" s="3"/>
      <c r="E27" s="3"/>
      <c r="F27" s="3"/>
      <c r="G27" s="4"/>
      <c r="H27" s="3"/>
      <c r="J27" s="27" t="s">
        <v>77</v>
      </c>
      <c r="K27" s="17">
        <f>SUM(K4:K26)</f>
        <v>3000000</v>
      </c>
    </row>
    <row r="28" ht="14.55" spans="2:11">
      <c r="B28" s="3" t="s">
        <v>7</v>
      </c>
      <c r="C28" s="3"/>
      <c r="D28" s="3"/>
      <c r="E28" s="3"/>
      <c r="F28" s="3"/>
      <c r="G28" s="4"/>
      <c r="H28" s="3"/>
      <c r="J28" s="23" t="s">
        <v>78</v>
      </c>
      <c r="K28" s="17">
        <f>6500000-K27</f>
        <v>3500000</v>
      </c>
    </row>
    <row r="29" spans="2:8">
      <c r="B29" s="3" t="s">
        <v>8</v>
      </c>
      <c r="C29" s="3"/>
      <c r="D29" s="3"/>
      <c r="E29" s="3"/>
      <c r="F29" s="3"/>
      <c r="G29" s="4"/>
      <c r="H29" s="3"/>
    </row>
    <row r="30" spans="2:8">
      <c r="B30" s="3"/>
      <c r="C30" s="3" t="s">
        <v>79</v>
      </c>
      <c r="D30" s="3" t="s">
        <v>80</v>
      </c>
      <c r="E30" s="3" t="s">
        <v>81</v>
      </c>
      <c r="F30" s="3" t="s">
        <v>82</v>
      </c>
      <c r="G30" s="3" t="s">
        <v>83</v>
      </c>
      <c r="H30" s="3" t="s">
        <v>84</v>
      </c>
    </row>
    <row r="31" spans="2:8">
      <c r="B31" s="3"/>
      <c r="C31" s="3"/>
      <c r="D31" s="3"/>
      <c r="E31" s="3"/>
      <c r="F31" s="3"/>
      <c r="G31" s="3"/>
      <c r="H31" s="3"/>
    </row>
    <row r="32" spans="2:8">
      <c r="B32" s="3" t="s">
        <v>85</v>
      </c>
      <c r="C32" s="3" t="s">
        <v>86</v>
      </c>
      <c r="D32" s="3" t="s">
        <v>87</v>
      </c>
      <c r="E32" s="3" t="s">
        <v>88</v>
      </c>
      <c r="F32" s="3" t="s">
        <v>47</v>
      </c>
      <c r="G32" s="3" t="s">
        <v>89</v>
      </c>
      <c r="H32" s="3" t="s">
        <v>90</v>
      </c>
    </row>
    <row r="33" spans="2:8">
      <c r="B33" s="3"/>
      <c r="C33" s="3"/>
      <c r="D33" s="3"/>
      <c r="E33" s="3"/>
      <c r="F33" s="3"/>
      <c r="G33" s="3"/>
      <c r="H33" s="3"/>
    </row>
  </sheetData>
  <mergeCells count="7">
    <mergeCell ref="J2:K2"/>
    <mergeCell ref="M2:N2"/>
    <mergeCell ref="B6:C6"/>
    <mergeCell ref="D6:E6"/>
    <mergeCell ref="B7:C7"/>
    <mergeCell ref="D7:E7"/>
    <mergeCell ref="M14:N14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33"/>
  <sheetViews>
    <sheetView tabSelected="1" topLeftCell="A10" workbookViewId="0">
      <selection activeCell="K12" sqref="K12"/>
    </sheetView>
  </sheetViews>
  <sheetFormatPr defaultColWidth="9" defaultRowHeight="13.8"/>
  <cols>
    <col min="2" max="5" width="11.6666666666667" customWidth="1"/>
    <col min="6" max="6" width="16.1111111111111" customWidth="1"/>
    <col min="7" max="7" width="11.6666666666667" customWidth="1"/>
    <col min="8" max="8" width="13.8888888888889" customWidth="1"/>
    <col min="10" max="10" width="22.6666666666667" customWidth="1"/>
    <col min="13" max="13" width="16.1111111111111" customWidth="1"/>
    <col min="14" max="14" width="11.6666666666667" customWidth="1"/>
    <col min="16" max="16" width="9.55555555555556" customWidth="1"/>
  </cols>
  <sheetData>
    <row r="1" ht="14.55"/>
    <row r="2" ht="14.55" spans="2:17">
      <c r="B2" s="3"/>
      <c r="C2" s="3" t="s">
        <v>5</v>
      </c>
      <c r="D2" s="3" t="s">
        <v>6</v>
      </c>
      <c r="E2" s="3" t="s">
        <v>7</v>
      </c>
      <c r="F2" s="3" t="s">
        <v>8</v>
      </c>
      <c r="J2" s="14" t="s">
        <v>9</v>
      </c>
      <c r="K2" s="15"/>
      <c r="M2" s="14" t="s">
        <v>10</v>
      </c>
      <c r="N2" s="15"/>
      <c r="P2" t="s">
        <v>91</v>
      </c>
      <c r="Q2" t="s">
        <v>92</v>
      </c>
    </row>
    <row r="3" ht="14.55" spans="2:17">
      <c r="B3" s="3" t="s">
        <v>11</v>
      </c>
      <c r="C3" s="4">
        <v>7.8</v>
      </c>
      <c r="D3" s="4"/>
      <c r="E3" s="4">
        <v>7.8</v>
      </c>
      <c r="F3" s="4">
        <v>7.8</v>
      </c>
      <c r="J3" s="16" t="s">
        <v>12</v>
      </c>
      <c r="K3" s="17">
        <f>C3*(C11-G26)+D3*(D11-G27)+E3*(E11-G28)+F3*(F11-G29)</f>
        <v>7988292</v>
      </c>
      <c r="M3" s="16" t="s">
        <v>12</v>
      </c>
      <c r="N3" s="18">
        <f>K3</f>
        <v>7988292</v>
      </c>
      <c r="P3">
        <f>SUM(C19:C22)</f>
        <v>6</v>
      </c>
      <c r="Q3">
        <f>C23</f>
        <v>6</v>
      </c>
    </row>
    <row r="4" spans="2:17">
      <c r="B4" s="3" t="s">
        <v>13</v>
      </c>
      <c r="C4" s="4">
        <v>800000</v>
      </c>
      <c r="D4" s="4"/>
      <c r="E4" s="4">
        <v>800000</v>
      </c>
      <c r="F4" s="4">
        <v>800000</v>
      </c>
      <c r="J4" s="16" t="s">
        <v>14</v>
      </c>
      <c r="K4" s="18">
        <f>D7</f>
        <v>800000</v>
      </c>
      <c r="M4" s="19" t="s">
        <v>15</v>
      </c>
      <c r="N4" s="20">
        <f>C13</f>
        <v>10500000</v>
      </c>
      <c r="P4">
        <f>SUM(第0季!C19:C22)</f>
        <v>12</v>
      </c>
      <c r="Q4">
        <f>第0季!C23</f>
        <v>21</v>
      </c>
    </row>
    <row r="5" ht="14.55" spans="10:17">
      <c r="J5" s="19" t="s">
        <v>16</v>
      </c>
      <c r="K5" s="20">
        <f>20000</f>
        <v>20000</v>
      </c>
      <c r="M5" s="21" t="s">
        <v>17</v>
      </c>
      <c r="N5" s="22">
        <f>SUM(N3:N4)</f>
        <v>18488292</v>
      </c>
      <c r="P5">
        <v>4500</v>
      </c>
      <c r="Q5">
        <v>3750</v>
      </c>
    </row>
    <row r="6" spans="2:17">
      <c r="B6" s="5" t="s">
        <v>18</v>
      </c>
      <c r="C6" s="5"/>
      <c r="D6" s="5" t="s">
        <v>19</v>
      </c>
      <c r="E6" s="5"/>
      <c r="F6" s="6"/>
      <c r="J6" s="19" t="s">
        <v>20</v>
      </c>
      <c r="K6" s="20">
        <f>1.4*B7</f>
        <v>1470000</v>
      </c>
      <c r="M6" s="16" t="s">
        <v>21</v>
      </c>
      <c r="N6" s="18">
        <f>K27-K13-K12-K7</f>
        <v>8038270.86943396</v>
      </c>
      <c r="P6">
        <v>9000</v>
      </c>
      <c r="Q6">
        <v>7500</v>
      </c>
    </row>
    <row r="7" spans="2:14">
      <c r="B7" s="7">
        <v>1050000</v>
      </c>
      <c r="C7" s="7"/>
      <c r="D7" s="7">
        <v>800000</v>
      </c>
      <c r="E7" s="7"/>
      <c r="F7" s="6"/>
      <c r="J7" s="19" t="s">
        <v>22</v>
      </c>
      <c r="K7" s="20">
        <f>G16*F16</f>
        <v>1771875</v>
      </c>
      <c r="M7" s="19" t="s">
        <v>23</v>
      </c>
      <c r="N7" s="20">
        <f>SUM(B16:C16)*D16</f>
        <v>6436807.5</v>
      </c>
    </row>
    <row r="8" spans="2:14">
      <c r="B8" s="3" t="s">
        <v>24</v>
      </c>
      <c r="C8" s="8">
        <v>1050000</v>
      </c>
      <c r="D8" s="3" t="s">
        <v>25</v>
      </c>
      <c r="E8" s="8">
        <v>1050000</v>
      </c>
      <c r="F8" s="6"/>
      <c r="J8" s="19" t="s">
        <v>26</v>
      </c>
      <c r="K8" s="20">
        <f>200000</f>
        <v>200000</v>
      </c>
      <c r="M8" s="19" t="s">
        <v>27</v>
      </c>
      <c r="N8" s="20">
        <f>500000*E16</f>
        <v>1000000</v>
      </c>
    </row>
    <row r="9" spans="2:14">
      <c r="B9" s="3"/>
      <c r="C9" s="3" t="s">
        <v>5</v>
      </c>
      <c r="D9" s="3" t="s">
        <v>6</v>
      </c>
      <c r="E9" s="3" t="s">
        <v>7</v>
      </c>
      <c r="F9" s="3" t="s">
        <v>8</v>
      </c>
      <c r="J9" s="19" t="s">
        <v>28</v>
      </c>
      <c r="K9" s="20">
        <f>C16</f>
        <v>1417500</v>
      </c>
      <c r="M9" s="19" t="s">
        <v>29</v>
      </c>
      <c r="N9" s="20">
        <f>E13</f>
        <v>0</v>
      </c>
    </row>
    <row r="10" ht="14.55" spans="2:14">
      <c r="B10" s="3" t="s">
        <v>30</v>
      </c>
      <c r="C10" s="3">
        <f>C11</f>
        <v>350000</v>
      </c>
      <c r="D10" s="3">
        <f>D11</f>
        <v>0</v>
      </c>
      <c r="E10" s="3">
        <f>E11</f>
        <v>350000</v>
      </c>
      <c r="F10" s="3">
        <f>F11</f>
        <v>350000</v>
      </c>
      <c r="J10" s="19" t="s">
        <v>31</v>
      </c>
      <c r="K10" s="20">
        <f>第0季!E16*12000</f>
        <v>84000</v>
      </c>
      <c r="M10" s="21" t="s">
        <v>32</v>
      </c>
      <c r="N10" s="22">
        <f>SUM(N6:N9)</f>
        <v>15475078.369434</v>
      </c>
    </row>
    <row r="11" ht="14.55" spans="2:16">
      <c r="B11" s="3" t="s">
        <v>33</v>
      </c>
      <c r="C11" s="4">
        <v>350000</v>
      </c>
      <c r="D11" s="4"/>
      <c r="E11" s="4">
        <v>350000</v>
      </c>
      <c r="F11" s="4">
        <v>350000</v>
      </c>
      <c r="G11">
        <f>E8-SUM(C11:F11)</f>
        <v>0</v>
      </c>
      <c r="J11" s="19" t="s">
        <v>34</v>
      </c>
      <c r="K11" s="20">
        <f>100000*E16</f>
        <v>200000</v>
      </c>
      <c r="M11" s="23" t="s">
        <v>35</v>
      </c>
      <c r="N11" s="17">
        <f>N5-N10</f>
        <v>3013213.63056604</v>
      </c>
      <c r="O11" t="s">
        <v>93</v>
      </c>
      <c r="P11">
        <f>N3/2-第0季!N12</f>
        <v>3994146</v>
      </c>
    </row>
    <row r="12" ht="14.55" spans="10:14">
      <c r="J12" s="19" t="s">
        <v>36</v>
      </c>
      <c r="K12" s="20">
        <f>3500000*0.025</f>
        <v>87500</v>
      </c>
      <c r="M12" s="23" t="s">
        <v>37</v>
      </c>
      <c r="N12" s="17">
        <f>IF(第0季!N12+N11&gt;=N3/2,第0季!N12+N11,N3/2)</f>
        <v>3994146</v>
      </c>
    </row>
    <row r="13" ht="14.55" spans="2:11">
      <c r="B13" s="3" t="s">
        <v>15</v>
      </c>
      <c r="C13" s="4">
        <v>10500000</v>
      </c>
      <c r="D13" s="3" t="s">
        <v>29</v>
      </c>
      <c r="E13" s="4"/>
      <c r="F13" s="3" t="s">
        <v>38</v>
      </c>
      <c r="G13" s="8">
        <f>N11-P11</f>
        <v>-980932.369433962</v>
      </c>
      <c r="J13" s="21" t="s">
        <v>39</v>
      </c>
      <c r="K13" s="22">
        <f>SUM(G26:G29)*(-4)</f>
        <v>-103440</v>
      </c>
    </row>
    <row r="14" ht="14.55" spans="10:14">
      <c r="J14" s="16" t="s">
        <v>40</v>
      </c>
      <c r="K14" s="18">
        <f>SUM(C4:F4)</f>
        <v>2400000</v>
      </c>
      <c r="M14" s="14" t="s">
        <v>41</v>
      </c>
      <c r="N14" s="15"/>
    </row>
    <row r="15" spans="2:14">
      <c r="B15" s="3" t="s">
        <v>42</v>
      </c>
      <c r="C15" s="3" t="s">
        <v>43</v>
      </c>
      <c r="D15" s="3" t="s">
        <v>44</v>
      </c>
      <c r="E15" s="3" t="s">
        <v>45</v>
      </c>
      <c r="F15" s="3" t="s">
        <v>46</v>
      </c>
      <c r="G15" s="3" t="s">
        <v>22</v>
      </c>
      <c r="H15" s="3" t="s">
        <v>47</v>
      </c>
      <c r="J15" s="19" t="s">
        <v>48</v>
      </c>
      <c r="K15" s="20">
        <f>0.5*C10+0.1*D10+0.4*(E10+F10)</f>
        <v>455000</v>
      </c>
      <c r="M15" s="16" t="s">
        <v>49</v>
      </c>
      <c r="N15" s="18">
        <f>N12</f>
        <v>3994146</v>
      </c>
    </row>
    <row r="16" ht="14.55" spans="2:14">
      <c r="B16" s="4">
        <v>3731946</v>
      </c>
      <c r="C16" s="4">
        <v>1417500</v>
      </c>
      <c r="D16" s="4">
        <v>1.25</v>
      </c>
      <c r="E16" s="4">
        <v>2</v>
      </c>
      <c r="F16" s="3">
        <f>(第0季!N16+第1季!N7)/(第0季!H16+第1季!B16+第1季!C16)</f>
        <v>1.25</v>
      </c>
      <c r="G16" s="3">
        <f>B7*1.35</f>
        <v>1417500</v>
      </c>
      <c r="H16" s="3">
        <f>B16+C16-G16</f>
        <v>3731946</v>
      </c>
      <c r="J16" s="21" t="s">
        <v>50</v>
      </c>
      <c r="K16" s="22"/>
      <c r="M16" s="19" t="s">
        <v>51</v>
      </c>
      <c r="N16" s="20">
        <f>F16*H16</f>
        <v>4664932.5</v>
      </c>
    </row>
    <row r="17" ht="14.55" spans="8:14">
      <c r="H17" s="3" t="s">
        <v>86</v>
      </c>
      <c r="J17" s="16" t="s">
        <v>52</v>
      </c>
      <c r="K17" s="18">
        <f>500*SUM(C19:C23)</f>
        <v>6000</v>
      </c>
      <c r="M17" s="19" t="s">
        <v>53</v>
      </c>
      <c r="N17" s="20">
        <f>SUM(G26:G29)*4</f>
        <v>103440</v>
      </c>
    </row>
    <row r="18" spans="2:14">
      <c r="B18" s="3"/>
      <c r="C18" s="3" t="s">
        <v>54</v>
      </c>
      <c r="D18" s="3" t="s">
        <v>55</v>
      </c>
      <c r="F18" s="26" t="s">
        <v>94</v>
      </c>
      <c r="H18" s="3">
        <f>ROUNDDOWN(350000*0.975+50000*E16,0)</f>
        <v>441250</v>
      </c>
      <c r="J18" s="19" t="s">
        <v>56</v>
      </c>
      <c r="K18" s="20">
        <f>1000*SUM(C19:C23)</f>
        <v>12000</v>
      </c>
      <c r="M18" s="19" t="s">
        <v>57</v>
      </c>
      <c r="N18" s="20">
        <f>第0季!N18*0.975+N8</f>
        <v>4412500</v>
      </c>
    </row>
    <row r="19" ht="14.55" spans="2:14">
      <c r="B19" s="3" t="s">
        <v>5</v>
      </c>
      <c r="C19" s="4">
        <v>2</v>
      </c>
      <c r="D19" s="3"/>
      <c r="F19" s="28">
        <f>ROUNDUP((第2季!C8+第3季!C8)*1.35,0)</f>
        <v>3731946</v>
      </c>
      <c r="J19" s="19" t="s">
        <v>58</v>
      </c>
      <c r="K19" s="20">
        <f>P3*P5+P4*P6+Q3*Q5+Q4*Q6</f>
        <v>315000</v>
      </c>
      <c r="M19" s="21" t="s">
        <v>59</v>
      </c>
      <c r="N19" s="22">
        <f>SUM(N15:N18)</f>
        <v>13175018.5</v>
      </c>
    </row>
    <row r="20" spans="2:14">
      <c r="B20" s="3" t="s">
        <v>6</v>
      </c>
      <c r="C20" s="4"/>
      <c r="D20" s="3"/>
      <c r="J20" s="19" t="s">
        <v>60</v>
      </c>
      <c r="K20" s="20">
        <f>6000*SUM(D19:D22)+5000*D23</f>
        <v>0</v>
      </c>
      <c r="M20" s="16" t="s">
        <v>61</v>
      </c>
      <c r="N20" s="18"/>
    </row>
    <row r="21" spans="2:14">
      <c r="B21" s="3" t="s">
        <v>7</v>
      </c>
      <c r="C21" s="4">
        <v>2</v>
      </c>
      <c r="D21" s="3"/>
      <c r="J21" s="19" t="s">
        <v>62</v>
      </c>
      <c r="K21" s="20"/>
      <c r="M21" s="19" t="s">
        <v>63</v>
      </c>
      <c r="N21" s="20">
        <f>C13</f>
        <v>10500000</v>
      </c>
    </row>
    <row r="22" ht="14.55" spans="2:14">
      <c r="B22" s="3" t="s">
        <v>8</v>
      </c>
      <c r="C22" s="4">
        <v>2</v>
      </c>
      <c r="D22" s="3"/>
      <c r="J22" s="21" t="s">
        <v>64</v>
      </c>
      <c r="K22" s="22">
        <f>SUM(G26:G29)*0.5</f>
        <v>12930</v>
      </c>
      <c r="M22" s="19" t="s">
        <v>65</v>
      </c>
      <c r="N22" s="20">
        <f>IF(第0季!N12+N11&gt;=N3/2,0,N3/2-N11-第0季!N12)</f>
        <v>980932.369433962</v>
      </c>
    </row>
    <row r="23" ht="14.55" spans="2:14">
      <c r="B23" s="3" t="s">
        <v>66</v>
      </c>
      <c r="C23" s="8">
        <f>3*E16</f>
        <v>6</v>
      </c>
      <c r="D23" s="3"/>
      <c r="J23" s="23" t="s">
        <v>67</v>
      </c>
      <c r="K23" s="17">
        <f>N21*税率!E3/4</f>
        <v>157500</v>
      </c>
      <c r="M23" s="21" t="s">
        <v>68</v>
      </c>
      <c r="N23" s="22">
        <f>SUM(N21:N22)</f>
        <v>11480932.369434</v>
      </c>
    </row>
    <row r="24" ht="14.55" spans="10:14">
      <c r="J24" s="16" t="s">
        <v>0</v>
      </c>
      <c r="K24" s="18">
        <f>(K3/(税率!B3+1))*税率!B3</f>
        <v>452167.471698113</v>
      </c>
      <c r="M24" s="24" t="s">
        <v>69</v>
      </c>
      <c r="N24" s="25">
        <f>N19-N23</f>
        <v>1694086.13056604</v>
      </c>
    </row>
    <row r="25" ht="14.55" spans="2:11">
      <c r="B25" s="9" t="s">
        <v>95</v>
      </c>
      <c r="C25" s="9" t="s">
        <v>70</v>
      </c>
      <c r="D25" s="9" t="s">
        <v>71</v>
      </c>
      <c r="E25" s="9" t="s">
        <v>72</v>
      </c>
      <c r="F25" s="9" t="s">
        <v>96</v>
      </c>
      <c r="G25" s="9" t="s">
        <v>97</v>
      </c>
      <c r="H25" s="9" t="s">
        <v>75</v>
      </c>
      <c r="J25" s="19" t="s">
        <v>1</v>
      </c>
      <c r="K25" s="20">
        <f>K24*税率!C3</f>
        <v>36173.3977358491</v>
      </c>
    </row>
    <row r="26" ht="14.55" spans="2:13">
      <c r="B26" s="9" t="s">
        <v>98</v>
      </c>
      <c r="C26" s="10">
        <v>446773</v>
      </c>
      <c r="D26" s="10">
        <v>350000</v>
      </c>
      <c r="E26" s="10">
        <v>2730000</v>
      </c>
      <c r="F26" s="11">
        <v>10.51</v>
      </c>
      <c r="G26" s="11">
        <v>0</v>
      </c>
      <c r="H26" s="11">
        <v>6</v>
      </c>
      <c r="J26" s="21" t="s">
        <v>76</v>
      </c>
      <c r="K26" s="22">
        <f>IF(M27&gt;=0,M27,0)</f>
        <v>0</v>
      </c>
      <c r="M26" s="26" t="s">
        <v>2</v>
      </c>
    </row>
    <row r="27" ht="14.55" spans="2:13">
      <c r="B27" s="9" t="s">
        <v>99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J27" s="27" t="s">
        <v>77</v>
      </c>
      <c r="K27" s="17">
        <f>SUM(K4:K26)</f>
        <v>9794205.86943396</v>
      </c>
      <c r="M27" s="28">
        <f>(K3/(1+税率!B3)-SUM(第1季!K4:K23)-第1季!K25)*税率!D3</f>
        <v>-361182.773886793</v>
      </c>
    </row>
    <row r="28" ht="14.55" spans="2:11">
      <c r="B28" s="9" t="s">
        <v>100</v>
      </c>
      <c r="C28" s="10">
        <v>324140</v>
      </c>
      <c r="D28" s="10">
        <v>324140</v>
      </c>
      <c r="E28" s="10">
        <v>2528292</v>
      </c>
      <c r="F28" s="11">
        <v>8.34</v>
      </c>
      <c r="G28" s="10">
        <v>25860</v>
      </c>
      <c r="H28" s="11">
        <v>6</v>
      </c>
      <c r="J28" s="23" t="s">
        <v>78</v>
      </c>
      <c r="K28" s="17">
        <f>K3-K27</f>
        <v>-1805913.86943396</v>
      </c>
    </row>
    <row r="29" ht="14.55" spans="2:8">
      <c r="B29" s="9" t="s">
        <v>101</v>
      </c>
      <c r="C29" s="10">
        <v>416786</v>
      </c>
      <c r="D29" s="10">
        <v>350000</v>
      </c>
      <c r="E29" s="10">
        <v>2730000</v>
      </c>
      <c r="F29" s="11">
        <v>10.49</v>
      </c>
      <c r="G29" s="11">
        <v>0</v>
      </c>
      <c r="H29" s="11">
        <v>6</v>
      </c>
    </row>
    <row r="30" ht="25.95" spans="2:8">
      <c r="B30" s="12" t="s">
        <v>102</v>
      </c>
      <c r="C30" s="9" t="s">
        <v>79</v>
      </c>
      <c r="D30" s="9" t="s">
        <v>80</v>
      </c>
      <c r="E30" s="9" t="s">
        <v>103</v>
      </c>
      <c r="F30" s="9" t="s">
        <v>104</v>
      </c>
      <c r="G30" s="9" t="s">
        <v>105</v>
      </c>
      <c r="H30" s="9" t="s">
        <v>106</v>
      </c>
    </row>
    <row r="31" ht="14.55" spans="2:8">
      <c r="B31" s="13"/>
      <c r="C31" s="10">
        <v>1187699</v>
      </c>
      <c r="D31" s="10">
        <v>1024140</v>
      </c>
      <c r="E31" s="10">
        <v>7988292</v>
      </c>
      <c r="F31" s="11">
        <v>7.24</v>
      </c>
      <c r="G31" s="10">
        <v>25860</v>
      </c>
      <c r="H31" s="11">
        <v>18</v>
      </c>
    </row>
    <row r="32" ht="24.75" spans="2:8">
      <c r="B32" s="9" t="s">
        <v>85</v>
      </c>
      <c r="C32" s="9" t="s">
        <v>86</v>
      </c>
      <c r="D32" s="9" t="s">
        <v>107</v>
      </c>
      <c r="E32" s="9" t="s">
        <v>88</v>
      </c>
      <c r="F32" s="9" t="s">
        <v>47</v>
      </c>
      <c r="G32" s="9" t="s">
        <v>89</v>
      </c>
      <c r="H32" s="9" t="s">
        <v>108</v>
      </c>
    </row>
    <row r="33" ht="14.55" spans="2:8">
      <c r="B33" s="10">
        <v>441250</v>
      </c>
      <c r="C33" s="10">
        <v>441250</v>
      </c>
      <c r="D33" s="10">
        <v>1050000</v>
      </c>
      <c r="E33" s="11">
        <v>9</v>
      </c>
      <c r="F33" s="10">
        <v>3731946</v>
      </c>
      <c r="G33" s="11">
        <v>45</v>
      </c>
      <c r="H33" s="11">
        <v>27</v>
      </c>
    </row>
  </sheetData>
  <mergeCells count="8">
    <mergeCell ref="J2:K2"/>
    <mergeCell ref="M2:N2"/>
    <mergeCell ref="B6:C6"/>
    <mergeCell ref="D6:E6"/>
    <mergeCell ref="B7:C7"/>
    <mergeCell ref="D7:E7"/>
    <mergeCell ref="M14:N14"/>
    <mergeCell ref="B30:B3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33"/>
  <sheetViews>
    <sheetView topLeftCell="A13" workbookViewId="0">
      <selection activeCell="G29" sqref="G29"/>
    </sheetView>
  </sheetViews>
  <sheetFormatPr defaultColWidth="9" defaultRowHeight="13.8"/>
  <cols>
    <col min="2" max="5" width="11.6666666666667" customWidth="1"/>
    <col min="6" max="6" width="16.1111111111111" customWidth="1"/>
    <col min="7" max="7" width="11.6666666666667" customWidth="1"/>
    <col min="8" max="8" width="13.8888888888889" customWidth="1"/>
    <col min="10" max="10" width="22.6666666666667" customWidth="1"/>
    <col min="11" max="11" width="10.5555555555556" customWidth="1"/>
    <col min="13" max="13" width="16.1111111111111" customWidth="1"/>
    <col min="14" max="14" width="13.1111111111111" customWidth="1"/>
    <col min="16" max="16" width="9.55555555555556" customWidth="1"/>
  </cols>
  <sheetData>
    <row r="1" ht="14.55"/>
    <row r="2" ht="14.55" spans="2:17">
      <c r="B2" s="3"/>
      <c r="C2" s="3" t="s">
        <v>5</v>
      </c>
      <c r="D2" s="3" t="s">
        <v>6</v>
      </c>
      <c r="E2" s="3" t="s">
        <v>7</v>
      </c>
      <c r="F2" s="3" t="s">
        <v>8</v>
      </c>
      <c r="J2" s="14" t="s">
        <v>9</v>
      </c>
      <c r="K2" s="15"/>
      <c r="M2" s="14" t="s">
        <v>10</v>
      </c>
      <c r="N2" s="15"/>
      <c r="P2" t="s">
        <v>91</v>
      </c>
      <c r="Q2" t="s">
        <v>92</v>
      </c>
    </row>
    <row r="3" ht="14.55" spans="2:17">
      <c r="B3" s="3" t="s">
        <v>11</v>
      </c>
      <c r="C3" s="4">
        <v>8</v>
      </c>
      <c r="D3" s="4"/>
      <c r="E3" s="4">
        <v>8</v>
      </c>
      <c r="F3" s="4">
        <v>8</v>
      </c>
      <c r="J3" s="16" t="s">
        <v>12</v>
      </c>
      <c r="K3" s="17">
        <f>C3*(C11-G26)+D3*(D11-G27)+E3*(E11-G28)+F3*(F11-G29)</f>
        <v>10796880</v>
      </c>
      <c r="M3" s="16" t="s">
        <v>12</v>
      </c>
      <c r="N3" s="18">
        <f>K3</f>
        <v>10796880</v>
      </c>
      <c r="P3">
        <f>SUM(C19:C22)</f>
        <v>1</v>
      </c>
      <c r="Q3">
        <f>C23</f>
        <v>3</v>
      </c>
    </row>
    <row r="4" spans="2:17">
      <c r="B4" s="3" t="s">
        <v>13</v>
      </c>
      <c r="C4" s="4">
        <v>400000</v>
      </c>
      <c r="D4" s="4"/>
      <c r="E4" s="4">
        <v>400000</v>
      </c>
      <c r="F4" s="4">
        <v>400000</v>
      </c>
      <c r="J4" s="16" t="s">
        <v>14</v>
      </c>
      <c r="K4" s="18">
        <f>D7</f>
        <v>700000</v>
      </c>
      <c r="M4" s="19" t="s">
        <v>15</v>
      </c>
      <c r="N4" s="20">
        <f>C13</f>
        <v>0</v>
      </c>
      <c r="P4">
        <f>第1季!P3+第1季!P4</f>
        <v>18</v>
      </c>
      <c r="Q4">
        <f>第1季!Q3+第1季!Q4</f>
        <v>27</v>
      </c>
    </row>
    <row r="5" ht="14.55" spans="10:17">
      <c r="J5" s="19" t="s">
        <v>16</v>
      </c>
      <c r="K5" s="20">
        <f>20000</f>
        <v>20000</v>
      </c>
      <c r="M5" s="21" t="s">
        <v>17</v>
      </c>
      <c r="N5" s="22">
        <f>SUM(N3:N4)</f>
        <v>10796880</v>
      </c>
      <c r="P5">
        <v>4500</v>
      </c>
      <c r="Q5">
        <v>3750</v>
      </c>
    </row>
    <row r="6" spans="2:17">
      <c r="B6" s="5" t="s">
        <v>18</v>
      </c>
      <c r="C6" s="5"/>
      <c r="D6" s="5" t="s">
        <v>19</v>
      </c>
      <c r="E6" s="5"/>
      <c r="F6" s="6"/>
      <c r="J6" s="19" t="s">
        <v>20</v>
      </c>
      <c r="K6" s="20">
        <f>1.4*B7</f>
        <v>1853250</v>
      </c>
      <c r="M6" s="16" t="s">
        <v>21</v>
      </c>
      <c r="N6" s="18">
        <f>K27-K7-K12-K13</f>
        <v>6681084.09514793</v>
      </c>
      <c r="P6">
        <v>9000</v>
      </c>
      <c r="Q6">
        <v>7500</v>
      </c>
    </row>
    <row r="7" spans="2:14">
      <c r="B7" s="7">
        <v>1323750</v>
      </c>
      <c r="C7" s="7"/>
      <c r="D7" s="7">
        <v>700000</v>
      </c>
      <c r="E7" s="7"/>
      <c r="F7" s="6"/>
      <c r="J7" s="19" t="s">
        <v>22</v>
      </c>
      <c r="K7" s="20">
        <f>G16*F16</f>
        <v>2233828.125</v>
      </c>
      <c r="M7" s="19" t="s">
        <v>23</v>
      </c>
      <c r="N7" s="20">
        <f>SUM(B16:C16)*D16</f>
        <v>0</v>
      </c>
    </row>
    <row r="8" spans="2:14">
      <c r="B8" s="3" t="s">
        <v>24</v>
      </c>
      <c r="C8" s="8">
        <f>第1季!H18*3</f>
        <v>1323750</v>
      </c>
      <c r="D8" s="3" t="s">
        <v>25</v>
      </c>
      <c r="E8" s="8">
        <f>B7+SUM(第1季!G26:G29)</f>
        <v>1349610</v>
      </c>
      <c r="F8" s="6"/>
      <c r="J8" s="19" t="s">
        <v>26</v>
      </c>
      <c r="K8" s="20"/>
      <c r="M8" s="19" t="s">
        <v>27</v>
      </c>
      <c r="N8" s="20">
        <f>500000*E16</f>
        <v>500000</v>
      </c>
    </row>
    <row r="9" spans="2:14">
      <c r="B9" s="3"/>
      <c r="C9" s="3" t="s">
        <v>5</v>
      </c>
      <c r="D9" s="3" t="s">
        <v>6</v>
      </c>
      <c r="E9" s="3" t="s">
        <v>7</v>
      </c>
      <c r="F9" s="3" t="s">
        <v>8</v>
      </c>
      <c r="J9" s="19" t="s">
        <v>28</v>
      </c>
      <c r="K9" s="20">
        <f>C16</f>
        <v>0</v>
      </c>
      <c r="M9" s="19" t="s">
        <v>29</v>
      </c>
      <c r="N9" s="20">
        <f>E13</f>
        <v>1720000</v>
      </c>
    </row>
    <row r="10" ht="14.55" spans="2:14">
      <c r="B10" s="3" t="s">
        <v>30</v>
      </c>
      <c r="C10" s="3">
        <f>C11-第1季!G26</f>
        <v>499454</v>
      </c>
      <c r="D10" s="3">
        <f>D11-第1季!G27</f>
        <v>0</v>
      </c>
      <c r="E10" s="3">
        <f>E11-第1季!G28</f>
        <v>322591</v>
      </c>
      <c r="F10" s="3">
        <f>F11-第1季!G29</f>
        <v>501705</v>
      </c>
      <c r="J10" s="19" t="s">
        <v>31</v>
      </c>
      <c r="K10" s="20">
        <f>第1季!E33*12000</f>
        <v>108000</v>
      </c>
      <c r="M10" s="21" t="s">
        <v>32</v>
      </c>
      <c r="N10" s="22">
        <f>SUM(N6:N9)</f>
        <v>8901084.09514793</v>
      </c>
    </row>
    <row r="11" ht="14.55" spans="2:16">
      <c r="B11" s="3" t="s">
        <v>33</v>
      </c>
      <c r="C11" s="4">
        <v>499454</v>
      </c>
      <c r="D11" s="4"/>
      <c r="E11" s="4">
        <v>348451</v>
      </c>
      <c r="F11" s="4">
        <v>501705</v>
      </c>
      <c r="G11">
        <f>E8-SUM(C11:F11)</f>
        <v>0</v>
      </c>
      <c r="J11" s="19" t="s">
        <v>34</v>
      </c>
      <c r="K11" s="20">
        <f>100000*E16</f>
        <v>100000</v>
      </c>
      <c r="M11" s="23" t="s">
        <v>35</v>
      </c>
      <c r="N11" s="17">
        <f>N5-N10</f>
        <v>1895795.90485207</v>
      </c>
      <c r="O11" t="s">
        <v>93</v>
      </c>
      <c r="P11">
        <f>N3/2-第1季!N12</f>
        <v>1404294</v>
      </c>
    </row>
    <row r="12" ht="14.55" spans="10:14">
      <c r="J12" s="19" t="s">
        <v>36</v>
      </c>
      <c r="K12" s="20">
        <f>第1季!N18*0.025</f>
        <v>110312.5</v>
      </c>
      <c r="M12" s="23" t="s">
        <v>37</v>
      </c>
      <c r="N12" s="17">
        <f>IF(第1季!N12+N11&gt;=N3/2,第1季!N12+N11,N3/2)</f>
        <v>5889941.90485207</v>
      </c>
    </row>
    <row r="13" ht="14.55" spans="2:11">
      <c r="B13" s="3" t="s">
        <v>15</v>
      </c>
      <c r="C13" s="4"/>
      <c r="D13" s="3" t="s">
        <v>29</v>
      </c>
      <c r="E13" s="4">
        <v>1720000</v>
      </c>
      <c r="F13" s="3" t="s">
        <v>38</v>
      </c>
      <c r="G13" s="8">
        <f>N11-P11</f>
        <v>491501.904852074</v>
      </c>
      <c r="J13" s="21" t="s">
        <v>39</v>
      </c>
      <c r="K13" s="22">
        <f>第1季!N17-N17</f>
        <v>103440</v>
      </c>
    </row>
    <row r="14" ht="14.55" spans="10:14">
      <c r="J14" s="16" t="s">
        <v>40</v>
      </c>
      <c r="K14" s="18">
        <f>SUM(C4:F4)</f>
        <v>1200000</v>
      </c>
      <c r="M14" s="14" t="s">
        <v>41</v>
      </c>
      <c r="N14" s="15"/>
    </row>
    <row r="15" spans="2:14">
      <c r="B15" s="3" t="s">
        <v>42</v>
      </c>
      <c r="C15" s="3" t="s">
        <v>43</v>
      </c>
      <c r="D15" s="3" t="s">
        <v>44</v>
      </c>
      <c r="E15" s="3" t="s">
        <v>45</v>
      </c>
      <c r="F15" s="3" t="s">
        <v>46</v>
      </c>
      <c r="G15" s="3" t="s">
        <v>22</v>
      </c>
      <c r="H15" s="3" t="s">
        <v>47</v>
      </c>
      <c r="J15" s="19" t="s">
        <v>48</v>
      </c>
      <c r="K15" s="20">
        <f>0.5*C10+0.1*D10+0.4*(E10+F10)</f>
        <v>579445.4</v>
      </c>
      <c r="M15" s="16" t="s">
        <v>49</v>
      </c>
      <c r="N15" s="18">
        <f>N12</f>
        <v>5889941.90485207</v>
      </c>
    </row>
    <row r="16" ht="14.55" spans="2:14">
      <c r="B16" s="4"/>
      <c r="C16" s="4"/>
      <c r="D16" s="4">
        <v>2.25</v>
      </c>
      <c r="E16" s="4">
        <v>1</v>
      </c>
      <c r="F16" s="3">
        <f>(第1季!N16+第1季!N7)/(第1季!H16+第1季!B16+第1季!C16)</f>
        <v>1.25</v>
      </c>
      <c r="G16" s="3">
        <f>B7*1.35</f>
        <v>1787062.5</v>
      </c>
      <c r="H16" s="3">
        <f>第1季!H16-G16</f>
        <v>1944883.5</v>
      </c>
      <c r="J16" s="21" t="s">
        <v>50</v>
      </c>
      <c r="K16" s="22"/>
      <c r="M16" s="19" t="s">
        <v>51</v>
      </c>
      <c r="N16" s="20">
        <f>F16*H16</f>
        <v>2431104.375</v>
      </c>
    </row>
    <row r="17" spans="8:14">
      <c r="H17" s="3" t="s">
        <v>86</v>
      </c>
      <c r="J17" s="16" t="s">
        <v>52</v>
      </c>
      <c r="K17" s="18">
        <f>500*SUM(C19:C23)</f>
        <v>2000</v>
      </c>
      <c r="M17" s="19" t="s">
        <v>53</v>
      </c>
      <c r="N17" s="20">
        <f>SUM(G26:G29)*4</f>
        <v>0</v>
      </c>
    </row>
    <row r="18" spans="2:14">
      <c r="B18" s="3"/>
      <c r="C18" s="3" t="s">
        <v>54</v>
      </c>
      <c r="D18" s="3" t="s">
        <v>55</v>
      </c>
      <c r="H18" s="3">
        <f>ROUNDDOWN(第1季!H18*0.975+50000*E16,0)</f>
        <v>480218</v>
      </c>
      <c r="J18" s="19" t="s">
        <v>56</v>
      </c>
      <c r="K18" s="20">
        <f>1000*SUM(C19:C23)</f>
        <v>4000</v>
      </c>
      <c r="M18" s="19" t="s">
        <v>57</v>
      </c>
      <c r="N18" s="20">
        <f>第1季!N18*0.975+N8</f>
        <v>4802187.5</v>
      </c>
    </row>
    <row r="19" ht="14.55" spans="2:14">
      <c r="B19" s="3" t="s">
        <v>5</v>
      </c>
      <c r="C19" s="4"/>
      <c r="D19" s="3"/>
      <c r="J19" s="19" t="s">
        <v>58</v>
      </c>
      <c r="K19" s="20">
        <f>P3*P5+P4*P6+Q3*Q5+Q4*Q6</f>
        <v>380250</v>
      </c>
      <c r="M19" s="21" t="s">
        <v>59</v>
      </c>
      <c r="N19" s="22">
        <f>SUM(N15:N18)</f>
        <v>13123233.7798521</v>
      </c>
    </row>
    <row r="20" spans="2:14">
      <c r="B20" s="3" t="s">
        <v>6</v>
      </c>
      <c r="C20" s="4"/>
      <c r="D20" s="3"/>
      <c r="J20" s="19" t="s">
        <v>60</v>
      </c>
      <c r="K20" s="20">
        <f>6000*SUM(D19:D22)+5000*D23</f>
        <v>0</v>
      </c>
      <c r="M20" s="16" t="s">
        <v>61</v>
      </c>
      <c r="N20" s="18"/>
    </row>
    <row r="21" spans="2:14">
      <c r="B21" s="3" t="s">
        <v>7</v>
      </c>
      <c r="C21" s="4"/>
      <c r="D21" s="3"/>
      <c r="J21" s="19" t="s">
        <v>62</v>
      </c>
      <c r="K21" s="20">
        <f>第1季!N16*0.1</f>
        <v>466493.25</v>
      </c>
      <c r="M21" s="19" t="s">
        <v>63</v>
      </c>
      <c r="N21" s="20">
        <f>N4+第1季!N23-N9</f>
        <v>9760932.36943396</v>
      </c>
    </row>
    <row r="22" ht="14.55" spans="2:14">
      <c r="B22" s="3" t="s">
        <v>8</v>
      </c>
      <c r="C22" s="4">
        <v>1</v>
      </c>
      <c r="D22" s="3"/>
      <c r="J22" s="21" t="s">
        <v>64</v>
      </c>
      <c r="K22" s="22">
        <f>SUM(G26:G29)*0.5</f>
        <v>0</v>
      </c>
      <c r="M22" s="19" t="s">
        <v>65</v>
      </c>
      <c r="N22" s="20">
        <f>IF(第1季!N12+N11&gt;=N3/2,0,N3/2-N11-第1季!N12)</f>
        <v>0</v>
      </c>
    </row>
    <row r="23" ht="14.55" spans="2:14">
      <c r="B23" s="3" t="s">
        <v>66</v>
      </c>
      <c r="C23" s="8">
        <f>3*E16</f>
        <v>3</v>
      </c>
      <c r="D23" s="3"/>
      <c r="J23" s="23" t="s">
        <v>67</v>
      </c>
      <c r="K23" s="17">
        <f>N21/4*税率!E3+第1季!N22*税率!E3*3/4</f>
        <v>190555.942166038</v>
      </c>
      <c r="M23" s="21" t="s">
        <v>68</v>
      </c>
      <c r="N23" s="22">
        <f>SUM(N21:N22)</f>
        <v>9760932.36943396</v>
      </c>
    </row>
    <row r="24" ht="14.55" spans="10:14">
      <c r="J24" s="16" t="s">
        <v>0</v>
      </c>
      <c r="K24" s="18">
        <f>(K3/(税率!B3+1))*税率!B3</f>
        <v>611144.150943396</v>
      </c>
      <c r="M24" s="24" t="s">
        <v>69</v>
      </c>
      <c r="N24" s="25">
        <f>N19-N23</f>
        <v>3362301.41041811</v>
      </c>
    </row>
    <row r="25" ht="14.55" spans="2:11">
      <c r="B25" s="9" t="s">
        <v>95</v>
      </c>
      <c r="C25" s="9" t="s">
        <v>70</v>
      </c>
      <c r="D25" s="9" t="s">
        <v>71</v>
      </c>
      <c r="E25" s="9" t="s">
        <v>72</v>
      </c>
      <c r="F25" s="9" t="s">
        <v>96</v>
      </c>
      <c r="G25" s="9" t="s">
        <v>97</v>
      </c>
      <c r="H25" s="9" t="s">
        <v>75</v>
      </c>
      <c r="J25" s="19" t="s">
        <v>1</v>
      </c>
      <c r="K25" s="20">
        <f>K24*税率!C3</f>
        <v>48891.5320754717</v>
      </c>
    </row>
    <row r="26" ht="14.55" spans="2:13">
      <c r="B26" s="9" t="s">
        <v>98</v>
      </c>
      <c r="C26" s="10">
        <v>571044</v>
      </c>
      <c r="D26" s="10">
        <v>499454</v>
      </c>
      <c r="E26" s="10">
        <v>3995632</v>
      </c>
      <c r="F26" s="11">
        <v>12.06</v>
      </c>
      <c r="G26" s="11">
        <v>0</v>
      </c>
      <c r="H26" s="11">
        <v>6</v>
      </c>
      <c r="J26" s="21" t="s">
        <v>76</v>
      </c>
      <c r="K26" s="22">
        <f>IF(M27&gt;=0,M27,0)</f>
        <v>417053.819963019</v>
      </c>
      <c r="M26" s="26" t="s">
        <v>2</v>
      </c>
    </row>
    <row r="27" ht="14.55" spans="2:13">
      <c r="B27" s="9" t="s">
        <v>99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J27" s="27" t="s">
        <v>77</v>
      </c>
      <c r="K27" s="17">
        <f>SUM(K4:K26)</f>
        <v>9128664.72014793</v>
      </c>
      <c r="M27" s="28">
        <f>(K3/(1+税率!B3)-SUM(K4:K23)-K25)*税率!D3</f>
        <v>417053.819963019</v>
      </c>
    </row>
    <row r="28" ht="14.55" spans="2:11">
      <c r="B28" s="9" t="s">
        <v>100</v>
      </c>
      <c r="C28" s="10">
        <v>388387</v>
      </c>
      <c r="D28" s="10">
        <v>348451</v>
      </c>
      <c r="E28" s="10">
        <v>2787608</v>
      </c>
      <c r="F28" s="11">
        <v>8.35</v>
      </c>
      <c r="G28" s="11">
        <v>0</v>
      </c>
      <c r="H28" s="11">
        <v>6</v>
      </c>
      <c r="J28" s="23" t="s">
        <v>78</v>
      </c>
      <c r="K28" s="17">
        <f>K3-K27</f>
        <v>1668215.27985207</v>
      </c>
    </row>
    <row r="29" ht="14.55" spans="2:8">
      <c r="B29" s="9" t="s">
        <v>101</v>
      </c>
      <c r="C29" s="10">
        <v>525007</v>
      </c>
      <c r="D29" s="10">
        <v>501705</v>
      </c>
      <c r="E29" s="10">
        <v>4013640</v>
      </c>
      <c r="F29" s="11">
        <v>10.86</v>
      </c>
      <c r="G29" s="11">
        <v>0</v>
      </c>
      <c r="H29" s="11">
        <v>7</v>
      </c>
    </row>
    <row r="30" ht="25.95" spans="2:8">
      <c r="B30" s="12" t="s">
        <v>102</v>
      </c>
      <c r="C30" s="9" t="s">
        <v>79</v>
      </c>
      <c r="D30" s="9" t="s">
        <v>80</v>
      </c>
      <c r="E30" s="9" t="s">
        <v>103</v>
      </c>
      <c r="F30" s="9" t="s">
        <v>104</v>
      </c>
      <c r="G30" s="9" t="s">
        <v>105</v>
      </c>
      <c r="H30" s="9" t="s">
        <v>106</v>
      </c>
    </row>
    <row r="31" ht="14.55" spans="2:8">
      <c r="B31" s="13"/>
      <c r="C31" s="10">
        <v>1484438</v>
      </c>
      <c r="D31" s="10">
        <v>1349610</v>
      </c>
      <c r="E31" s="10">
        <v>10796880</v>
      </c>
      <c r="F31" s="11">
        <v>7.84</v>
      </c>
      <c r="G31" s="11">
        <v>0</v>
      </c>
      <c r="H31" s="11">
        <v>19</v>
      </c>
    </row>
    <row r="32" ht="24.75" spans="2:8">
      <c r="B32" s="9" t="s">
        <v>85</v>
      </c>
      <c r="C32" s="9" t="s">
        <v>86</v>
      </c>
      <c r="D32" s="9" t="s">
        <v>107</v>
      </c>
      <c r="E32" s="9" t="s">
        <v>88</v>
      </c>
      <c r="F32" s="9" t="s">
        <v>47</v>
      </c>
      <c r="G32" s="9" t="s">
        <v>89</v>
      </c>
      <c r="H32" s="9" t="s">
        <v>108</v>
      </c>
    </row>
    <row r="33" ht="14.55" spans="2:8">
      <c r="B33" s="10">
        <v>480218</v>
      </c>
      <c r="C33" s="10">
        <v>480218</v>
      </c>
      <c r="D33" s="10">
        <v>1323750</v>
      </c>
      <c r="E33" s="11">
        <v>10</v>
      </c>
      <c r="F33" s="10">
        <v>1944883</v>
      </c>
      <c r="G33" s="11">
        <v>49</v>
      </c>
      <c r="H33" s="11">
        <v>30</v>
      </c>
    </row>
  </sheetData>
  <mergeCells count="8">
    <mergeCell ref="J2:K2"/>
    <mergeCell ref="M2:N2"/>
    <mergeCell ref="B6:C6"/>
    <mergeCell ref="D6:E6"/>
    <mergeCell ref="B7:C7"/>
    <mergeCell ref="D7:E7"/>
    <mergeCell ref="M14:N14"/>
    <mergeCell ref="B30:B31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33"/>
  <sheetViews>
    <sheetView workbookViewId="0">
      <selection activeCell="G23" sqref="G23"/>
    </sheetView>
  </sheetViews>
  <sheetFormatPr defaultColWidth="9" defaultRowHeight="13.8"/>
  <cols>
    <col min="2" max="5" width="11.6666666666667" customWidth="1"/>
    <col min="6" max="6" width="16.1111111111111" customWidth="1"/>
    <col min="7" max="7" width="11.6666666666667" customWidth="1"/>
    <col min="8" max="8" width="13.8888888888889" customWidth="1"/>
    <col min="10" max="10" width="22.6666666666667" customWidth="1"/>
    <col min="13" max="13" width="16.1111111111111" customWidth="1"/>
    <col min="14" max="14" width="10.5555555555556" customWidth="1"/>
    <col min="16" max="16" width="9.55555555555556" customWidth="1"/>
  </cols>
  <sheetData>
    <row r="1" ht="14.55"/>
    <row r="2" ht="14.55" spans="2:17">
      <c r="B2" s="3"/>
      <c r="C2" s="3" t="s">
        <v>5</v>
      </c>
      <c r="D2" s="3" t="s">
        <v>6</v>
      </c>
      <c r="E2" s="3" t="s">
        <v>7</v>
      </c>
      <c r="F2" s="3" t="s">
        <v>8</v>
      </c>
      <c r="J2" s="14" t="s">
        <v>9</v>
      </c>
      <c r="K2" s="15"/>
      <c r="M2" s="14" t="s">
        <v>10</v>
      </c>
      <c r="N2" s="15"/>
      <c r="P2" t="s">
        <v>91</v>
      </c>
      <c r="Q2" t="s">
        <v>92</v>
      </c>
    </row>
    <row r="3" ht="14.55" spans="2:17">
      <c r="B3" s="3" t="s">
        <v>11</v>
      </c>
      <c r="C3" s="4">
        <v>9</v>
      </c>
      <c r="D3" s="4">
        <v>9</v>
      </c>
      <c r="E3" s="4">
        <v>9</v>
      </c>
      <c r="F3" s="4">
        <v>9</v>
      </c>
      <c r="J3" s="16" t="s">
        <v>12</v>
      </c>
      <c r="K3" s="17">
        <f>C3*(C11-G26)+D3*(D11-G27)+E3*(E11-G28)+F3*(F11-G29)</f>
        <v>12301650</v>
      </c>
      <c r="M3" s="16" t="s">
        <v>12</v>
      </c>
      <c r="N3" s="18">
        <f>K3</f>
        <v>12301650</v>
      </c>
      <c r="P3">
        <f>SUM(C19:C22)</f>
        <v>1</v>
      </c>
      <c r="Q3">
        <f>C23</f>
        <v>6</v>
      </c>
    </row>
    <row r="4" spans="2:17">
      <c r="B4" s="3" t="s">
        <v>13</v>
      </c>
      <c r="C4" s="4"/>
      <c r="D4" s="4"/>
      <c r="E4" s="4"/>
      <c r="F4" s="4"/>
      <c r="J4" s="16" t="s">
        <v>14</v>
      </c>
      <c r="K4" s="18">
        <f>D7</f>
        <v>2000001</v>
      </c>
      <c r="M4" s="19" t="s">
        <v>15</v>
      </c>
      <c r="N4" s="20">
        <f>C13</f>
        <v>3380000</v>
      </c>
      <c r="P4">
        <f>第2季!P3+第2季!P4</f>
        <v>19</v>
      </c>
      <c r="Q4">
        <f>第2季!Q3+第2季!Q4</f>
        <v>30</v>
      </c>
    </row>
    <row r="5" ht="14.55" spans="10:17">
      <c r="J5" s="19" t="s">
        <v>16</v>
      </c>
      <c r="K5" s="20">
        <f>20000</f>
        <v>20000</v>
      </c>
      <c r="M5" s="21" t="s">
        <v>17</v>
      </c>
      <c r="N5" s="22">
        <f>SUM(N3:N4)</f>
        <v>15681650</v>
      </c>
      <c r="P5">
        <v>4500</v>
      </c>
      <c r="Q5">
        <v>3750</v>
      </c>
    </row>
    <row r="6" spans="2:17">
      <c r="B6" s="5" t="s">
        <v>18</v>
      </c>
      <c r="C6" s="5"/>
      <c r="D6" s="5" t="s">
        <v>19</v>
      </c>
      <c r="E6" s="5"/>
      <c r="F6" s="6"/>
      <c r="J6" s="19" t="s">
        <v>20</v>
      </c>
      <c r="K6" s="20">
        <f>1.4*B7</f>
        <v>2016915.6</v>
      </c>
      <c r="M6" s="16" t="s">
        <v>21</v>
      </c>
      <c r="N6" s="18">
        <f>K27-K7-K12-K13</f>
        <v>7490185.31291434</v>
      </c>
      <c r="P6">
        <v>9000</v>
      </c>
      <c r="Q6">
        <v>7500</v>
      </c>
    </row>
    <row r="7" spans="2:14">
      <c r="B7" s="7">
        <v>1440654</v>
      </c>
      <c r="C7" s="7"/>
      <c r="D7" s="7">
        <v>2000001</v>
      </c>
      <c r="E7" s="7"/>
      <c r="F7" s="6"/>
      <c r="J7" s="19" t="s">
        <v>22</v>
      </c>
      <c r="K7" s="20">
        <f>G16*F16</f>
        <v>2431103.625</v>
      </c>
      <c r="M7" s="19" t="s">
        <v>23</v>
      </c>
      <c r="N7" s="20">
        <f>SUM(B16:C16)*D16</f>
        <v>6693728.75</v>
      </c>
    </row>
    <row r="8" spans="2:14">
      <c r="B8" s="3" t="s">
        <v>24</v>
      </c>
      <c r="C8" s="8">
        <f>第2季!H18*3</f>
        <v>1440654</v>
      </c>
      <c r="D8" s="3" t="s">
        <v>25</v>
      </c>
      <c r="E8" s="8">
        <f>B7+SUM(第2季!G26:G29)</f>
        <v>1440654</v>
      </c>
      <c r="F8" s="6"/>
      <c r="J8" s="19" t="s">
        <v>26</v>
      </c>
      <c r="K8" s="20">
        <f>200000</f>
        <v>200000</v>
      </c>
      <c r="M8" s="19" t="s">
        <v>27</v>
      </c>
      <c r="N8" s="20">
        <f>500000*E16</f>
        <v>1000000</v>
      </c>
    </row>
    <row r="9" spans="2:14">
      <c r="B9" s="3"/>
      <c r="C9" s="3" t="s">
        <v>5</v>
      </c>
      <c r="D9" s="3" t="s">
        <v>6</v>
      </c>
      <c r="E9" s="3" t="s">
        <v>7</v>
      </c>
      <c r="F9" s="3" t="s">
        <v>8</v>
      </c>
      <c r="J9" s="19" t="s">
        <v>28</v>
      </c>
      <c r="K9" s="20">
        <f>C16</f>
        <v>0</v>
      </c>
      <c r="M9" s="19" t="s">
        <v>29</v>
      </c>
      <c r="N9" s="20">
        <f>E13</f>
        <v>0</v>
      </c>
    </row>
    <row r="10" ht="14.55" spans="2:14">
      <c r="B10" s="3" t="s">
        <v>30</v>
      </c>
      <c r="C10" s="3">
        <f>C11-第2季!G26</f>
        <v>554747</v>
      </c>
      <c r="D10" s="3">
        <f>D11-第2季!G27</f>
        <v>0</v>
      </c>
      <c r="E10" s="3">
        <f>E11-第2季!G28</f>
        <v>367842</v>
      </c>
      <c r="F10" s="3">
        <f>F11-第2季!G29</f>
        <v>518065</v>
      </c>
      <c r="J10" s="19" t="s">
        <v>31</v>
      </c>
      <c r="K10" s="20">
        <f>第2季!E33*12000</f>
        <v>120000</v>
      </c>
      <c r="M10" s="21" t="s">
        <v>32</v>
      </c>
      <c r="N10" s="22">
        <f>SUM(N6:N9)</f>
        <v>15183914.0629143</v>
      </c>
    </row>
    <row r="11" ht="14.55" spans="2:16">
      <c r="B11" s="3" t="s">
        <v>33</v>
      </c>
      <c r="C11" s="4">
        <v>554747</v>
      </c>
      <c r="D11" s="4"/>
      <c r="E11" s="4">
        <v>367842</v>
      </c>
      <c r="F11" s="4">
        <v>518065</v>
      </c>
      <c r="G11">
        <f>E8-SUM(C11:F11)</f>
        <v>0</v>
      </c>
      <c r="J11" s="19" t="s">
        <v>34</v>
      </c>
      <c r="K11" s="20">
        <f>100000*E16</f>
        <v>200000</v>
      </c>
      <c r="M11" s="23" t="s">
        <v>35</v>
      </c>
      <c r="N11" s="17">
        <f>N5-N10</f>
        <v>497735.937085662</v>
      </c>
      <c r="O11" t="s">
        <v>93</v>
      </c>
      <c r="P11">
        <f>N3/2-第2季!N12</f>
        <v>260883.095147926</v>
      </c>
    </row>
    <row r="12" ht="14.55" spans="10:14">
      <c r="J12" s="19" t="s">
        <v>36</v>
      </c>
      <c r="K12" s="20">
        <f>第2季!N18*0.025</f>
        <v>120054.6875</v>
      </c>
      <c r="M12" s="23" t="s">
        <v>37</v>
      </c>
      <c r="N12" s="17">
        <f>IF(第2季!N12+N11&gt;=N3/2,第2季!N12+N11,N3/2)</f>
        <v>6387677.84193774</v>
      </c>
    </row>
    <row r="13" ht="14.55" spans="2:11">
      <c r="B13" s="3" t="s">
        <v>15</v>
      </c>
      <c r="C13" s="4">
        <v>3380000</v>
      </c>
      <c r="D13" s="3" t="s">
        <v>29</v>
      </c>
      <c r="E13" s="4"/>
      <c r="F13" s="3" t="s">
        <v>38</v>
      </c>
      <c r="G13" s="8">
        <f>N11-P11</f>
        <v>236852.841937736</v>
      </c>
      <c r="J13" s="21" t="s">
        <v>39</v>
      </c>
      <c r="K13" s="22">
        <f>第2季!N17-N17</f>
        <v>-295216</v>
      </c>
    </row>
    <row r="14" ht="14.55" spans="10:14">
      <c r="J14" s="16" t="s">
        <v>40</v>
      </c>
      <c r="K14" s="18">
        <f>SUM(C4:F4)</f>
        <v>0</v>
      </c>
      <c r="M14" s="14" t="s">
        <v>41</v>
      </c>
      <c r="N14" s="15"/>
    </row>
    <row r="15" spans="2:14">
      <c r="B15" s="3" t="s">
        <v>42</v>
      </c>
      <c r="C15" s="3" t="s">
        <v>43</v>
      </c>
      <c r="D15" s="3" t="s">
        <v>44</v>
      </c>
      <c r="E15" s="3" t="s">
        <v>45</v>
      </c>
      <c r="F15" s="3" t="s">
        <v>46</v>
      </c>
      <c r="G15" s="3" t="s">
        <v>22</v>
      </c>
      <c r="H15" s="3" t="s">
        <v>47</v>
      </c>
      <c r="J15" s="19" t="s">
        <v>48</v>
      </c>
      <c r="K15" s="20">
        <f>0.5*C10+0.1*D10+0.4*(E10+F10)</f>
        <v>631736.3</v>
      </c>
      <c r="M15" s="16" t="s">
        <v>49</v>
      </c>
      <c r="N15" s="18">
        <f>N12</f>
        <v>6387677.84193774</v>
      </c>
    </row>
    <row r="16" ht="14.55" spans="2:14">
      <c r="B16" s="4">
        <v>5354983</v>
      </c>
      <c r="C16" s="4"/>
      <c r="D16" s="4">
        <v>1.25</v>
      </c>
      <c r="E16" s="4">
        <v>2</v>
      </c>
      <c r="F16" s="3">
        <f>(第2季!N16+第2季!N7)/(第2季!H16+第2季!B16+第2季!C16)</f>
        <v>1.25</v>
      </c>
      <c r="G16" s="3">
        <f>B7*1.35</f>
        <v>1944882.9</v>
      </c>
      <c r="H16" s="3">
        <f>第2季!H16+B16-G16</f>
        <v>5354983.6</v>
      </c>
      <c r="J16" s="21" t="s">
        <v>50</v>
      </c>
      <c r="K16" s="22"/>
      <c r="M16" s="19" t="s">
        <v>51</v>
      </c>
      <c r="N16" s="20">
        <f>F16*H16</f>
        <v>6693729.5</v>
      </c>
    </row>
    <row r="17" spans="8:14">
      <c r="H17" s="3" t="s">
        <v>86</v>
      </c>
      <c r="J17" s="16" t="s">
        <v>52</v>
      </c>
      <c r="K17" s="18">
        <f>500*SUM(C19:C23)</f>
        <v>3500</v>
      </c>
      <c r="M17" s="19" t="s">
        <v>53</v>
      </c>
      <c r="N17" s="20">
        <f>SUM(G26:G29)*4</f>
        <v>295216</v>
      </c>
    </row>
    <row r="18" spans="2:14">
      <c r="B18" s="3"/>
      <c r="C18" s="3" t="s">
        <v>54</v>
      </c>
      <c r="D18" s="3" t="s">
        <v>55</v>
      </c>
      <c r="F18" t="s">
        <v>109</v>
      </c>
      <c r="H18" s="3">
        <f>ROUNDDOWN(第2季!H18*0.975+50000*E16,0)</f>
        <v>568212</v>
      </c>
      <c r="J18" s="19" t="s">
        <v>56</v>
      </c>
      <c r="K18" s="20">
        <f>1000*SUM(C19:C23)</f>
        <v>7000</v>
      </c>
      <c r="M18" s="19" t="s">
        <v>57</v>
      </c>
      <c r="N18" s="20">
        <f>第2季!N18*0.975+N8</f>
        <v>5682132.8125</v>
      </c>
    </row>
    <row r="19" ht="14.55" spans="2:14">
      <c r="B19" s="3" t="s">
        <v>5</v>
      </c>
      <c r="C19" s="4">
        <v>1</v>
      </c>
      <c r="D19" s="3"/>
      <c r="F19">
        <f>ROUNDUP((第4季!C8+第5季!C8)*1.35,0)</f>
        <v>5152483</v>
      </c>
      <c r="J19" s="19" t="s">
        <v>58</v>
      </c>
      <c r="K19" s="20">
        <f>P3*P5+P4*P6+Q3*Q5+Q4*Q6</f>
        <v>423000</v>
      </c>
      <c r="M19" s="21" t="s">
        <v>59</v>
      </c>
      <c r="N19" s="22">
        <f>SUM(N15:N18)</f>
        <v>19058756.1544377</v>
      </c>
    </row>
    <row r="20" spans="2:14">
      <c r="B20" s="3" t="s">
        <v>6</v>
      </c>
      <c r="C20" s="4"/>
      <c r="D20" s="3"/>
      <c r="J20" s="19" t="s">
        <v>60</v>
      </c>
      <c r="K20" s="20">
        <f>6000*SUM(D19:D22)+5000*D23</f>
        <v>0</v>
      </c>
      <c r="M20" s="16" t="s">
        <v>61</v>
      </c>
      <c r="N20" s="18"/>
    </row>
    <row r="21" spans="2:14">
      <c r="B21" s="3" t="s">
        <v>7</v>
      </c>
      <c r="C21" s="4"/>
      <c r="D21" s="3"/>
      <c r="J21" s="19" t="s">
        <v>62</v>
      </c>
      <c r="K21" s="20">
        <f>第2季!N16*0.1</f>
        <v>243110.4375</v>
      </c>
      <c r="M21" s="19" t="s">
        <v>63</v>
      </c>
      <c r="N21" s="20">
        <f>N4+第2季!N23-N9</f>
        <v>13140932.369434</v>
      </c>
    </row>
    <row r="22" ht="14.55" spans="2:14">
      <c r="B22" s="3" t="s">
        <v>8</v>
      </c>
      <c r="C22" s="4"/>
      <c r="D22" s="3"/>
      <c r="J22" s="21" t="s">
        <v>64</v>
      </c>
      <c r="K22" s="22">
        <f>SUM(G26:G29)*0.5</f>
        <v>36902</v>
      </c>
      <c r="M22" s="19" t="s">
        <v>65</v>
      </c>
      <c r="N22" s="20">
        <f>IF(第2季!N12+N11&gt;=N3/2,0,N3/2-N11-第2季!N12)</f>
        <v>0</v>
      </c>
    </row>
    <row r="23" ht="14.55" spans="2:14">
      <c r="B23" s="3" t="s">
        <v>66</v>
      </c>
      <c r="C23" s="8">
        <f>3*E16</f>
        <v>6</v>
      </c>
      <c r="D23" s="3"/>
      <c r="J23" s="23" t="s">
        <v>67</v>
      </c>
      <c r="K23" s="17">
        <f>N21*税率!E3/4+第2季!N22*税率!E3*3/4</f>
        <v>197113.985541509</v>
      </c>
      <c r="M23" s="21" t="s">
        <v>68</v>
      </c>
      <c r="N23" s="22">
        <f>SUM(N21:N22)</f>
        <v>13140932.369434</v>
      </c>
    </row>
    <row r="24" ht="14.55" spans="10:14">
      <c r="J24" s="16" t="s">
        <v>0</v>
      </c>
      <c r="K24" s="18">
        <f>(K3/(税率!B3+1))*税率!B3</f>
        <v>696319.811320755</v>
      </c>
      <c r="M24" s="24" t="s">
        <v>69</v>
      </c>
      <c r="N24" s="25">
        <f>N19-N23</f>
        <v>5917823.78500377</v>
      </c>
    </row>
    <row r="25" ht="14.55" spans="2:11">
      <c r="B25" s="9" t="s">
        <v>95</v>
      </c>
      <c r="C25" s="9" t="s">
        <v>70</v>
      </c>
      <c r="D25" s="9" t="s">
        <v>71</v>
      </c>
      <c r="E25" s="9" t="s">
        <v>72</v>
      </c>
      <c r="F25" s="9" t="s">
        <v>96</v>
      </c>
      <c r="G25" s="9" t="s">
        <v>97</v>
      </c>
      <c r="H25" s="9" t="s">
        <v>75</v>
      </c>
      <c r="J25" s="19" t="s">
        <v>1</v>
      </c>
      <c r="K25" s="20">
        <f>K24*税率!C3</f>
        <v>55705.5849056604</v>
      </c>
    </row>
    <row r="26" ht="14.55" spans="2:13">
      <c r="B26" s="9" t="s">
        <v>98</v>
      </c>
      <c r="C26" s="10">
        <v>532935</v>
      </c>
      <c r="D26" s="10">
        <v>532935</v>
      </c>
      <c r="E26" s="10">
        <v>4796415</v>
      </c>
      <c r="F26" s="11">
        <v>11.92</v>
      </c>
      <c r="G26" s="10">
        <v>21812</v>
      </c>
      <c r="H26" s="11">
        <v>7</v>
      </c>
      <c r="J26" s="21" t="s">
        <v>76</v>
      </c>
      <c r="K26" s="22">
        <f>IF(M27&gt;=0,M27,0)</f>
        <v>638880.593646415</v>
      </c>
      <c r="M26" s="26" t="s">
        <v>2</v>
      </c>
    </row>
    <row r="27" ht="14.55" spans="2:13">
      <c r="B27" s="9" t="s">
        <v>99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J27" s="27" t="s">
        <v>77</v>
      </c>
      <c r="K27" s="17">
        <f>SUM(K4:K26)</f>
        <v>9746127.62541434</v>
      </c>
      <c r="M27" s="28">
        <f>(K3/(1+税率!B3)-SUM(K4:K23)-K25)*税率!D3</f>
        <v>638880.593646415</v>
      </c>
    </row>
    <row r="28" ht="14.55" spans="2:11">
      <c r="B28" s="9" t="s">
        <v>100</v>
      </c>
      <c r="C28" s="10">
        <v>315850</v>
      </c>
      <c r="D28" s="10">
        <v>315850</v>
      </c>
      <c r="E28" s="10">
        <v>2842650</v>
      </c>
      <c r="F28" s="11">
        <v>7.3</v>
      </c>
      <c r="G28" s="10">
        <v>51992</v>
      </c>
      <c r="H28" s="11">
        <v>6</v>
      </c>
      <c r="J28" s="23" t="s">
        <v>78</v>
      </c>
      <c r="K28" s="17">
        <f>K3-K27</f>
        <v>2555522.37458566</v>
      </c>
    </row>
    <row r="29" ht="14.55" spans="2:8">
      <c r="B29" s="9" t="s">
        <v>101</v>
      </c>
      <c r="C29" s="10">
        <v>549619</v>
      </c>
      <c r="D29" s="10">
        <v>518065</v>
      </c>
      <c r="E29" s="10">
        <v>4662585</v>
      </c>
      <c r="F29" s="11">
        <v>10.28</v>
      </c>
      <c r="G29" s="11">
        <v>0</v>
      </c>
      <c r="H29" s="11">
        <v>7</v>
      </c>
    </row>
    <row r="30" ht="25.95" spans="2:8">
      <c r="B30" s="12" t="s">
        <v>102</v>
      </c>
      <c r="C30" s="9" t="s">
        <v>79</v>
      </c>
      <c r="D30" s="9" t="s">
        <v>80</v>
      </c>
      <c r="E30" s="9" t="s">
        <v>103</v>
      </c>
      <c r="F30" s="9" t="s">
        <v>104</v>
      </c>
      <c r="G30" s="9" t="s">
        <v>105</v>
      </c>
      <c r="H30" s="9" t="s">
        <v>106</v>
      </c>
    </row>
    <row r="31" ht="14.55" spans="2:8">
      <c r="B31" s="13"/>
      <c r="C31" s="10">
        <v>1398404</v>
      </c>
      <c r="D31" s="10">
        <v>1366850</v>
      </c>
      <c r="E31" s="10">
        <v>12301650</v>
      </c>
      <c r="F31" s="11">
        <v>7.3</v>
      </c>
      <c r="G31" s="10">
        <v>73804</v>
      </c>
      <c r="H31" s="11">
        <v>20</v>
      </c>
    </row>
    <row r="32" ht="24.75" spans="2:8">
      <c r="B32" s="9" t="s">
        <v>85</v>
      </c>
      <c r="C32" s="9" t="s">
        <v>86</v>
      </c>
      <c r="D32" s="9" t="s">
        <v>107</v>
      </c>
      <c r="E32" s="9" t="s">
        <v>88</v>
      </c>
      <c r="F32" s="9" t="s">
        <v>47</v>
      </c>
      <c r="G32" s="9" t="s">
        <v>89</v>
      </c>
      <c r="H32" s="9" t="s">
        <v>108</v>
      </c>
    </row>
    <row r="33" ht="14.55" spans="2:8">
      <c r="B33" s="10">
        <v>568212</v>
      </c>
      <c r="C33" s="10">
        <v>568212</v>
      </c>
      <c r="D33" s="10">
        <v>1440654</v>
      </c>
      <c r="E33" s="11">
        <v>12</v>
      </c>
      <c r="F33" s="10">
        <v>5354983</v>
      </c>
      <c r="G33" s="11">
        <v>56</v>
      </c>
      <c r="H33" s="11">
        <v>36</v>
      </c>
    </row>
  </sheetData>
  <mergeCells count="8">
    <mergeCell ref="J2:K2"/>
    <mergeCell ref="M2:N2"/>
    <mergeCell ref="B6:C6"/>
    <mergeCell ref="D6:E6"/>
    <mergeCell ref="B7:C7"/>
    <mergeCell ref="D7:E7"/>
    <mergeCell ref="M14:N14"/>
    <mergeCell ref="B30:B31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33"/>
  <sheetViews>
    <sheetView workbookViewId="0">
      <selection activeCell="G13" sqref="G13"/>
    </sheetView>
  </sheetViews>
  <sheetFormatPr defaultColWidth="9" defaultRowHeight="13.8"/>
  <cols>
    <col min="2" max="5" width="11.6666666666667" customWidth="1"/>
    <col min="6" max="6" width="16.1111111111111" customWidth="1"/>
    <col min="7" max="7" width="11.6666666666667" customWidth="1"/>
    <col min="8" max="8" width="13.8888888888889" customWidth="1"/>
    <col min="10" max="10" width="22.6666666666667" customWidth="1"/>
    <col min="13" max="13" width="16.1111111111111" customWidth="1"/>
    <col min="14" max="14" width="10.5555555555556" customWidth="1"/>
    <col min="16" max="16" width="9.55555555555556" customWidth="1"/>
  </cols>
  <sheetData>
    <row r="1" ht="14.55"/>
    <row r="2" ht="14.55" spans="2:17">
      <c r="B2" s="3"/>
      <c r="C2" s="3" t="s">
        <v>5</v>
      </c>
      <c r="D2" s="3" t="s">
        <v>6</v>
      </c>
      <c r="E2" s="3" t="s">
        <v>7</v>
      </c>
      <c r="F2" s="3" t="s">
        <v>8</v>
      </c>
      <c r="J2" s="14" t="s">
        <v>9</v>
      </c>
      <c r="K2" s="15"/>
      <c r="M2" s="14" t="s">
        <v>10</v>
      </c>
      <c r="N2" s="15"/>
      <c r="P2" t="s">
        <v>91</v>
      </c>
      <c r="Q2" t="s">
        <v>92</v>
      </c>
    </row>
    <row r="3" ht="14.55" spans="2:17">
      <c r="B3" s="3" t="s">
        <v>11</v>
      </c>
      <c r="C3" s="4">
        <v>9</v>
      </c>
      <c r="D3" s="4">
        <v>9</v>
      </c>
      <c r="E3" s="4">
        <v>9</v>
      </c>
      <c r="F3" s="4">
        <v>9</v>
      </c>
      <c r="J3" s="16" t="s">
        <v>12</v>
      </c>
      <c r="K3" s="17">
        <f>C3*(C11-G26)+D3*(D11-G27)+E3*(E11-G28)+F3*(F11-G29)</f>
        <v>16005960</v>
      </c>
      <c r="M3" s="16" t="s">
        <v>12</v>
      </c>
      <c r="N3" s="18">
        <f>K3</f>
        <v>16005960</v>
      </c>
      <c r="P3">
        <f>SUM(C19:C22)</f>
        <v>4</v>
      </c>
      <c r="Q3">
        <f>C23</f>
        <v>9</v>
      </c>
    </row>
    <row r="4" spans="2:17">
      <c r="B4" s="3" t="s">
        <v>13</v>
      </c>
      <c r="C4" s="4">
        <v>400000</v>
      </c>
      <c r="D4" s="4"/>
      <c r="E4" s="4">
        <v>400000</v>
      </c>
      <c r="F4" s="4">
        <v>400000</v>
      </c>
      <c r="J4" s="16" t="s">
        <v>14</v>
      </c>
      <c r="K4" s="18">
        <f>D7</f>
        <v>2500001</v>
      </c>
      <c r="M4" s="19" t="s">
        <v>15</v>
      </c>
      <c r="N4" s="20">
        <f>C13</f>
        <v>0</v>
      </c>
      <c r="P4">
        <f>第3季!P3+第3季!P4</f>
        <v>20</v>
      </c>
      <c r="Q4">
        <f>第3季!Q3+第3季!Q4</f>
        <v>36</v>
      </c>
    </row>
    <row r="5" ht="14.55" spans="10:17">
      <c r="J5" s="19" t="s">
        <v>16</v>
      </c>
      <c r="K5" s="20">
        <f>20000</f>
        <v>20000</v>
      </c>
      <c r="M5" s="21" t="s">
        <v>17</v>
      </c>
      <c r="N5" s="22">
        <f>SUM(N3:N4)</f>
        <v>16005960</v>
      </c>
      <c r="P5">
        <v>4500</v>
      </c>
      <c r="Q5">
        <v>3750</v>
      </c>
    </row>
    <row r="6" spans="2:17">
      <c r="B6" s="5" t="s">
        <v>18</v>
      </c>
      <c r="C6" s="5"/>
      <c r="D6" s="5" t="s">
        <v>19</v>
      </c>
      <c r="E6" s="5"/>
      <c r="F6" s="6"/>
      <c r="J6" s="19" t="s">
        <v>20</v>
      </c>
      <c r="K6" s="20">
        <f>1.4*B7</f>
        <v>2386490.4</v>
      </c>
      <c r="M6" s="16" t="s">
        <v>21</v>
      </c>
      <c r="N6" s="18">
        <f>K27-K7-K12-K13</f>
        <v>10253109.3981443</v>
      </c>
      <c r="P6">
        <v>9000</v>
      </c>
      <c r="Q6">
        <v>7500</v>
      </c>
    </row>
    <row r="7" spans="2:14">
      <c r="B7" s="7">
        <v>1704636</v>
      </c>
      <c r="C7" s="7"/>
      <c r="D7" s="7">
        <v>2500001</v>
      </c>
      <c r="E7" s="7"/>
      <c r="F7" s="6"/>
      <c r="J7" s="19" t="s">
        <v>22</v>
      </c>
      <c r="K7" s="20">
        <f>G16*F16</f>
        <v>2876573.25</v>
      </c>
      <c r="M7" s="19" t="s">
        <v>23</v>
      </c>
      <c r="N7" s="20">
        <f>SUM(B16:C16)*D16</f>
        <v>0</v>
      </c>
    </row>
    <row r="8" spans="2:14">
      <c r="B8" s="3" t="s">
        <v>24</v>
      </c>
      <c r="C8" s="8">
        <f>第3季!H18*3</f>
        <v>1704636</v>
      </c>
      <c r="D8" s="3" t="s">
        <v>25</v>
      </c>
      <c r="E8" s="8">
        <f>B7+SUM(第3季!G26:G29)</f>
        <v>1778440</v>
      </c>
      <c r="F8" s="6"/>
      <c r="J8" s="19" t="s">
        <v>26</v>
      </c>
      <c r="K8" s="20"/>
      <c r="M8" s="19" t="s">
        <v>27</v>
      </c>
      <c r="N8" s="20">
        <f>500000*E16</f>
        <v>1500000</v>
      </c>
    </row>
    <row r="9" spans="2:14">
      <c r="B9" s="3"/>
      <c r="C9" s="3" t="s">
        <v>5</v>
      </c>
      <c r="D9" s="3" t="s">
        <v>6</v>
      </c>
      <c r="E9" s="3" t="s">
        <v>7</v>
      </c>
      <c r="F9" s="3" t="s">
        <v>8</v>
      </c>
      <c r="J9" s="19" t="s">
        <v>28</v>
      </c>
      <c r="K9" s="20">
        <f>C16</f>
        <v>0</v>
      </c>
      <c r="M9" s="19" t="s">
        <v>29</v>
      </c>
      <c r="N9" s="20">
        <f>E13</f>
        <v>1430000</v>
      </c>
    </row>
    <row r="10" ht="14.55" spans="2:14">
      <c r="B10" s="3" t="s">
        <v>30</v>
      </c>
      <c r="C10" s="3">
        <f>C11-第3季!G26</f>
        <v>662471</v>
      </c>
      <c r="D10" s="3">
        <f>D11-第3季!G27</f>
        <v>0</v>
      </c>
      <c r="E10" s="3">
        <f>E11-第3季!G28</f>
        <v>347316</v>
      </c>
      <c r="F10" s="3">
        <f>F11-第3季!G29</f>
        <v>694849</v>
      </c>
      <c r="J10" s="19" t="s">
        <v>31</v>
      </c>
      <c r="K10" s="20">
        <f>第3季!E33*12000</f>
        <v>144000</v>
      </c>
      <c r="M10" s="21" t="s">
        <v>32</v>
      </c>
      <c r="N10" s="22">
        <f>SUM(N6:N9)</f>
        <v>13183109.3981443</v>
      </c>
    </row>
    <row r="11" ht="14.55" spans="2:16">
      <c r="B11" s="3" t="s">
        <v>33</v>
      </c>
      <c r="C11" s="4">
        <v>684283</v>
      </c>
      <c r="D11" s="4"/>
      <c r="E11" s="4">
        <v>399308</v>
      </c>
      <c r="F11" s="4">
        <v>694849</v>
      </c>
      <c r="G11">
        <f>E8-SUM(C11:F11)</f>
        <v>0</v>
      </c>
      <c r="J11" s="19" t="s">
        <v>34</v>
      </c>
      <c r="K11" s="20">
        <f>100000*E16</f>
        <v>300000</v>
      </c>
      <c r="M11" s="23" t="s">
        <v>35</v>
      </c>
      <c r="N11" s="17">
        <f>N5-N10</f>
        <v>2822850.60185571</v>
      </c>
      <c r="O11" t="s">
        <v>93</v>
      </c>
      <c r="P11">
        <f>N3/2-第3季!N12</f>
        <v>1615302.15806226</v>
      </c>
    </row>
    <row r="12" ht="14.55" spans="10:14">
      <c r="J12" s="19" t="s">
        <v>36</v>
      </c>
      <c r="K12" s="20">
        <f>第3季!N18*0.025</f>
        <v>142053.3203125</v>
      </c>
      <c r="M12" s="23" t="s">
        <v>37</v>
      </c>
      <c r="N12" s="17">
        <f>IF(第3季!N12+N11&gt;=N3/2,第3季!N12+N11,N3/2)</f>
        <v>9210528.44379345</v>
      </c>
    </row>
    <row r="13" ht="14.55" spans="2:11">
      <c r="B13" s="3" t="s">
        <v>15</v>
      </c>
      <c r="C13" s="4"/>
      <c r="D13" s="3" t="s">
        <v>29</v>
      </c>
      <c r="E13" s="4">
        <v>1430000</v>
      </c>
      <c r="F13" s="3" t="s">
        <v>38</v>
      </c>
      <c r="G13" s="8">
        <f>N11-P11</f>
        <v>1207548.44379345</v>
      </c>
      <c r="J13" s="21" t="s">
        <v>39</v>
      </c>
      <c r="K13" s="22">
        <f>第3季!N17-N17</f>
        <v>295216</v>
      </c>
    </row>
    <row r="14" ht="14.55" spans="10:14">
      <c r="J14" s="16" t="s">
        <v>40</v>
      </c>
      <c r="K14" s="18">
        <f>SUM(C4:F4)</f>
        <v>1200000</v>
      </c>
      <c r="M14" s="14" t="s">
        <v>41</v>
      </c>
      <c r="N14" s="15"/>
    </row>
    <row r="15" spans="2:14">
      <c r="B15" s="3" t="s">
        <v>42</v>
      </c>
      <c r="C15" s="3" t="s">
        <v>43</v>
      </c>
      <c r="D15" s="3" t="s">
        <v>44</v>
      </c>
      <c r="E15" s="3" t="s">
        <v>45</v>
      </c>
      <c r="F15" s="3" t="s">
        <v>46</v>
      </c>
      <c r="G15" s="3" t="s">
        <v>22</v>
      </c>
      <c r="H15" s="3" t="s">
        <v>47</v>
      </c>
      <c r="J15" s="19" t="s">
        <v>48</v>
      </c>
      <c r="K15" s="20">
        <f>0.5*C10+0.1*D10+0.4*(E10+F10)</f>
        <v>748101.5</v>
      </c>
      <c r="M15" s="16" t="s">
        <v>49</v>
      </c>
      <c r="N15" s="18">
        <f>N12</f>
        <v>9210528.44379345</v>
      </c>
    </row>
    <row r="16" ht="14.55" spans="2:14">
      <c r="B16" s="4"/>
      <c r="C16" s="4"/>
      <c r="D16" s="4">
        <v>2.25</v>
      </c>
      <c r="E16" s="4">
        <v>3</v>
      </c>
      <c r="F16" s="3">
        <f>(第3季!N16+第3季!N7)/(第3季!H16+第3季!B16+第3季!C16)</f>
        <v>1.25</v>
      </c>
      <c r="G16" s="3">
        <f>B7*1.35</f>
        <v>2301258.6</v>
      </c>
      <c r="H16" s="3">
        <f>第3季!H16-第4季!G16</f>
        <v>3053725</v>
      </c>
      <c r="J16" s="21" t="s">
        <v>50</v>
      </c>
      <c r="K16" s="22"/>
      <c r="M16" s="19" t="s">
        <v>51</v>
      </c>
      <c r="N16" s="20">
        <f>F16*H16</f>
        <v>3817156.25</v>
      </c>
    </row>
    <row r="17" spans="8:14">
      <c r="H17" s="3" t="s">
        <v>86</v>
      </c>
      <c r="J17" s="16" t="s">
        <v>52</v>
      </c>
      <c r="K17" s="18">
        <f>500*SUM(C19:C23)</f>
        <v>6500</v>
      </c>
      <c r="M17" s="19" t="s">
        <v>53</v>
      </c>
      <c r="N17" s="20">
        <f>SUM(G26:G29)*4</f>
        <v>0</v>
      </c>
    </row>
    <row r="18" spans="2:14">
      <c r="B18" s="3"/>
      <c r="C18" s="3" t="s">
        <v>54</v>
      </c>
      <c r="D18" s="3" t="s">
        <v>55</v>
      </c>
      <c r="H18" s="3">
        <f>ROUNDDOWN(第3季!H18*0.975+50000*E16,0)</f>
        <v>704006</v>
      </c>
      <c r="J18" s="19" t="s">
        <v>56</v>
      </c>
      <c r="K18" s="20">
        <f>1000*SUM(C19:C23)</f>
        <v>13000</v>
      </c>
      <c r="M18" s="19" t="s">
        <v>57</v>
      </c>
      <c r="N18" s="20">
        <f>第3季!N18*0.975+N8</f>
        <v>7040079.4921875</v>
      </c>
    </row>
    <row r="19" ht="14.55" spans="2:14">
      <c r="B19" s="3" t="s">
        <v>5</v>
      </c>
      <c r="C19" s="4">
        <v>2</v>
      </c>
      <c r="D19" s="3"/>
      <c r="J19" s="19" t="s">
        <v>58</v>
      </c>
      <c r="K19" s="20">
        <f>P3*P5+P4*P6+Q3*Q5+Q4*Q6</f>
        <v>501750</v>
      </c>
      <c r="M19" s="21" t="s">
        <v>59</v>
      </c>
      <c r="N19" s="22">
        <f>SUM(N15:N18)</f>
        <v>20067764.1859809</v>
      </c>
    </row>
    <row r="20" spans="2:14">
      <c r="B20" s="3" t="s">
        <v>6</v>
      </c>
      <c r="C20" s="4"/>
      <c r="D20" s="3"/>
      <c r="J20" s="19" t="s">
        <v>60</v>
      </c>
      <c r="K20" s="20">
        <f>6000*SUM(D19:D22)+5000*D23</f>
        <v>0</v>
      </c>
      <c r="M20" s="16" t="s">
        <v>61</v>
      </c>
      <c r="N20" s="18"/>
    </row>
    <row r="21" spans="2:14">
      <c r="B21" s="3" t="s">
        <v>7</v>
      </c>
      <c r="C21" s="4"/>
      <c r="D21" s="3"/>
      <c r="J21" s="19" t="s">
        <v>62</v>
      </c>
      <c r="K21" s="20">
        <f>第3季!N16*0.1</f>
        <v>669372.95</v>
      </c>
      <c r="M21" s="19" t="s">
        <v>63</v>
      </c>
      <c r="N21" s="20">
        <f>N4+第3季!N23-N9</f>
        <v>11710932.369434</v>
      </c>
    </row>
    <row r="22" ht="14.55" spans="2:14">
      <c r="B22" s="3" t="s">
        <v>8</v>
      </c>
      <c r="C22" s="4">
        <v>2</v>
      </c>
      <c r="D22" s="3"/>
      <c r="J22" s="21" t="s">
        <v>64</v>
      </c>
      <c r="K22" s="22">
        <f>SUM(G26:G29)*0.5</f>
        <v>0</v>
      </c>
      <c r="M22" s="19" t="s">
        <v>65</v>
      </c>
      <c r="N22" s="20">
        <f>IF(第3季!N12+N11&gt;=N3/2,0,N3/2-N11-第3季!N12)</f>
        <v>0</v>
      </c>
    </row>
    <row r="23" ht="14.55" spans="2:14">
      <c r="B23" s="3" t="s">
        <v>66</v>
      </c>
      <c r="C23" s="8">
        <f>3*E16</f>
        <v>9</v>
      </c>
      <c r="D23" s="3"/>
      <c r="J23" s="23" t="s">
        <v>67</v>
      </c>
      <c r="K23" s="17">
        <f>N21*税率!E3/4+第3季!N22*税率!E3*3/4</f>
        <v>175663.985541509</v>
      </c>
      <c r="M23" s="21" t="s">
        <v>68</v>
      </c>
      <c r="N23" s="22">
        <f>SUM(N21:N22)</f>
        <v>11710932.369434</v>
      </c>
    </row>
    <row r="24" ht="14.55" spans="10:14">
      <c r="J24" s="16" t="s">
        <v>0</v>
      </c>
      <c r="K24" s="18">
        <f>(K3/(税率!B3+1))*税率!B3</f>
        <v>905997.735849057</v>
      </c>
      <c r="M24" s="24" t="s">
        <v>69</v>
      </c>
      <c r="N24" s="25">
        <f>N19-N23</f>
        <v>8356831.81654698</v>
      </c>
    </row>
    <row r="25" ht="14.55" spans="2:11">
      <c r="B25" s="9" t="s">
        <v>95</v>
      </c>
      <c r="C25" s="9" t="s">
        <v>70</v>
      </c>
      <c r="D25" s="9" t="s">
        <v>71</v>
      </c>
      <c r="E25" s="9" t="s">
        <v>72</v>
      </c>
      <c r="F25" s="9" t="s">
        <v>96</v>
      </c>
      <c r="G25" s="9" t="s">
        <v>97</v>
      </c>
      <c r="H25" s="9" t="s">
        <v>75</v>
      </c>
      <c r="J25" s="19" t="s">
        <v>1</v>
      </c>
      <c r="K25" s="20">
        <f>K24*税率!C3</f>
        <v>72479.8188679245</v>
      </c>
    </row>
    <row r="26" ht="14.55" spans="2:13">
      <c r="B26" s="9" t="s">
        <v>98</v>
      </c>
      <c r="C26" s="10">
        <v>811093</v>
      </c>
      <c r="D26" s="10">
        <v>684283</v>
      </c>
      <c r="E26" s="10">
        <v>6158547</v>
      </c>
      <c r="F26" s="11">
        <v>13.95</v>
      </c>
      <c r="G26" s="11">
        <v>0</v>
      </c>
      <c r="H26" s="11">
        <v>9</v>
      </c>
      <c r="J26" s="21" t="s">
        <v>76</v>
      </c>
      <c r="K26" s="22">
        <f>IF(M27&gt;=0,M27,0)</f>
        <v>609752.007885802</v>
      </c>
      <c r="M26" s="26" t="s">
        <v>2</v>
      </c>
    </row>
    <row r="27" ht="14.55" spans="2:13">
      <c r="B27" s="9" t="s">
        <v>99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J27" s="27" t="s">
        <v>77</v>
      </c>
      <c r="K27" s="17">
        <f>SUM(K4:K26)</f>
        <v>13566951.9684568</v>
      </c>
      <c r="M27" s="28">
        <f>(K3/(1+税率!B3)-SUM(K4:K23)-K25)*税率!D3</f>
        <v>609752.007885802</v>
      </c>
    </row>
    <row r="28" ht="14.55" spans="2:11">
      <c r="B28" s="9" t="s">
        <v>100</v>
      </c>
      <c r="C28" s="10">
        <v>495535</v>
      </c>
      <c r="D28" s="10">
        <v>399308</v>
      </c>
      <c r="E28" s="10">
        <v>3593772</v>
      </c>
      <c r="F28" s="11">
        <v>8.12</v>
      </c>
      <c r="G28" s="11">
        <v>0</v>
      </c>
      <c r="H28" s="11">
        <v>6</v>
      </c>
      <c r="J28" s="23" t="s">
        <v>78</v>
      </c>
      <c r="K28" s="17">
        <f>K3-K27</f>
        <v>2439008.03154321</v>
      </c>
    </row>
    <row r="29" ht="14.55" spans="2:8">
      <c r="B29" s="9" t="s">
        <v>101</v>
      </c>
      <c r="C29" s="10">
        <v>836157</v>
      </c>
      <c r="D29" s="10">
        <v>694849</v>
      </c>
      <c r="E29" s="10">
        <v>6253641</v>
      </c>
      <c r="F29" s="11">
        <v>11.56</v>
      </c>
      <c r="G29" s="11">
        <v>0</v>
      </c>
      <c r="H29" s="11">
        <v>9</v>
      </c>
    </row>
    <row r="30" ht="25.95" spans="2:8">
      <c r="B30" s="12" t="s">
        <v>102</v>
      </c>
      <c r="C30" s="9" t="s">
        <v>79</v>
      </c>
      <c r="D30" s="9" t="s">
        <v>80</v>
      </c>
      <c r="E30" s="9" t="s">
        <v>103</v>
      </c>
      <c r="F30" s="9" t="s">
        <v>104</v>
      </c>
      <c r="G30" s="9" t="s">
        <v>105</v>
      </c>
      <c r="H30" s="9" t="s">
        <v>106</v>
      </c>
    </row>
    <row r="31" ht="14.55" spans="2:8">
      <c r="B31" s="13"/>
      <c r="C31" s="10">
        <v>2142785</v>
      </c>
      <c r="D31" s="10">
        <v>1778440</v>
      </c>
      <c r="E31" s="10">
        <v>16005960</v>
      </c>
      <c r="F31" s="11">
        <v>8.17</v>
      </c>
      <c r="G31" s="11">
        <v>0</v>
      </c>
      <c r="H31" s="11">
        <v>24</v>
      </c>
    </row>
    <row r="32" ht="24.75" spans="2:8">
      <c r="B32" s="9" t="s">
        <v>85</v>
      </c>
      <c r="C32" s="9" t="s">
        <v>86</v>
      </c>
      <c r="D32" s="9" t="s">
        <v>107</v>
      </c>
      <c r="E32" s="9" t="s">
        <v>88</v>
      </c>
      <c r="F32" s="9" t="s">
        <v>47</v>
      </c>
      <c r="G32" s="9" t="s">
        <v>89</v>
      </c>
      <c r="H32" s="9" t="s">
        <v>108</v>
      </c>
    </row>
    <row r="33" ht="14.55" spans="2:8">
      <c r="B33" s="10">
        <v>704006</v>
      </c>
      <c r="C33" s="10">
        <v>704006</v>
      </c>
      <c r="D33" s="10">
        <v>1704636</v>
      </c>
      <c r="E33" s="11">
        <v>15</v>
      </c>
      <c r="F33" s="10">
        <v>3053724</v>
      </c>
      <c r="G33" s="11">
        <v>69</v>
      </c>
      <c r="H33" s="11">
        <v>45</v>
      </c>
    </row>
  </sheetData>
  <mergeCells count="8">
    <mergeCell ref="J2:K2"/>
    <mergeCell ref="M2:N2"/>
    <mergeCell ref="B6:C6"/>
    <mergeCell ref="D6:E6"/>
    <mergeCell ref="B7:C7"/>
    <mergeCell ref="D7:E7"/>
    <mergeCell ref="M14:N14"/>
    <mergeCell ref="B30:B31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33"/>
  <sheetViews>
    <sheetView topLeftCell="A4" workbookViewId="0">
      <selection activeCell="G29" sqref="G29"/>
    </sheetView>
  </sheetViews>
  <sheetFormatPr defaultColWidth="9" defaultRowHeight="13.8"/>
  <cols>
    <col min="2" max="5" width="11.6666666666667" customWidth="1"/>
    <col min="6" max="6" width="16.1111111111111" customWidth="1"/>
    <col min="7" max="7" width="11.6666666666667" customWidth="1"/>
    <col min="8" max="8" width="13.8888888888889" customWidth="1"/>
    <col min="10" max="10" width="22.6666666666667" customWidth="1"/>
    <col min="13" max="13" width="16.1111111111111" customWidth="1"/>
    <col min="14" max="14" width="10.5555555555556" customWidth="1"/>
    <col min="16" max="16" width="9.55555555555556" customWidth="1"/>
  </cols>
  <sheetData>
    <row r="1" ht="14.55"/>
    <row r="2" ht="14.55" spans="2:17">
      <c r="B2" s="3"/>
      <c r="C2" s="3" t="s">
        <v>5</v>
      </c>
      <c r="D2" s="3" t="s">
        <v>6</v>
      </c>
      <c r="E2" s="3" t="s">
        <v>7</v>
      </c>
      <c r="F2" s="3" t="s">
        <v>8</v>
      </c>
      <c r="J2" s="14" t="s">
        <v>9</v>
      </c>
      <c r="K2" s="15"/>
      <c r="M2" s="14" t="s">
        <v>10</v>
      </c>
      <c r="N2" s="15"/>
      <c r="P2" t="s">
        <v>91</v>
      </c>
      <c r="Q2" t="s">
        <v>92</v>
      </c>
    </row>
    <row r="3" ht="14.55" spans="2:17">
      <c r="B3" s="3" t="s">
        <v>11</v>
      </c>
      <c r="C3" s="4">
        <v>9</v>
      </c>
      <c r="D3" s="4">
        <v>9</v>
      </c>
      <c r="E3" s="4">
        <v>9</v>
      </c>
      <c r="F3" s="4">
        <v>9</v>
      </c>
      <c r="J3" s="16" t="s">
        <v>12</v>
      </c>
      <c r="K3" s="17">
        <f>C3*(C11-G26)+D3*(D11-G27)+E3*(E11-G28)+F3*(F11-G29)</f>
        <v>19008162</v>
      </c>
      <c r="M3" s="16" t="s">
        <v>12</v>
      </c>
      <c r="N3" s="18">
        <f>K3</f>
        <v>19008162</v>
      </c>
      <c r="P3">
        <f>SUM(C19:C22)</f>
        <v>6</v>
      </c>
      <c r="Q3">
        <f>C23</f>
        <v>12</v>
      </c>
    </row>
    <row r="4" spans="2:17">
      <c r="B4" s="3" t="s">
        <v>13</v>
      </c>
      <c r="C4" s="4">
        <v>1500001</v>
      </c>
      <c r="D4" s="4"/>
      <c r="E4" s="4">
        <v>1500001</v>
      </c>
      <c r="F4" s="4">
        <v>1500001</v>
      </c>
      <c r="J4" s="16" t="s">
        <v>14</v>
      </c>
      <c r="K4" s="18">
        <f>D7</f>
        <v>2500001</v>
      </c>
      <c r="M4" s="19" t="s">
        <v>15</v>
      </c>
      <c r="N4" s="20">
        <f>C13</f>
        <v>6700000</v>
      </c>
      <c r="P4">
        <f>第4季!P3+第4季!P4</f>
        <v>24</v>
      </c>
      <c r="Q4">
        <f>第4季!Q3+第4季!Q4</f>
        <v>45</v>
      </c>
    </row>
    <row r="5" ht="14.55" spans="10:17">
      <c r="J5" s="19" t="s">
        <v>16</v>
      </c>
      <c r="K5" s="20">
        <f>20000</f>
        <v>20000</v>
      </c>
      <c r="M5" s="21" t="s">
        <v>17</v>
      </c>
      <c r="N5" s="22">
        <f>SUM(N3:N4)</f>
        <v>25708162</v>
      </c>
      <c r="P5">
        <v>4500</v>
      </c>
      <c r="Q5">
        <v>3750</v>
      </c>
    </row>
    <row r="6" spans="2:17">
      <c r="B6" s="5" t="s">
        <v>18</v>
      </c>
      <c r="C6" s="5"/>
      <c r="D6" s="5" t="s">
        <v>19</v>
      </c>
      <c r="E6" s="5"/>
      <c r="F6" s="6"/>
      <c r="J6" s="19" t="s">
        <v>20</v>
      </c>
      <c r="K6" s="20">
        <f>1.4*B7</f>
        <v>2956825.2</v>
      </c>
      <c r="M6" s="16" t="s">
        <v>21</v>
      </c>
      <c r="N6" s="18">
        <f>K27-K7-K12-K13</f>
        <v>14379401.8511421</v>
      </c>
      <c r="P6">
        <v>9000</v>
      </c>
      <c r="Q6">
        <v>7500</v>
      </c>
    </row>
    <row r="7" spans="2:14">
      <c r="B7" s="7">
        <v>2112018</v>
      </c>
      <c r="C7" s="7"/>
      <c r="D7" s="7">
        <v>2500001</v>
      </c>
      <c r="E7" s="7"/>
      <c r="F7" s="6"/>
      <c r="J7" s="19" t="s">
        <v>22</v>
      </c>
      <c r="K7" s="20">
        <f>G16*F16</f>
        <v>3564030.375</v>
      </c>
      <c r="M7" s="19" t="s">
        <v>23</v>
      </c>
      <c r="N7" s="20">
        <f>SUM(B16:C16)*D16</f>
        <v>8609537.5</v>
      </c>
    </row>
    <row r="8" spans="2:14">
      <c r="B8" s="3" t="s">
        <v>24</v>
      </c>
      <c r="C8" s="8">
        <f>第4季!H18*3</f>
        <v>2112018</v>
      </c>
      <c r="D8" s="3" t="s">
        <v>25</v>
      </c>
      <c r="E8" s="8">
        <f>B7+SUM(第4季!G26:G29)</f>
        <v>2112018</v>
      </c>
      <c r="F8" s="6"/>
      <c r="J8" s="19" t="s">
        <v>26</v>
      </c>
      <c r="K8" s="20">
        <f>200000</f>
        <v>200000</v>
      </c>
      <c r="M8" s="19" t="s">
        <v>27</v>
      </c>
      <c r="N8" s="20">
        <f>500000*E16</f>
        <v>2000000</v>
      </c>
    </row>
    <row r="9" spans="2:14">
      <c r="B9" s="3"/>
      <c r="C9" s="3" t="s">
        <v>5</v>
      </c>
      <c r="D9" s="3" t="s">
        <v>6</v>
      </c>
      <c r="E9" s="3" t="s">
        <v>7</v>
      </c>
      <c r="F9" s="3" t="s">
        <v>8</v>
      </c>
      <c r="J9" s="19" t="s">
        <v>28</v>
      </c>
      <c r="K9" s="20">
        <f>C16</f>
        <v>0</v>
      </c>
      <c r="M9" s="19" t="s">
        <v>29</v>
      </c>
      <c r="N9" s="20">
        <f>E13</f>
        <v>0</v>
      </c>
    </row>
    <row r="10" ht="14.55" spans="2:14">
      <c r="B10" s="3" t="s">
        <v>30</v>
      </c>
      <c r="C10" s="3">
        <f>C11-第4季!G26</f>
        <v>831955</v>
      </c>
      <c r="D10" s="3">
        <f>D11-第4季!G27</f>
        <v>0</v>
      </c>
      <c r="E10" s="3">
        <f>E11-第4季!G28</f>
        <v>511768</v>
      </c>
      <c r="F10" s="3">
        <f>F11-第4季!G29</f>
        <v>768295</v>
      </c>
      <c r="J10" s="19" t="s">
        <v>31</v>
      </c>
      <c r="K10" s="20">
        <f>第4季!E33*12000</f>
        <v>180000</v>
      </c>
      <c r="M10" s="21" t="s">
        <v>32</v>
      </c>
      <c r="N10" s="22">
        <f>SUM(N6:N9)</f>
        <v>24988939.3511421</v>
      </c>
    </row>
    <row r="11" ht="14.55" spans="2:16">
      <c r="B11" s="3" t="s">
        <v>33</v>
      </c>
      <c r="C11" s="4">
        <v>831955</v>
      </c>
      <c r="D11" s="4"/>
      <c r="E11" s="4">
        <v>511768</v>
      </c>
      <c r="F11" s="4">
        <v>768295</v>
      </c>
      <c r="G11">
        <f>E8-SUM(C11:F11)</f>
        <v>0</v>
      </c>
      <c r="J11" s="19" t="s">
        <v>34</v>
      </c>
      <c r="K11" s="20">
        <f>100000*E16</f>
        <v>400000</v>
      </c>
      <c r="M11" s="23" t="s">
        <v>35</v>
      </c>
      <c r="N11" s="17">
        <f>N5-N10</f>
        <v>719222.648857918</v>
      </c>
      <c r="O11" t="s">
        <v>93</v>
      </c>
      <c r="P11">
        <f>N3/2-第4季!N12</f>
        <v>293552.556206554</v>
      </c>
    </row>
    <row r="12" ht="14.55" spans="10:14">
      <c r="J12" s="19" t="s">
        <v>36</v>
      </c>
      <c r="K12" s="20">
        <f>第4季!N18*0.025</f>
        <v>176001.987304687</v>
      </c>
      <c r="M12" s="23" t="s">
        <v>37</v>
      </c>
      <c r="N12" s="17">
        <f>IF(第4季!N12+N11&gt;=N3/2,第4季!N12+N11,N3/2)</f>
        <v>9929751.09265136</v>
      </c>
    </row>
    <row r="13" ht="14.55" spans="2:11">
      <c r="B13" s="3" t="s">
        <v>15</v>
      </c>
      <c r="C13" s="4">
        <v>6700000</v>
      </c>
      <c r="D13" s="3" t="s">
        <v>29</v>
      </c>
      <c r="E13" s="4"/>
      <c r="F13" s="3" t="s">
        <v>38</v>
      </c>
      <c r="G13" s="8">
        <f>N11-P11</f>
        <v>425670.092651363</v>
      </c>
      <c r="J13" s="21" t="s">
        <v>39</v>
      </c>
      <c r="K13" s="22">
        <f>第4季!N17-N17</f>
        <v>0</v>
      </c>
    </row>
    <row r="14" ht="14.55" spans="10:14">
      <c r="J14" s="16" t="s">
        <v>40</v>
      </c>
      <c r="K14" s="18">
        <f>SUM(C4:F4)</f>
        <v>4500003</v>
      </c>
      <c r="M14" s="14" t="s">
        <v>41</v>
      </c>
      <c r="N14" s="15"/>
    </row>
    <row r="15" spans="2:14">
      <c r="B15" s="3" t="s">
        <v>42</v>
      </c>
      <c r="C15" s="3" t="s">
        <v>43</v>
      </c>
      <c r="D15" s="3" t="s">
        <v>44</v>
      </c>
      <c r="E15" s="3" t="s">
        <v>45</v>
      </c>
      <c r="F15" s="3" t="s">
        <v>46</v>
      </c>
      <c r="G15" s="3" t="s">
        <v>22</v>
      </c>
      <c r="H15" s="3" t="s">
        <v>47</v>
      </c>
      <c r="J15" s="19" t="s">
        <v>48</v>
      </c>
      <c r="K15" s="20">
        <f>0.5*C10+0.1*D10+0.4*(E10+F10)</f>
        <v>928002.7</v>
      </c>
      <c r="M15" s="16" t="s">
        <v>49</v>
      </c>
      <c r="N15" s="18">
        <f>N12</f>
        <v>9929751.09265136</v>
      </c>
    </row>
    <row r="16" ht="14.55" spans="2:14">
      <c r="B16" s="4">
        <v>6887630</v>
      </c>
      <c r="C16" s="4"/>
      <c r="D16" s="4">
        <v>1.25</v>
      </c>
      <c r="E16" s="4">
        <v>4</v>
      </c>
      <c r="F16" s="3">
        <f>(第4季!N16+第4季!N7)/(第4季!H16+第4季!B16+第4季!C16)</f>
        <v>1.25</v>
      </c>
      <c r="G16" s="3">
        <f>B7*1.35</f>
        <v>2851224.3</v>
      </c>
      <c r="H16" s="3">
        <f>B16+C16+第4季!H16-G16</f>
        <v>7090130.7</v>
      </c>
      <c r="J16" s="21" t="s">
        <v>50</v>
      </c>
      <c r="K16" s="22"/>
      <c r="M16" s="19" t="s">
        <v>51</v>
      </c>
      <c r="N16" s="20">
        <f>F16*H16</f>
        <v>8862663.375</v>
      </c>
    </row>
    <row r="17" ht="14.55" spans="8:14">
      <c r="H17" s="3" t="s">
        <v>86</v>
      </c>
      <c r="J17" s="16" t="s">
        <v>52</v>
      </c>
      <c r="K17" s="18">
        <f>500*SUM(C19:C23)</f>
        <v>9000</v>
      </c>
      <c r="M17" s="19" t="s">
        <v>53</v>
      </c>
      <c r="N17" s="20">
        <f>SUM(G26:G29)*4</f>
        <v>0</v>
      </c>
    </row>
    <row r="18" spans="2:14">
      <c r="B18" s="3"/>
      <c r="C18" s="3" t="s">
        <v>54</v>
      </c>
      <c r="D18" s="3" t="s">
        <v>55</v>
      </c>
      <c r="F18" s="26" t="s">
        <v>109</v>
      </c>
      <c r="H18" s="3">
        <f>ROUNDDOWN(第4季!H18*0.975+50000*E16,0)</f>
        <v>886405</v>
      </c>
      <c r="J18" s="19" t="s">
        <v>56</v>
      </c>
      <c r="K18" s="20">
        <f>1000*SUM(C19:C23)</f>
        <v>18000</v>
      </c>
      <c r="M18" s="19" t="s">
        <v>57</v>
      </c>
      <c r="N18" s="20">
        <f>第4季!N18*0.975+N8</f>
        <v>8864077.50488281</v>
      </c>
    </row>
    <row r="19" ht="14.55" spans="2:14">
      <c r="B19" s="3" t="s">
        <v>5</v>
      </c>
      <c r="C19" s="4">
        <v>3</v>
      </c>
      <c r="D19" s="3"/>
      <c r="F19" s="28">
        <f>ROUNDUP((第6季!C8+第7季!C8)*1.35,0)</f>
        <v>7090129</v>
      </c>
      <c r="J19" s="19" t="s">
        <v>58</v>
      </c>
      <c r="K19" s="20">
        <f>P3*P5+P4*P6+Q3*Q5+Q4*Q6</f>
        <v>625500</v>
      </c>
      <c r="M19" s="21" t="s">
        <v>59</v>
      </c>
      <c r="N19" s="22">
        <f>SUM(N15:N18)</f>
        <v>27656491.9725342</v>
      </c>
    </row>
    <row r="20" spans="2:14">
      <c r="B20" s="3" t="s">
        <v>6</v>
      </c>
      <c r="C20" s="4"/>
      <c r="D20" s="3"/>
      <c r="J20" s="19" t="s">
        <v>60</v>
      </c>
      <c r="K20" s="20">
        <f>6000*SUM(D19:D22)+5000*D23</f>
        <v>0</v>
      </c>
      <c r="M20" s="16" t="s">
        <v>61</v>
      </c>
      <c r="N20" s="18"/>
    </row>
    <row r="21" spans="2:14">
      <c r="B21" s="3" t="s">
        <v>7</v>
      </c>
      <c r="C21" s="4">
        <v>2</v>
      </c>
      <c r="D21" s="3"/>
      <c r="F21">
        <f>7292629-F19</f>
        <v>202500</v>
      </c>
      <c r="J21" s="19" t="s">
        <v>62</v>
      </c>
      <c r="K21" s="20">
        <f>第4季!N16*0.1</f>
        <v>381715.625</v>
      </c>
      <c r="M21" s="19" t="s">
        <v>63</v>
      </c>
      <c r="N21" s="20">
        <f>N4+第4季!N23-N9</f>
        <v>18410932.369434</v>
      </c>
    </row>
    <row r="22" ht="14.55" spans="2:14">
      <c r="B22" s="3" t="s">
        <v>8</v>
      </c>
      <c r="C22" s="4">
        <v>1</v>
      </c>
      <c r="D22" s="3"/>
      <c r="F22">
        <f>F19-F21</f>
        <v>6887629</v>
      </c>
      <c r="J22" s="21" t="s">
        <v>64</v>
      </c>
      <c r="K22" s="22">
        <f>SUM(G26:G29)*0.5</f>
        <v>0</v>
      </c>
      <c r="M22" s="19" t="s">
        <v>65</v>
      </c>
      <c r="N22" s="20">
        <f>IF(第4季!N12+N11&gt;=N3/2,0,N3/2-N11-第4季!N12)</f>
        <v>0</v>
      </c>
    </row>
    <row r="23" ht="14.55" spans="2:14">
      <c r="B23" s="3" t="s">
        <v>66</v>
      </c>
      <c r="C23" s="8">
        <f>3*E16</f>
        <v>12</v>
      </c>
      <c r="D23" s="3"/>
      <c r="J23" s="23" t="s">
        <v>67</v>
      </c>
      <c r="K23" s="17">
        <f>N21*税率!E3/4+第4季!N22*税率!E3*3/4</f>
        <v>276163.985541509</v>
      </c>
      <c r="M23" s="21" t="s">
        <v>68</v>
      </c>
      <c r="N23" s="22">
        <f>SUM(N21:N22)</f>
        <v>18410932.369434</v>
      </c>
    </row>
    <row r="24" ht="14.55" spans="10:14">
      <c r="J24" s="16" t="s">
        <v>0</v>
      </c>
      <c r="K24" s="18">
        <f>(K3/(税率!B3+1))*税率!B3</f>
        <v>1075933.69811321</v>
      </c>
      <c r="M24" s="24" t="s">
        <v>69</v>
      </c>
      <c r="N24" s="25">
        <f>N19-N23</f>
        <v>9245559.60310021</v>
      </c>
    </row>
    <row r="25" ht="14.55" spans="2:11">
      <c r="B25" s="9" t="s">
        <v>95</v>
      </c>
      <c r="C25" s="9" t="s">
        <v>70</v>
      </c>
      <c r="D25" s="9" t="s">
        <v>71</v>
      </c>
      <c r="E25" s="9" t="s">
        <v>72</v>
      </c>
      <c r="F25" s="9" t="s">
        <v>96</v>
      </c>
      <c r="G25" s="9" t="s">
        <v>97</v>
      </c>
      <c r="H25" s="9" t="s">
        <v>75</v>
      </c>
      <c r="J25" s="19" t="s">
        <v>1</v>
      </c>
      <c r="K25" s="20">
        <f>K24*税率!C3</f>
        <v>86074.6958490566</v>
      </c>
    </row>
    <row r="26" ht="14.55" spans="2:13">
      <c r="B26" s="9" t="s">
        <v>98</v>
      </c>
      <c r="C26" s="10">
        <v>976826</v>
      </c>
      <c r="D26" s="10">
        <v>831955</v>
      </c>
      <c r="E26" s="10">
        <v>7487595</v>
      </c>
      <c r="F26" s="11">
        <v>13.28</v>
      </c>
      <c r="G26" s="11">
        <v>0</v>
      </c>
      <c r="H26" s="11">
        <v>12</v>
      </c>
      <c r="J26" s="21" t="s">
        <v>76</v>
      </c>
      <c r="K26" s="22">
        <f>IF(M27&gt;=0,M27,0)</f>
        <v>222181.946638308</v>
      </c>
      <c r="M26" s="26" t="s">
        <v>2</v>
      </c>
    </row>
    <row r="27" ht="14.55" spans="2:13">
      <c r="B27" s="9" t="s">
        <v>99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J27" s="27" t="s">
        <v>77</v>
      </c>
      <c r="K27" s="17">
        <f>SUM(K4:K26)</f>
        <v>18119434.2134468</v>
      </c>
      <c r="M27" s="28">
        <f>(K3/(1+税率!B3)-SUM(K4:K23)-K25)*税率!D3</f>
        <v>222181.946638308</v>
      </c>
    </row>
    <row r="28" ht="14.55" spans="2:11">
      <c r="B28" s="9" t="s">
        <v>100</v>
      </c>
      <c r="C28" s="10">
        <v>572997</v>
      </c>
      <c r="D28" s="10">
        <v>511768</v>
      </c>
      <c r="E28" s="10">
        <v>4605912</v>
      </c>
      <c r="F28" s="11">
        <v>8.11</v>
      </c>
      <c r="G28" s="11">
        <v>0</v>
      </c>
      <c r="H28" s="11">
        <v>8</v>
      </c>
      <c r="J28" s="23" t="s">
        <v>78</v>
      </c>
      <c r="K28" s="17">
        <f>K3-K27</f>
        <v>888727.78655323</v>
      </c>
    </row>
    <row r="29" ht="14.55" spans="2:8">
      <c r="B29" s="9" t="s">
        <v>101</v>
      </c>
      <c r="C29" s="10">
        <v>773677</v>
      </c>
      <c r="D29" s="10">
        <v>768295</v>
      </c>
      <c r="E29" s="10">
        <v>6914655</v>
      </c>
      <c r="F29" s="11">
        <v>11.43</v>
      </c>
      <c r="G29" s="11">
        <v>0</v>
      </c>
      <c r="H29" s="11">
        <v>10</v>
      </c>
    </row>
    <row r="30" ht="25.95" spans="2:8">
      <c r="B30" s="12" t="s">
        <v>102</v>
      </c>
      <c r="C30" s="9" t="s">
        <v>79</v>
      </c>
      <c r="D30" s="9" t="s">
        <v>80</v>
      </c>
      <c r="E30" s="9" t="s">
        <v>103</v>
      </c>
      <c r="F30" s="9" t="s">
        <v>104</v>
      </c>
      <c r="G30" s="9" t="s">
        <v>105</v>
      </c>
      <c r="H30" s="9" t="s">
        <v>106</v>
      </c>
    </row>
    <row r="31" ht="14.55" spans="2:8">
      <c r="B31" s="13"/>
      <c r="C31" s="10">
        <v>2323500</v>
      </c>
      <c r="D31" s="10">
        <v>2112018</v>
      </c>
      <c r="E31" s="10">
        <v>19008162</v>
      </c>
      <c r="F31" s="11">
        <v>8.11</v>
      </c>
      <c r="G31" s="11">
        <v>0</v>
      </c>
      <c r="H31" s="11">
        <v>30</v>
      </c>
    </row>
    <row r="32" ht="24.75" spans="2:8">
      <c r="B32" s="9" t="s">
        <v>85</v>
      </c>
      <c r="C32" s="9" t="s">
        <v>86</v>
      </c>
      <c r="D32" s="9" t="s">
        <v>107</v>
      </c>
      <c r="E32" s="9" t="s">
        <v>88</v>
      </c>
      <c r="F32" s="9" t="s">
        <v>47</v>
      </c>
      <c r="G32" s="9" t="s">
        <v>89</v>
      </c>
      <c r="H32" s="9" t="s">
        <v>108</v>
      </c>
    </row>
    <row r="33" ht="14.55" spans="2:8">
      <c r="B33" s="10">
        <v>886405</v>
      </c>
      <c r="C33" s="10">
        <v>886405</v>
      </c>
      <c r="D33" s="10">
        <v>2112018</v>
      </c>
      <c r="E33" s="11">
        <v>19</v>
      </c>
      <c r="F33" s="10">
        <v>7090329</v>
      </c>
      <c r="G33" s="11">
        <v>87</v>
      </c>
      <c r="H33" s="11">
        <v>57</v>
      </c>
    </row>
  </sheetData>
  <mergeCells count="8">
    <mergeCell ref="J2:K2"/>
    <mergeCell ref="M2:N2"/>
    <mergeCell ref="B6:C6"/>
    <mergeCell ref="D6:E6"/>
    <mergeCell ref="B7:C7"/>
    <mergeCell ref="D7:E7"/>
    <mergeCell ref="M14:N14"/>
    <mergeCell ref="B30:B31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33"/>
  <sheetViews>
    <sheetView topLeftCell="A16" workbookViewId="0">
      <selection activeCell="B25" sqref="B25:H33"/>
    </sheetView>
  </sheetViews>
  <sheetFormatPr defaultColWidth="9" defaultRowHeight="13.8"/>
  <cols>
    <col min="2" max="5" width="11.6666666666667" customWidth="1"/>
    <col min="6" max="6" width="16.1111111111111" customWidth="1"/>
    <col min="7" max="7" width="11.6666666666667" customWidth="1"/>
    <col min="8" max="8" width="13.8888888888889" customWidth="1"/>
    <col min="10" max="10" width="22.6666666666667" customWidth="1"/>
    <col min="13" max="13" width="16.1111111111111" customWidth="1"/>
    <col min="16" max="16" width="9.55555555555556" customWidth="1"/>
  </cols>
  <sheetData>
    <row r="1" ht="14.55"/>
    <row r="2" ht="14.55" spans="2:17">
      <c r="B2" s="3"/>
      <c r="C2" s="3" t="s">
        <v>5</v>
      </c>
      <c r="D2" s="3" t="s">
        <v>6</v>
      </c>
      <c r="E2" s="3" t="s">
        <v>7</v>
      </c>
      <c r="F2" s="3" t="s">
        <v>8</v>
      </c>
      <c r="J2" s="14" t="s">
        <v>9</v>
      </c>
      <c r="K2" s="15"/>
      <c r="M2" s="14" t="s">
        <v>10</v>
      </c>
      <c r="N2" s="15"/>
      <c r="P2" t="s">
        <v>91</v>
      </c>
      <c r="Q2" t="s">
        <v>92</v>
      </c>
    </row>
    <row r="3" ht="14.55" spans="2:17">
      <c r="B3" s="3" t="s">
        <v>11</v>
      </c>
      <c r="C3" s="4">
        <v>7.7</v>
      </c>
      <c r="D3" s="4"/>
      <c r="E3" s="4">
        <v>7.7</v>
      </c>
      <c r="F3" s="4">
        <v>7.7</v>
      </c>
      <c r="J3" s="16" t="s">
        <v>12</v>
      </c>
      <c r="K3" s="17">
        <f>C3*(C11-G26)+D3*(D11-G27)+E3*(E11-G28)+F3*(F11-G29)</f>
        <v>20196045.1</v>
      </c>
      <c r="M3" s="16" t="s">
        <v>12</v>
      </c>
      <c r="N3" s="18">
        <f>K3</f>
        <v>20196045.1</v>
      </c>
      <c r="P3">
        <f>SUM(C19:C22)</f>
        <v>0</v>
      </c>
      <c r="Q3">
        <f>C23</f>
        <v>0</v>
      </c>
    </row>
    <row r="4" spans="2:17">
      <c r="B4" s="3" t="s">
        <v>13</v>
      </c>
      <c r="C4" s="4">
        <v>1500001</v>
      </c>
      <c r="D4" s="4"/>
      <c r="E4" s="4">
        <v>1500001</v>
      </c>
      <c r="F4" s="4">
        <v>1500001</v>
      </c>
      <c r="J4" s="16" t="s">
        <v>14</v>
      </c>
      <c r="K4" s="18">
        <f>D7</f>
        <v>1800001</v>
      </c>
      <c r="M4" s="19" t="s">
        <v>15</v>
      </c>
      <c r="N4" s="20">
        <f>C13</f>
        <v>0</v>
      </c>
      <c r="P4">
        <f>第5季!P3+第5季!P4</f>
        <v>30</v>
      </c>
      <c r="Q4">
        <f>第5季!Q3+第5季!Q4</f>
        <v>57</v>
      </c>
    </row>
    <row r="5" ht="14.55" spans="10:17">
      <c r="J5" s="19" t="s">
        <v>16</v>
      </c>
      <c r="K5" s="20">
        <f>20000</f>
        <v>20000</v>
      </c>
      <c r="M5" s="21" t="s">
        <v>17</v>
      </c>
      <c r="N5" s="22">
        <f>SUM(N3:N4)</f>
        <v>20196045.1</v>
      </c>
      <c r="P5">
        <v>4500</v>
      </c>
      <c r="Q5">
        <v>3750</v>
      </c>
    </row>
    <row r="6" spans="2:17">
      <c r="B6" s="5" t="s">
        <v>18</v>
      </c>
      <c r="C6" s="5"/>
      <c r="D6" s="5" t="s">
        <v>19</v>
      </c>
      <c r="E6" s="5"/>
      <c r="F6" s="6"/>
      <c r="J6" s="19" t="s">
        <v>20</v>
      </c>
      <c r="K6" s="20">
        <f>1.45*B7</f>
        <v>3855861.75</v>
      </c>
      <c r="M6" s="16" t="s">
        <v>21</v>
      </c>
      <c r="N6" s="18">
        <f>K27-K7-K12-K13</f>
        <v>14684256.1770352</v>
      </c>
      <c r="P6">
        <v>9000</v>
      </c>
      <c r="Q6">
        <v>7500</v>
      </c>
    </row>
    <row r="7" spans="2:14">
      <c r="B7" s="7">
        <v>2659215</v>
      </c>
      <c r="C7" s="7"/>
      <c r="D7" s="7">
        <v>1800001</v>
      </c>
      <c r="E7" s="7"/>
      <c r="F7" s="6"/>
      <c r="J7" s="19" t="s">
        <v>22</v>
      </c>
      <c r="K7" s="20">
        <f>G16*F16</f>
        <v>4487425.3125</v>
      </c>
      <c r="M7" s="19" t="s">
        <v>23</v>
      </c>
      <c r="N7" s="20">
        <f>SUM(B16:C16)*D16</f>
        <v>0</v>
      </c>
    </row>
    <row r="8" spans="2:14">
      <c r="B8" s="3" t="s">
        <v>24</v>
      </c>
      <c r="C8" s="8">
        <f>第5季!H18*3</f>
        <v>2659215</v>
      </c>
      <c r="D8" s="3" t="s">
        <v>25</v>
      </c>
      <c r="E8" s="8">
        <f>B7+SUM(第5季!G26:G29)</f>
        <v>2659215</v>
      </c>
      <c r="F8" s="6"/>
      <c r="J8" s="19" t="s">
        <v>26</v>
      </c>
      <c r="K8" s="20"/>
      <c r="M8" s="19" t="s">
        <v>27</v>
      </c>
      <c r="N8" s="20">
        <f>500000*E16</f>
        <v>0</v>
      </c>
    </row>
    <row r="9" spans="2:14">
      <c r="B9" s="3"/>
      <c r="C9" s="3" t="s">
        <v>5</v>
      </c>
      <c r="D9" s="3" t="s">
        <v>6</v>
      </c>
      <c r="E9" s="3" t="s">
        <v>7</v>
      </c>
      <c r="F9" s="3" t="s">
        <v>8</v>
      </c>
      <c r="J9" s="19" t="s">
        <v>28</v>
      </c>
      <c r="K9" s="20">
        <f>C16</f>
        <v>0</v>
      </c>
      <c r="M9" s="19" t="s">
        <v>29</v>
      </c>
      <c r="N9" s="20">
        <f>E13</f>
        <v>4200000</v>
      </c>
    </row>
    <row r="10" ht="14.55" spans="2:14">
      <c r="B10" s="3" t="s">
        <v>30</v>
      </c>
      <c r="C10" s="3">
        <f>C11-第5季!G26</f>
        <v>1071828</v>
      </c>
      <c r="D10" s="3">
        <f>D11-第5季!G27</f>
        <v>0</v>
      </c>
      <c r="E10" s="3">
        <f>E11-第5季!G28</f>
        <v>710172</v>
      </c>
      <c r="F10" s="3">
        <f>F11-第5季!G29</f>
        <v>877215</v>
      </c>
      <c r="J10" s="19" t="s">
        <v>31</v>
      </c>
      <c r="K10" s="20">
        <f>第5季!E33*12000</f>
        <v>228000</v>
      </c>
      <c r="M10" s="21" t="s">
        <v>32</v>
      </c>
      <c r="N10" s="22">
        <f>SUM(N6:N9)</f>
        <v>18884256.1770352</v>
      </c>
    </row>
    <row r="11" ht="14.55" spans="2:16">
      <c r="B11" s="3" t="s">
        <v>33</v>
      </c>
      <c r="C11" s="4">
        <v>1071828</v>
      </c>
      <c r="D11" s="4"/>
      <c r="E11" s="4">
        <v>710172</v>
      </c>
      <c r="F11" s="4">
        <v>877215</v>
      </c>
      <c r="G11">
        <f>E8-SUM(C11:F11)</f>
        <v>0</v>
      </c>
      <c r="J11" s="19" t="s">
        <v>34</v>
      </c>
      <c r="K11" s="20">
        <f>100000*E16</f>
        <v>0</v>
      </c>
      <c r="M11" s="23" t="s">
        <v>35</v>
      </c>
      <c r="N11" s="17">
        <f>N5-N10</f>
        <v>1311788.92296479</v>
      </c>
      <c r="O11" t="s">
        <v>93</v>
      </c>
      <c r="P11">
        <f>N3/2-第5季!N12</f>
        <v>168271.457348637</v>
      </c>
    </row>
    <row r="12" ht="14.55" spans="10:14">
      <c r="J12" s="19" t="s">
        <v>36</v>
      </c>
      <c r="K12" s="20">
        <f>第5季!N18*0.025</f>
        <v>221601.93762207</v>
      </c>
      <c r="M12" s="23" t="s">
        <v>37</v>
      </c>
      <c r="N12" s="17">
        <f>IF(第5季!N12+N11&gt;=N3/2,第5季!N12+N11,N3/2)</f>
        <v>11241540.0156162</v>
      </c>
    </row>
    <row r="13" ht="14.55" spans="2:11">
      <c r="B13" s="3" t="s">
        <v>15</v>
      </c>
      <c r="C13" s="4"/>
      <c r="D13" s="3" t="s">
        <v>29</v>
      </c>
      <c r="E13" s="4">
        <v>4200000</v>
      </c>
      <c r="F13" s="3" t="s">
        <v>38</v>
      </c>
      <c r="G13" s="8">
        <f>N11-P11</f>
        <v>1143517.46561615</v>
      </c>
      <c r="J13" s="21" t="s">
        <v>39</v>
      </c>
      <c r="K13" s="22">
        <f>第5季!N17-N17</f>
        <v>-145408</v>
      </c>
    </row>
    <row r="14" ht="14.55" spans="10:14">
      <c r="J14" s="16" t="s">
        <v>40</v>
      </c>
      <c r="K14" s="18">
        <f>SUM(C4:F4)</f>
        <v>4500003</v>
      </c>
      <c r="M14" s="14" t="s">
        <v>41</v>
      </c>
      <c r="N14" s="15"/>
    </row>
    <row r="15" spans="2:14">
      <c r="B15" s="3" t="s">
        <v>42</v>
      </c>
      <c r="C15" s="3" t="s">
        <v>43</v>
      </c>
      <c r="D15" s="3" t="s">
        <v>44</v>
      </c>
      <c r="E15" s="3" t="s">
        <v>45</v>
      </c>
      <c r="F15" s="3" t="s">
        <v>46</v>
      </c>
      <c r="G15" s="3" t="s">
        <v>22</v>
      </c>
      <c r="H15" s="3" t="s">
        <v>47</v>
      </c>
      <c r="J15" s="19" t="s">
        <v>48</v>
      </c>
      <c r="K15" s="20">
        <f>0.5*C10+0.1*D10+0.4*(E10+F10)</f>
        <v>1170868.8</v>
      </c>
      <c r="M15" s="16" t="s">
        <v>49</v>
      </c>
      <c r="N15" s="18">
        <f>N12</f>
        <v>11241540.0156162</v>
      </c>
    </row>
    <row r="16" ht="14.55" spans="2:14">
      <c r="B16" s="4"/>
      <c r="C16" s="4"/>
      <c r="D16" s="4">
        <v>2.25</v>
      </c>
      <c r="E16" s="4"/>
      <c r="F16" s="3">
        <f>(第5季!N16+第5季!N7)/(第5季!H16+第5季!B16+第5季!C16)</f>
        <v>1.25</v>
      </c>
      <c r="G16" s="3">
        <f>B7*1.35</f>
        <v>3589940.25</v>
      </c>
      <c r="H16" s="3">
        <f>第5季!H16-G16</f>
        <v>3500190.45</v>
      </c>
      <c r="J16" s="21" t="s">
        <v>50</v>
      </c>
      <c r="K16" s="22"/>
      <c r="M16" s="19" t="s">
        <v>51</v>
      </c>
      <c r="N16" s="20">
        <f>F16*H16</f>
        <v>4375238.0625</v>
      </c>
    </row>
    <row r="17" spans="8:14">
      <c r="H17" s="3" t="s">
        <v>86</v>
      </c>
      <c r="J17" s="16" t="s">
        <v>52</v>
      </c>
      <c r="K17" s="18">
        <f>500*SUM(C19:C23)</f>
        <v>0</v>
      </c>
      <c r="M17" s="19" t="s">
        <v>53</v>
      </c>
      <c r="N17" s="20">
        <f>SUM(G26:G29)*4</f>
        <v>145408</v>
      </c>
    </row>
    <row r="18" spans="2:14">
      <c r="B18" s="3"/>
      <c r="C18" s="3" t="s">
        <v>54</v>
      </c>
      <c r="D18" s="3" t="s">
        <v>55</v>
      </c>
      <c r="H18" s="3">
        <f>ROUNDDOWN(第5季!H18*0.975+50000*E16,0)</f>
        <v>864244</v>
      </c>
      <c r="J18" s="19" t="s">
        <v>56</v>
      </c>
      <c r="K18" s="20">
        <f>1000*SUM(C19:C23)</f>
        <v>0</v>
      </c>
      <c r="M18" s="19" t="s">
        <v>57</v>
      </c>
      <c r="N18" s="20">
        <f>第5季!N18*0.975+N8</f>
        <v>8642475.56726074</v>
      </c>
    </row>
    <row r="19" ht="14.55" spans="2:14">
      <c r="B19" s="3" t="s">
        <v>5</v>
      </c>
      <c r="C19" s="4"/>
      <c r="D19" s="3"/>
      <c r="J19" s="19" t="s">
        <v>58</v>
      </c>
      <c r="K19" s="20">
        <f>P3*P5+P4*P6+Q3*Q5+Q4*Q6</f>
        <v>697500</v>
      </c>
      <c r="M19" s="21" t="s">
        <v>59</v>
      </c>
      <c r="N19" s="22">
        <f>SUM(N15:N18)</f>
        <v>24404661.6453769</v>
      </c>
    </row>
    <row r="20" spans="2:14">
      <c r="B20" s="3" t="s">
        <v>6</v>
      </c>
      <c r="C20" s="4"/>
      <c r="D20" s="3"/>
      <c r="J20" s="19" t="s">
        <v>60</v>
      </c>
      <c r="K20" s="20">
        <f>6000*SUM(D19:D22)+5000*D23</f>
        <v>0</v>
      </c>
      <c r="M20" s="16" t="s">
        <v>61</v>
      </c>
      <c r="N20" s="18"/>
    </row>
    <row r="21" spans="2:14">
      <c r="B21" s="3" t="s">
        <v>7</v>
      </c>
      <c r="C21" s="4"/>
      <c r="D21" s="3"/>
      <c r="J21" s="19" t="s">
        <v>62</v>
      </c>
      <c r="K21" s="20">
        <f>第5季!H16*0.1</f>
        <v>709013.07</v>
      </c>
      <c r="M21" s="19" t="s">
        <v>63</v>
      </c>
      <c r="N21" s="20">
        <f>N4+第5季!N23-N9</f>
        <v>14210932.369434</v>
      </c>
    </row>
    <row r="22" ht="14.55" spans="2:14">
      <c r="B22" s="3" t="s">
        <v>8</v>
      </c>
      <c r="C22" s="4"/>
      <c r="D22" s="3"/>
      <c r="J22" s="21" t="s">
        <v>64</v>
      </c>
      <c r="K22" s="22">
        <f>SUM(G26:G29)*0.5</f>
        <v>18176</v>
      </c>
      <c r="M22" s="19" t="s">
        <v>65</v>
      </c>
      <c r="N22" s="20">
        <f>IF(第5季!N12+N11&gt;=N3/2,0,N3/2-N11-第5季!N12)</f>
        <v>0</v>
      </c>
    </row>
    <row r="23" ht="14.55" spans="2:14">
      <c r="B23" s="3" t="s">
        <v>66</v>
      </c>
      <c r="C23" s="8">
        <f>3*E16</f>
        <v>0</v>
      </c>
      <c r="D23" s="3"/>
      <c r="J23" s="23" t="s">
        <v>67</v>
      </c>
      <c r="K23" s="17">
        <f>N21*税率!E3/4+第5季!N22*税率!E3*3/4</f>
        <v>213163.985541509</v>
      </c>
      <c r="M23" s="21" t="s">
        <v>68</v>
      </c>
      <c r="N23" s="22">
        <f>SUM(N21:N22)</f>
        <v>14210932.369434</v>
      </c>
    </row>
    <row r="24" ht="14.55" spans="10:14">
      <c r="J24" s="16" t="s">
        <v>0</v>
      </c>
      <c r="K24" s="18">
        <f>(K3/(税率!B3+1))*税率!B3</f>
        <v>1143172.36415094</v>
      </c>
      <c r="M24" s="24" t="s">
        <v>69</v>
      </c>
      <c r="N24" s="25">
        <f>N19-N23</f>
        <v>10193729.2759429</v>
      </c>
    </row>
    <row r="25" ht="14.55" spans="2:11">
      <c r="B25" s="9" t="s">
        <v>95</v>
      </c>
      <c r="C25" s="9" t="s">
        <v>70</v>
      </c>
      <c r="D25" s="9" t="s">
        <v>71</v>
      </c>
      <c r="E25" s="9" t="s">
        <v>72</v>
      </c>
      <c r="F25" s="9" t="s">
        <v>96</v>
      </c>
      <c r="G25" s="9" t="s">
        <v>97</v>
      </c>
      <c r="H25" s="9" t="s">
        <v>75</v>
      </c>
      <c r="J25" s="19" t="s">
        <v>1</v>
      </c>
      <c r="K25" s="20">
        <f>K24*税率!C3</f>
        <v>91453.7891320755</v>
      </c>
    </row>
    <row r="26" ht="14.55" spans="2:13">
      <c r="B26" s="9" t="s">
        <v>98</v>
      </c>
      <c r="C26" s="10">
        <v>1035476</v>
      </c>
      <c r="D26" s="10">
        <v>1035476</v>
      </c>
      <c r="E26" s="10">
        <v>7973165</v>
      </c>
      <c r="F26" s="11">
        <v>13.82</v>
      </c>
      <c r="G26" s="10">
        <v>36352</v>
      </c>
      <c r="H26" s="11">
        <v>12</v>
      </c>
      <c r="J26" s="21" t="s">
        <v>76</v>
      </c>
      <c r="K26" s="22">
        <f>IF(M27&gt;=0,M27,0)</f>
        <v>237042.41821068</v>
      </c>
      <c r="M26" s="26" t="s">
        <v>2</v>
      </c>
    </row>
    <row r="27" ht="14.55" spans="2:13">
      <c r="B27" s="9" t="s">
        <v>99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J27" s="27" t="s">
        <v>77</v>
      </c>
      <c r="K27" s="17">
        <f>SUM(K4:K26)</f>
        <v>19247875.4271573</v>
      </c>
      <c r="M27" s="28">
        <f>(K3/(1+税率!B3)-SUM(K4:K23)-K25)*税率!D3</f>
        <v>237042.41821068</v>
      </c>
    </row>
    <row r="28" ht="14.55" spans="2:11">
      <c r="B28" s="9" t="s">
        <v>100</v>
      </c>
      <c r="C28" s="10">
        <v>735324</v>
      </c>
      <c r="D28" s="10">
        <v>710172</v>
      </c>
      <c r="E28" s="10">
        <v>5468324</v>
      </c>
      <c r="F28" s="11">
        <v>9.08</v>
      </c>
      <c r="G28" s="11">
        <v>0</v>
      </c>
      <c r="H28" s="11">
        <v>8</v>
      </c>
      <c r="J28" s="23" t="s">
        <v>78</v>
      </c>
      <c r="K28" s="17">
        <f>K3-K27</f>
        <v>948169.672842719</v>
      </c>
    </row>
    <row r="29" ht="14.55" spans="2:8">
      <c r="B29" s="9" t="s">
        <v>101</v>
      </c>
      <c r="C29" s="10">
        <v>912183</v>
      </c>
      <c r="D29" s="10">
        <v>877215</v>
      </c>
      <c r="E29" s="10">
        <v>6754556</v>
      </c>
      <c r="F29" s="11">
        <v>12.2</v>
      </c>
      <c r="G29" s="11">
        <v>0</v>
      </c>
      <c r="H29" s="11">
        <v>10</v>
      </c>
    </row>
    <row r="30" ht="25.95" spans="2:8">
      <c r="B30" s="12" t="s">
        <v>102</v>
      </c>
      <c r="C30" s="9" t="s">
        <v>79</v>
      </c>
      <c r="D30" s="9" t="s">
        <v>80</v>
      </c>
      <c r="E30" s="9" t="s">
        <v>103</v>
      </c>
      <c r="F30" s="9" t="s">
        <v>104</v>
      </c>
      <c r="G30" s="9" t="s">
        <v>105</v>
      </c>
      <c r="H30" s="9" t="s">
        <v>106</v>
      </c>
    </row>
    <row r="31" ht="14.55" spans="2:8">
      <c r="B31" s="13"/>
      <c r="C31" s="10">
        <v>2682983</v>
      </c>
      <c r="D31" s="10">
        <v>2622863</v>
      </c>
      <c r="E31" s="10">
        <v>20196045</v>
      </c>
      <c r="F31" s="11">
        <v>8.84</v>
      </c>
      <c r="G31" s="10">
        <v>36352</v>
      </c>
      <c r="H31" s="11">
        <v>30</v>
      </c>
    </row>
    <row r="32" ht="24.75" spans="2:8">
      <c r="B32" s="9" t="s">
        <v>85</v>
      </c>
      <c r="C32" s="9" t="s">
        <v>86</v>
      </c>
      <c r="D32" s="9" t="s">
        <v>107</v>
      </c>
      <c r="E32" s="9" t="s">
        <v>88</v>
      </c>
      <c r="F32" s="9" t="s">
        <v>47</v>
      </c>
      <c r="G32" s="9" t="s">
        <v>89</v>
      </c>
      <c r="H32" s="9" t="s">
        <v>108</v>
      </c>
    </row>
    <row r="33" ht="14.55" spans="2:8">
      <c r="B33" s="10">
        <v>864244</v>
      </c>
      <c r="C33" s="10">
        <v>864244</v>
      </c>
      <c r="D33" s="10">
        <v>2659215</v>
      </c>
      <c r="E33" s="11">
        <v>19</v>
      </c>
      <c r="F33" s="10">
        <v>3500388</v>
      </c>
      <c r="G33" s="11">
        <v>87</v>
      </c>
      <c r="H33" s="11">
        <v>57</v>
      </c>
    </row>
  </sheetData>
  <mergeCells count="8">
    <mergeCell ref="J2:K2"/>
    <mergeCell ref="M2:N2"/>
    <mergeCell ref="B6:C6"/>
    <mergeCell ref="D6:E6"/>
    <mergeCell ref="B7:C7"/>
    <mergeCell ref="D7:E7"/>
    <mergeCell ref="M14:N14"/>
    <mergeCell ref="B30:B31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33"/>
  <sheetViews>
    <sheetView topLeftCell="A4" workbookViewId="0">
      <selection activeCell="G29" sqref="G29"/>
    </sheetView>
  </sheetViews>
  <sheetFormatPr defaultColWidth="9" defaultRowHeight="13.8"/>
  <cols>
    <col min="2" max="5" width="11.6666666666667" customWidth="1"/>
    <col min="6" max="6" width="16.1111111111111" customWidth="1"/>
    <col min="7" max="7" width="11.6666666666667" customWidth="1"/>
    <col min="8" max="8" width="13.8888888888889" customWidth="1"/>
    <col min="10" max="10" width="22.6666666666667" customWidth="1"/>
    <col min="13" max="13" width="16.1111111111111" customWidth="1"/>
    <col min="16" max="16" width="9.55555555555556" customWidth="1"/>
  </cols>
  <sheetData>
    <row r="1" ht="14.55"/>
    <row r="2" ht="14.55" spans="2:17">
      <c r="B2" s="3"/>
      <c r="C2" s="3" t="s">
        <v>5</v>
      </c>
      <c r="D2" s="3" t="s">
        <v>6</v>
      </c>
      <c r="E2" s="3" t="s">
        <v>7</v>
      </c>
      <c r="F2" s="3" t="s">
        <v>8</v>
      </c>
      <c r="J2" s="14" t="s">
        <v>9</v>
      </c>
      <c r="K2" s="15"/>
      <c r="M2" s="14" t="s">
        <v>10</v>
      </c>
      <c r="N2" s="15"/>
      <c r="P2" t="s">
        <v>91</v>
      </c>
      <c r="Q2" t="s">
        <v>92</v>
      </c>
    </row>
    <row r="3" ht="14.55" spans="2:17">
      <c r="B3" s="3" t="s">
        <v>11</v>
      </c>
      <c r="C3" s="4">
        <v>7.1</v>
      </c>
      <c r="D3" s="4"/>
      <c r="E3" s="4">
        <v>7.1</v>
      </c>
      <c r="F3" s="4">
        <v>7.1</v>
      </c>
      <c r="J3" s="16" t="s">
        <v>12</v>
      </c>
      <c r="K3" s="17">
        <f>C3*(C11-G26)+D3*(D11-G27)+E3*(E11-G28)+F3*(F11-G29)</f>
        <v>16924696</v>
      </c>
      <c r="M3" s="16" t="s">
        <v>12</v>
      </c>
      <c r="N3" s="18">
        <f>K3</f>
        <v>16924696</v>
      </c>
      <c r="P3">
        <f>SUM(C19:C22)</f>
        <v>0</v>
      </c>
      <c r="Q3">
        <f>C23</f>
        <v>0</v>
      </c>
    </row>
    <row r="4" spans="2:17">
      <c r="B4" s="3" t="s">
        <v>13</v>
      </c>
      <c r="C4" s="4"/>
      <c r="D4" s="4"/>
      <c r="E4" s="4"/>
      <c r="F4" s="4"/>
      <c r="J4" s="16" t="s">
        <v>14</v>
      </c>
      <c r="K4" s="18">
        <f>D7</f>
        <v>0</v>
      </c>
      <c r="M4" s="19" t="s">
        <v>15</v>
      </c>
      <c r="N4" s="20">
        <f>C13</f>
        <v>0</v>
      </c>
      <c r="P4">
        <f>第6季!P3+第6季!P4</f>
        <v>30</v>
      </c>
      <c r="Q4">
        <f>第6季!Q3+第6季!Q4</f>
        <v>57</v>
      </c>
    </row>
    <row r="5" ht="14.55" spans="10:17">
      <c r="J5" s="19" t="s">
        <v>16</v>
      </c>
      <c r="K5" s="20">
        <f>20000</f>
        <v>20000</v>
      </c>
      <c r="M5" s="21" t="s">
        <v>17</v>
      </c>
      <c r="N5" s="22">
        <f>SUM(N3:N4)</f>
        <v>16924696</v>
      </c>
      <c r="P5">
        <v>4500</v>
      </c>
      <c r="Q5">
        <v>3750</v>
      </c>
    </row>
    <row r="6" spans="2:17">
      <c r="B6" s="5" t="s">
        <v>18</v>
      </c>
      <c r="C6" s="5"/>
      <c r="D6" s="5" t="s">
        <v>19</v>
      </c>
      <c r="E6" s="5"/>
      <c r="F6" s="6"/>
      <c r="J6" s="19" t="s">
        <v>20</v>
      </c>
      <c r="K6" s="20">
        <f>1.45*B7</f>
        <v>3759461.4</v>
      </c>
      <c r="M6" s="16" t="s">
        <v>21</v>
      </c>
      <c r="N6" s="18">
        <f>K27-K7-K12-K13</f>
        <v>8765650.75116294</v>
      </c>
      <c r="P6">
        <v>9000</v>
      </c>
      <c r="Q6">
        <v>7500</v>
      </c>
    </row>
    <row r="7" spans="2:14">
      <c r="B7" s="7">
        <v>2592732</v>
      </c>
      <c r="C7" s="7"/>
      <c r="D7" s="7"/>
      <c r="E7" s="7"/>
      <c r="F7" s="6"/>
      <c r="J7" s="19" t="s">
        <v>22</v>
      </c>
      <c r="K7" s="20">
        <f>G16*F16</f>
        <v>4375235.25</v>
      </c>
      <c r="M7" s="19" t="s">
        <v>23</v>
      </c>
      <c r="N7" s="20">
        <f>SUM(B16:C16)*D16</f>
        <v>4265850</v>
      </c>
    </row>
    <row r="8" spans="2:14">
      <c r="B8" s="3" t="s">
        <v>24</v>
      </c>
      <c r="C8" s="8">
        <f>第6季!H18*3</f>
        <v>2592732</v>
      </c>
      <c r="D8" s="3" t="s">
        <v>25</v>
      </c>
      <c r="E8" s="8">
        <f>B7+SUM(第6季!G26:G29)</f>
        <v>2629084</v>
      </c>
      <c r="F8" s="6"/>
      <c r="J8" s="19" t="s">
        <v>26</v>
      </c>
      <c r="K8" s="20">
        <f>200000</f>
        <v>200000</v>
      </c>
      <c r="M8" s="19" t="s">
        <v>27</v>
      </c>
      <c r="N8" s="20">
        <f>500000*E16</f>
        <v>0</v>
      </c>
    </row>
    <row r="9" spans="2:14">
      <c r="B9" s="3"/>
      <c r="C9" s="3" t="s">
        <v>5</v>
      </c>
      <c r="D9" s="3" t="s">
        <v>6</v>
      </c>
      <c r="E9" s="3" t="s">
        <v>7</v>
      </c>
      <c r="F9" s="3" t="s">
        <v>8</v>
      </c>
      <c r="J9" s="19" t="s">
        <v>28</v>
      </c>
      <c r="K9" s="20">
        <f>C16</f>
        <v>0</v>
      </c>
      <c r="M9" s="19" t="s">
        <v>29</v>
      </c>
      <c r="N9" s="20">
        <f>E13</f>
        <v>6200000</v>
      </c>
    </row>
    <row r="10" ht="14.55" spans="2:14">
      <c r="B10" s="3" t="s">
        <v>30</v>
      </c>
      <c r="C10" s="3">
        <f>C11-第6季!G26</f>
        <v>952007</v>
      </c>
      <c r="D10" s="3">
        <f>D11-第6季!G27</f>
        <v>0</v>
      </c>
      <c r="E10" s="3">
        <f>E11-第6季!G28</f>
        <v>743892</v>
      </c>
      <c r="F10" s="3">
        <f>F11-第6季!G29</f>
        <v>896833</v>
      </c>
      <c r="J10" s="19" t="s">
        <v>31</v>
      </c>
      <c r="K10" s="20">
        <f>第6季!E33*12000</f>
        <v>228000</v>
      </c>
      <c r="M10" s="21" t="s">
        <v>32</v>
      </c>
      <c r="N10" s="22">
        <f>SUM(N6:N9)</f>
        <v>19231500.7511629</v>
      </c>
    </row>
    <row r="11" ht="14.55" spans="2:16">
      <c r="B11" s="3" t="s">
        <v>33</v>
      </c>
      <c r="C11" s="4">
        <v>988359</v>
      </c>
      <c r="D11" s="4"/>
      <c r="E11" s="4">
        <v>743892</v>
      </c>
      <c r="F11" s="4">
        <v>896833</v>
      </c>
      <c r="G11">
        <f>E8-SUM(C11:F11)</f>
        <v>0</v>
      </c>
      <c r="J11" s="19" t="s">
        <v>34</v>
      </c>
      <c r="K11" s="20">
        <f>100000*E16</f>
        <v>0</v>
      </c>
      <c r="M11" s="23" t="s">
        <v>35</v>
      </c>
      <c r="N11" s="17">
        <f>N5-N10</f>
        <v>-2306804.75116294</v>
      </c>
      <c r="O11" t="s">
        <v>93</v>
      </c>
      <c r="P11">
        <f>N3/2-第6季!N12</f>
        <v>-2779192.01561615</v>
      </c>
    </row>
    <row r="12" ht="14.55" spans="10:14">
      <c r="J12" s="19" t="s">
        <v>36</v>
      </c>
      <c r="K12" s="20">
        <f>第6季!N18*0.025</f>
        <v>216061.889181519</v>
      </c>
      <c r="M12" s="23" t="s">
        <v>37</v>
      </c>
      <c r="N12" s="17">
        <f>IF(第6季!N12+N11&gt;=N3/2,第6季!N12+N11,N3/2)</f>
        <v>8934735.26445321</v>
      </c>
    </row>
    <row r="13" ht="14.55" spans="2:11">
      <c r="B13" s="3" t="s">
        <v>15</v>
      </c>
      <c r="C13" s="4"/>
      <c r="D13" s="3" t="s">
        <v>29</v>
      </c>
      <c r="E13" s="4">
        <v>6200000</v>
      </c>
      <c r="F13" s="3" t="s">
        <v>38</v>
      </c>
      <c r="G13" s="8">
        <f>N11-P11</f>
        <v>472387.26445321</v>
      </c>
      <c r="J13" s="21" t="s">
        <v>39</v>
      </c>
      <c r="K13" s="22">
        <f>第6季!N17-N17</f>
        <v>-835888</v>
      </c>
    </row>
    <row r="14" ht="14.55" spans="10:14">
      <c r="J14" s="16" t="s">
        <v>40</v>
      </c>
      <c r="K14" s="18">
        <f>SUM(C4:F4)</f>
        <v>0</v>
      </c>
      <c r="M14" s="14" t="s">
        <v>41</v>
      </c>
      <c r="N14" s="15"/>
    </row>
    <row r="15" spans="2:14">
      <c r="B15" s="3" t="s">
        <v>42</v>
      </c>
      <c r="C15" s="3" t="s">
        <v>43</v>
      </c>
      <c r="D15" s="3" t="s">
        <v>44</v>
      </c>
      <c r="E15" s="3" t="s">
        <v>45</v>
      </c>
      <c r="F15" s="3" t="s">
        <v>46</v>
      </c>
      <c r="G15" s="3" t="s">
        <v>22</v>
      </c>
      <c r="H15" s="3" t="s">
        <v>47</v>
      </c>
      <c r="J15" s="19" t="s">
        <v>48</v>
      </c>
      <c r="K15" s="20">
        <f>0.5*C10+0.1*D10+0.4*(E10+F10)</f>
        <v>1132293.5</v>
      </c>
      <c r="M15" s="16" t="s">
        <v>49</v>
      </c>
      <c r="N15" s="18">
        <f>N12</f>
        <v>8934735.26445321</v>
      </c>
    </row>
    <row r="16" ht="14.55" spans="2:14">
      <c r="B16" s="4">
        <v>3412680</v>
      </c>
      <c r="C16" s="4"/>
      <c r="D16" s="4">
        <v>1.25</v>
      </c>
      <c r="E16" s="4"/>
      <c r="F16" s="3">
        <f>(第6季!N16+第6季!N7)/(第6季!H16+第6季!B16+第6季!C16)</f>
        <v>1.25</v>
      </c>
      <c r="G16" s="3">
        <f>B7*1.35</f>
        <v>3500188.2</v>
      </c>
      <c r="H16" s="3">
        <f>第6季!H16-G16+第7季!B16</f>
        <v>3412682.25</v>
      </c>
      <c r="J16" s="21" t="s">
        <v>50</v>
      </c>
      <c r="K16" s="22"/>
      <c r="M16" s="19" t="s">
        <v>51</v>
      </c>
      <c r="N16" s="20">
        <f>F16*H16</f>
        <v>4265852.8125</v>
      </c>
    </row>
    <row r="17" spans="8:14">
      <c r="H17" s="3" t="s">
        <v>86</v>
      </c>
      <c r="J17" s="16" t="s">
        <v>52</v>
      </c>
      <c r="K17" s="18">
        <f>500*SUM(C19:C23)</f>
        <v>0</v>
      </c>
      <c r="M17" s="19" t="s">
        <v>53</v>
      </c>
      <c r="N17" s="20">
        <f>SUM(G26:G29)*4</f>
        <v>981296</v>
      </c>
    </row>
    <row r="18" spans="2:14">
      <c r="B18" s="3"/>
      <c r="C18" s="3" t="s">
        <v>54</v>
      </c>
      <c r="D18" s="3" t="s">
        <v>55</v>
      </c>
      <c r="H18" s="3">
        <f>ROUNDDOWN(第6季!H18*0.975+50000*E16,0)</f>
        <v>842637</v>
      </c>
      <c r="J18" s="19" t="s">
        <v>56</v>
      </c>
      <c r="K18" s="20">
        <f>1000*SUM(C19:C23)</f>
        <v>0</v>
      </c>
      <c r="M18" s="19" t="s">
        <v>57</v>
      </c>
      <c r="N18" s="20">
        <f>第6季!N18*0.975+N8</f>
        <v>8426413.67807922</v>
      </c>
    </row>
    <row r="19" ht="14.55" spans="2:14">
      <c r="B19" s="3" t="s">
        <v>5</v>
      </c>
      <c r="C19" s="4"/>
      <c r="D19" s="3"/>
      <c r="F19">
        <f>1.35*第8季!C8</f>
        <v>3412679.85</v>
      </c>
      <c r="J19" s="19" t="s">
        <v>58</v>
      </c>
      <c r="K19" s="20">
        <f>P3*P5+P4*P6+Q3*Q5+Q4*Q6</f>
        <v>697500</v>
      </c>
      <c r="M19" s="21" t="s">
        <v>59</v>
      </c>
      <c r="N19" s="22">
        <f>SUM(N15:N18)</f>
        <v>22608297.7550324</v>
      </c>
    </row>
    <row r="20" spans="2:14">
      <c r="B20" s="3" t="s">
        <v>6</v>
      </c>
      <c r="C20" s="4"/>
      <c r="D20" s="3"/>
      <c r="J20" s="19" t="s">
        <v>60</v>
      </c>
      <c r="K20" s="20">
        <f>6000*SUM(D19:D22)+5000*D23</f>
        <v>0</v>
      </c>
      <c r="M20" s="16" t="s">
        <v>61</v>
      </c>
      <c r="N20" s="18"/>
    </row>
    <row r="21" spans="2:14">
      <c r="B21" s="3" t="s">
        <v>7</v>
      </c>
      <c r="C21" s="4"/>
      <c r="D21" s="3"/>
      <c r="J21" s="19" t="s">
        <v>62</v>
      </c>
      <c r="K21" s="20">
        <f>第6季!H16*0.1</f>
        <v>350019.045</v>
      </c>
      <c r="M21" s="19" t="s">
        <v>63</v>
      </c>
      <c r="N21" s="20">
        <f>N4+第6季!N23-N9</f>
        <v>8010932.36943396</v>
      </c>
    </row>
    <row r="22" ht="14.55" spans="2:14">
      <c r="B22" s="3" t="s">
        <v>8</v>
      </c>
      <c r="C22" s="4"/>
      <c r="D22" s="3"/>
      <c r="J22" s="21" t="s">
        <v>64</v>
      </c>
      <c r="K22" s="22">
        <f>SUM(G26:G29)*0.5</f>
        <v>122662</v>
      </c>
      <c r="M22" s="19" t="s">
        <v>65</v>
      </c>
      <c r="N22" s="20">
        <f>IF(第6季!N12+N11&gt;=N3/2,0,N3/2-N11-第6季!N12)</f>
        <v>0</v>
      </c>
    </row>
    <row r="23" ht="14.55" spans="2:14">
      <c r="B23" s="3" t="s">
        <v>66</v>
      </c>
      <c r="C23" s="8">
        <f>3*E16</f>
        <v>0</v>
      </c>
      <c r="D23" s="3"/>
      <c r="J23" s="23" t="s">
        <v>67</v>
      </c>
      <c r="K23" s="17">
        <f>N21*税率!E3/4+第6季!N22*税率!E3*3/4</f>
        <v>120163.985541509</v>
      </c>
      <c r="M23" s="21" t="s">
        <v>68</v>
      </c>
      <c r="N23" s="22">
        <f>SUM(N21:N22)</f>
        <v>8010932.36943396</v>
      </c>
    </row>
    <row r="24" ht="14.55" spans="10:14">
      <c r="J24" s="16" t="s">
        <v>0</v>
      </c>
      <c r="K24" s="18">
        <f>(K3/(税率!B3+1))*税率!B3</f>
        <v>958001.660377358</v>
      </c>
      <c r="M24" s="24" t="s">
        <v>69</v>
      </c>
      <c r="N24" s="25">
        <f>N19-N23</f>
        <v>14597365.3855985</v>
      </c>
    </row>
    <row r="25" ht="14.55" spans="2:11">
      <c r="B25" s="9" t="s">
        <v>95</v>
      </c>
      <c r="C25" s="9" t="s">
        <v>70</v>
      </c>
      <c r="D25" s="9" t="s">
        <v>71</v>
      </c>
      <c r="E25" s="9" t="s">
        <v>72</v>
      </c>
      <c r="F25" s="9" t="s">
        <v>96</v>
      </c>
      <c r="G25" s="9" t="s">
        <v>97</v>
      </c>
      <c r="H25" s="9" t="s">
        <v>75</v>
      </c>
      <c r="J25" s="19" t="s">
        <v>1</v>
      </c>
      <c r="K25" s="20">
        <f>K24*税率!C3</f>
        <v>76640.1328301887</v>
      </c>
    </row>
    <row r="26" ht="14.55" spans="2:13">
      <c r="B26" s="9" t="s">
        <v>98</v>
      </c>
      <c r="C26" s="10">
        <v>987509</v>
      </c>
      <c r="D26" s="10">
        <v>987509</v>
      </c>
      <c r="E26" s="10">
        <v>7011314</v>
      </c>
      <c r="F26" s="11">
        <v>13.28</v>
      </c>
      <c r="G26" s="11">
        <v>850</v>
      </c>
      <c r="H26" s="11">
        <v>12</v>
      </c>
      <c r="J26" s="21" t="s">
        <v>76</v>
      </c>
      <c r="K26" s="22">
        <f>IF(M27&gt;=0,M27,0)</f>
        <v>1100909.02741388</v>
      </c>
      <c r="M26" s="26" t="s">
        <v>2</v>
      </c>
    </row>
    <row r="27" ht="14.55" spans="2:13">
      <c r="B27" s="9" t="s">
        <v>99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J27" s="27" t="s">
        <v>77</v>
      </c>
      <c r="K27" s="17">
        <f>SUM(K4:K26)</f>
        <v>12521059.8903445</v>
      </c>
      <c r="M27" s="28">
        <f>(K3/(1+税率!B3)-SUM(K4:K23)-K25)*税率!D3</f>
        <v>1100909.02741388</v>
      </c>
    </row>
    <row r="28" ht="14.55" spans="2:11">
      <c r="B28" s="9" t="s">
        <v>100</v>
      </c>
      <c r="C28" s="10">
        <v>660686</v>
      </c>
      <c r="D28" s="10">
        <v>660686</v>
      </c>
      <c r="E28" s="10">
        <v>4690871</v>
      </c>
      <c r="F28" s="11">
        <v>8.01</v>
      </c>
      <c r="G28" s="10">
        <v>83206</v>
      </c>
      <c r="H28" s="11">
        <v>8</v>
      </c>
      <c r="J28" s="23" t="s">
        <v>78</v>
      </c>
      <c r="K28" s="17">
        <f>K3-K27</f>
        <v>4403636.10965554</v>
      </c>
    </row>
    <row r="29" ht="14.55" spans="2:8">
      <c r="B29" s="9" t="s">
        <v>101</v>
      </c>
      <c r="C29" s="10">
        <v>735565</v>
      </c>
      <c r="D29" s="10">
        <v>735565</v>
      </c>
      <c r="E29" s="10">
        <v>5222512</v>
      </c>
      <c r="F29" s="11">
        <v>10.14</v>
      </c>
      <c r="G29" s="10">
        <v>161268</v>
      </c>
      <c r="H29" s="11">
        <v>10</v>
      </c>
    </row>
    <row r="30" ht="25.95" spans="2:8">
      <c r="B30" s="12" t="s">
        <v>102</v>
      </c>
      <c r="C30" s="9" t="s">
        <v>79</v>
      </c>
      <c r="D30" s="9" t="s">
        <v>80</v>
      </c>
      <c r="E30" s="9" t="s">
        <v>103</v>
      </c>
      <c r="F30" s="9" t="s">
        <v>104</v>
      </c>
      <c r="G30" s="9" t="s">
        <v>105</v>
      </c>
      <c r="H30" s="9" t="s">
        <v>106</v>
      </c>
    </row>
    <row r="31" ht="14.55" spans="2:8">
      <c r="B31" s="13"/>
      <c r="C31" s="10">
        <v>2383760</v>
      </c>
      <c r="D31" s="10">
        <v>2383760</v>
      </c>
      <c r="E31" s="10">
        <v>16924696</v>
      </c>
      <c r="F31" s="11">
        <v>7.85</v>
      </c>
      <c r="G31" s="10">
        <v>245324</v>
      </c>
      <c r="H31" s="11">
        <v>30</v>
      </c>
    </row>
    <row r="32" ht="24.75" spans="2:8">
      <c r="B32" s="9" t="s">
        <v>85</v>
      </c>
      <c r="C32" s="9" t="s">
        <v>86</v>
      </c>
      <c r="D32" s="9" t="s">
        <v>107</v>
      </c>
      <c r="E32" s="9" t="s">
        <v>88</v>
      </c>
      <c r="F32" s="9" t="s">
        <v>47</v>
      </c>
      <c r="G32" s="9" t="s">
        <v>89</v>
      </c>
      <c r="H32" s="9" t="s">
        <v>108</v>
      </c>
    </row>
    <row r="33" ht="14.55" spans="2:8">
      <c r="B33" s="10">
        <v>842637</v>
      </c>
      <c r="C33" s="10">
        <v>842637</v>
      </c>
      <c r="D33" s="10">
        <v>2592732</v>
      </c>
      <c r="E33" s="11">
        <v>19</v>
      </c>
      <c r="F33" s="10">
        <v>3412879</v>
      </c>
      <c r="G33" s="11">
        <v>87</v>
      </c>
      <c r="H33" s="11">
        <v>57</v>
      </c>
    </row>
  </sheetData>
  <mergeCells count="8">
    <mergeCell ref="J2:K2"/>
    <mergeCell ref="M2:N2"/>
    <mergeCell ref="B6:C6"/>
    <mergeCell ref="D6:E6"/>
    <mergeCell ref="B7:C7"/>
    <mergeCell ref="D7:E7"/>
    <mergeCell ref="M14:N14"/>
    <mergeCell ref="B30:B3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税率</vt:lpstr>
      <vt:lpstr>第0季</vt:lpstr>
      <vt:lpstr>第1季</vt:lpstr>
      <vt:lpstr>第2季</vt:lpstr>
      <vt:lpstr>第3季</vt:lpstr>
      <vt:lpstr>第4季</vt:lpstr>
      <vt:lpstr>第5季</vt:lpstr>
      <vt:lpstr>第6季</vt:lpstr>
      <vt:lpstr>第7季</vt:lpstr>
      <vt:lpstr>第8季</vt:lpstr>
      <vt:lpstr>Sheet12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湘廷 刘</dc:creator>
  <cp:lastModifiedBy>啦啦</cp:lastModifiedBy>
  <dcterms:created xsi:type="dcterms:W3CDTF">2025-03-22T12:32:00Z</dcterms:created>
  <dcterms:modified xsi:type="dcterms:W3CDTF">2025-07-01T01:24:04Z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CFFE227663AB43938C5D6E1AAFA0A543_13</vt:lpwstr>
  </property>
  <property fmtid="{D5CDD505-2E9C-101B-9397-08002B2CF9AE}" pid="3" name="KSOProductBuildVer">
    <vt:lpwstr>2052-12.1.0.21541</vt:lpwstr>
  </property>
</Properties>
</file>