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rinker\Documents\GitHub\dissertation\FAST_models\WindPACT\excel_proc\turbines\"/>
    </mc:Choice>
  </mc:AlternateContent>
  <bookViews>
    <workbookView xWindow="110" yWindow="0" windowWidth="7620" windowHeight="7580"/>
  </bookViews>
  <sheets>
    <sheet name="Main Page" sheetId="5" r:id="rId1"/>
    <sheet name="AD_JR" sheetId="12" r:id="rId2"/>
    <sheet name="Blades_JR" sheetId="9" r:id="rId3"/>
    <sheet name="Control_JR" sheetId="13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52511"/>
</workbook>
</file>

<file path=xl/calcChain.xml><?xml version="1.0" encoding="utf-8"?>
<calcChain xmlns="http://schemas.openxmlformats.org/spreadsheetml/2006/main">
  <c r="C10" i="10" l="1"/>
  <c r="C11" i="10"/>
  <c r="C12" i="10"/>
  <c r="C24" i="10" l="1"/>
  <c r="C23" i="10"/>
  <c r="C22" i="10"/>
  <c r="C18" i="10"/>
  <c r="C9" i="10"/>
  <c r="C8" i="10"/>
  <c r="C7" i="10"/>
  <c r="C3" i="10"/>
  <c r="C5" i="9"/>
  <c r="C4" i="9"/>
  <c r="C3" i="9"/>
  <c r="C17" i="13" l="1"/>
  <c r="C15" i="13"/>
  <c r="C14" i="13"/>
  <c r="C13" i="13"/>
  <c r="C12" i="13"/>
  <c r="C11" i="13"/>
  <c r="C4" i="13"/>
  <c r="C16" i="13" l="1"/>
  <c r="C8" i="11"/>
  <c r="C6" i="11"/>
  <c r="C5" i="11"/>
  <c r="C4" i="11"/>
  <c r="C3" i="11"/>
  <c r="G42" i="12"/>
  <c r="F42" i="12"/>
  <c r="G41" i="12"/>
  <c r="F41" i="12"/>
  <c r="G40" i="12"/>
  <c r="F40" i="12"/>
  <c r="G39" i="12"/>
  <c r="F39" i="12"/>
  <c r="G38" i="12"/>
  <c r="F38" i="12"/>
  <c r="G37" i="12"/>
  <c r="F37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F5" i="12"/>
  <c r="E5" i="12"/>
  <c r="D5" i="12"/>
  <c r="C5" i="12"/>
  <c r="C3" i="12"/>
  <c r="C51" i="12"/>
  <c r="C22" i="12" s="1"/>
  <c r="C50" i="12"/>
  <c r="C21" i="12" s="1"/>
  <c r="C49" i="12"/>
  <c r="C20" i="12" s="1"/>
  <c r="C48" i="12"/>
  <c r="C19" i="12" s="1"/>
  <c r="C47" i="12"/>
  <c r="C18" i="12" s="1"/>
  <c r="C46" i="12"/>
  <c r="C17" i="12" s="1"/>
  <c r="C45" i="12"/>
  <c r="C16" i="12" s="1"/>
  <c r="C44" i="12"/>
  <c r="C15" i="12" s="1"/>
  <c r="C43" i="12"/>
  <c r="C14" i="12" s="1"/>
  <c r="C42" i="12"/>
  <c r="C13" i="12" s="1"/>
  <c r="C41" i="12"/>
  <c r="C12" i="12" s="1"/>
  <c r="C40" i="12"/>
  <c r="C11" i="12" s="1"/>
  <c r="C39" i="12"/>
  <c r="C10" i="12" s="1"/>
  <c r="C38" i="12"/>
  <c r="C9" i="12" s="1"/>
  <c r="C37" i="12"/>
  <c r="C8" i="12" s="1"/>
  <c r="A141" i="5" l="1"/>
  <c r="A140" i="5"/>
  <c r="A139" i="5"/>
  <c r="A138" i="5"/>
  <c r="A137" i="5"/>
  <c r="A136" i="5"/>
  <c r="B31" i="5"/>
  <c r="C5" i="13" l="1"/>
  <c r="B43" i="5"/>
  <c r="C6" i="13" s="1"/>
  <c r="B5" i="6"/>
  <c r="D37" i="12" s="1"/>
  <c r="C5" i="6"/>
  <c r="E37" i="12" s="1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F18" i="6" s="1"/>
  <c r="F28" i="6" s="1"/>
  <c r="E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J8" i="9" s="1"/>
  <c r="M6" i="6"/>
  <c r="L19" i="6" s="1"/>
  <c r="L29" i="6" s="1"/>
  <c r="I8" i="9" s="1"/>
  <c r="N6" i="6"/>
  <c r="E19" i="6" s="1"/>
  <c r="E29" i="6" s="1"/>
  <c r="B7" i="6"/>
  <c r="C7" i="6"/>
  <c r="D7" i="6"/>
  <c r="E7" i="6"/>
  <c r="F7" i="6"/>
  <c r="G7" i="6"/>
  <c r="H7" i="6"/>
  <c r="I7" i="6"/>
  <c r="D20" i="6" s="1"/>
  <c r="D33" i="6" s="1"/>
  <c r="J7" i="6"/>
  <c r="O20" i="6" s="1"/>
  <c r="O33" i="6" s="1"/>
  <c r="G12" i="9" s="1"/>
  <c r="K7" i="6"/>
  <c r="N20" i="6" s="1"/>
  <c r="N33" i="6" s="1"/>
  <c r="H12" i="9" s="1"/>
  <c r="L7" i="6"/>
  <c r="M20" i="6" s="1"/>
  <c r="M33" i="6" s="1"/>
  <c r="M7" i="6"/>
  <c r="L20" i="6" s="1"/>
  <c r="L33" i="6" s="1"/>
  <c r="N7" i="6"/>
  <c r="E20" i="6" s="1"/>
  <c r="B8" i="6"/>
  <c r="C8" i="6"/>
  <c r="E40" i="12" s="1"/>
  <c r="D8" i="6"/>
  <c r="E8" i="6"/>
  <c r="F8" i="6"/>
  <c r="G8" i="6"/>
  <c r="H8" i="6"/>
  <c r="I8" i="6"/>
  <c r="D21" i="6" s="1"/>
  <c r="D38" i="6" s="1"/>
  <c r="J8" i="6"/>
  <c r="O21" i="6" s="1"/>
  <c r="O38" i="6" s="1"/>
  <c r="K8" i="6"/>
  <c r="N21" i="6" s="1"/>
  <c r="N38" i="6" s="1"/>
  <c r="H17" i="9" s="1"/>
  <c r="L8" i="6"/>
  <c r="M21" i="6" s="1"/>
  <c r="M38" i="6" s="1"/>
  <c r="J17" i="9" s="1"/>
  <c r="M8" i="6"/>
  <c r="L21" i="6" s="1"/>
  <c r="L38" i="6" s="1"/>
  <c r="I17" i="9" s="1"/>
  <c r="N8" i="6"/>
  <c r="E21" i="6" s="1"/>
  <c r="B9" i="6"/>
  <c r="C9" i="6"/>
  <c r="D9" i="6"/>
  <c r="E9" i="6"/>
  <c r="F9" i="6"/>
  <c r="G9" i="6"/>
  <c r="H9" i="6"/>
  <c r="I9" i="6"/>
  <c r="D22" i="6" s="1"/>
  <c r="D43" i="6" s="1"/>
  <c r="F22" i="9" s="1"/>
  <c r="J9" i="6"/>
  <c r="K9" i="6"/>
  <c r="N22" i="6" s="1"/>
  <c r="N43" i="6" s="1"/>
  <c r="L9" i="6"/>
  <c r="M22" i="6" s="1"/>
  <c r="M43" i="6" s="1"/>
  <c r="J22" i="9" s="1"/>
  <c r="M9" i="6"/>
  <c r="L22" i="6" s="1"/>
  <c r="L43" i="6" s="1"/>
  <c r="I22" i="9" s="1"/>
  <c r="N9" i="6"/>
  <c r="E22" i="6" s="1"/>
  <c r="F22" i="6" s="1"/>
  <c r="F43" i="6" s="1"/>
  <c r="E25" i="3" s="1"/>
  <c r="B10" i="6"/>
  <c r="C10" i="6"/>
  <c r="D10" i="6"/>
  <c r="E10" i="6"/>
  <c r="F10" i="6"/>
  <c r="G10" i="6"/>
  <c r="H10" i="6"/>
  <c r="I10" i="6"/>
  <c r="D23" i="6" s="1"/>
  <c r="D48" i="6" s="1"/>
  <c r="J10" i="6"/>
  <c r="O23" i="6" s="1"/>
  <c r="O48" i="6" s="1"/>
  <c r="K10" i="6"/>
  <c r="N23" i="6" s="1"/>
  <c r="N48" i="6" s="1"/>
  <c r="L10" i="6"/>
  <c r="M23" i="6" s="1"/>
  <c r="M48" i="6" s="1"/>
  <c r="M10" i="6"/>
  <c r="L23" i="6" s="1"/>
  <c r="L48" i="6" s="1"/>
  <c r="N10" i="6"/>
  <c r="D12" i="6"/>
  <c r="D13" i="6"/>
  <c r="B3" i="3" s="1"/>
  <c r="B18" i="6"/>
  <c r="K18" i="6"/>
  <c r="K28" i="6" s="1"/>
  <c r="R18" i="6"/>
  <c r="R30" i="6" s="1"/>
  <c r="Q12" i="3" s="1"/>
  <c r="K19" i="6"/>
  <c r="K29" i="6" s="1"/>
  <c r="E8" i="9" s="1"/>
  <c r="R19" i="6"/>
  <c r="K20" i="6"/>
  <c r="K33" i="6" s="1"/>
  <c r="E12" i="9" s="1"/>
  <c r="R20" i="6"/>
  <c r="R35" i="6" s="1"/>
  <c r="Q17" i="3" s="1"/>
  <c r="K21" i="6"/>
  <c r="K38" i="6" s="1"/>
  <c r="K22" i="6"/>
  <c r="K43" i="6" s="1"/>
  <c r="E22" i="9" s="1"/>
  <c r="O22" i="6"/>
  <c r="O43" i="6" s="1"/>
  <c r="R22" i="6"/>
  <c r="R41" i="6" s="1"/>
  <c r="Q23" i="3" s="1"/>
  <c r="K23" i="6"/>
  <c r="K48" i="6" s="1"/>
  <c r="E27" i="9" s="1"/>
  <c r="R23" i="6"/>
  <c r="R47" i="6" s="1"/>
  <c r="Q29" i="3" s="1"/>
  <c r="G28" i="6"/>
  <c r="F10" i="3" s="1"/>
  <c r="I28" i="6"/>
  <c r="H10" i="3" s="1"/>
  <c r="Q28" i="6"/>
  <c r="G29" i="6"/>
  <c r="I29" i="6"/>
  <c r="Q29" i="6"/>
  <c r="G33" i="6"/>
  <c r="I33" i="6"/>
  <c r="I34" i="6" s="1"/>
  <c r="H16" i="3" s="1"/>
  <c r="G38" i="6"/>
  <c r="F20" i="3" s="1"/>
  <c r="I38" i="6"/>
  <c r="H20" i="3" s="1"/>
  <c r="G43" i="6"/>
  <c r="F25" i="3" s="1"/>
  <c r="I43" i="6"/>
  <c r="H25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C5" i="7"/>
  <c r="C6" i="7" s="1"/>
  <c r="C7" i="7"/>
  <c r="F7" i="7"/>
  <c r="C8" i="7"/>
  <c r="C9" i="7"/>
  <c r="C10" i="7"/>
  <c r="C11" i="7"/>
  <c r="B16" i="7"/>
  <c r="B26" i="5"/>
  <c r="B89" i="5"/>
  <c r="B24" i="5" s="1"/>
  <c r="N25" i="3" l="1"/>
  <c r="G22" i="9"/>
  <c r="N30" i="3"/>
  <c r="G27" i="9"/>
  <c r="C15" i="3"/>
  <c r="F12" i="9"/>
  <c r="B19" i="6"/>
  <c r="B29" i="6" s="1"/>
  <c r="D38" i="12"/>
  <c r="K30" i="3"/>
  <c r="I27" i="9"/>
  <c r="C30" i="3"/>
  <c r="F27" i="9"/>
  <c r="B22" i="6"/>
  <c r="D41" i="12"/>
  <c r="L15" i="3"/>
  <c r="J12" i="9"/>
  <c r="C11" i="3"/>
  <c r="F8" i="9"/>
  <c r="N10" i="3"/>
  <c r="G7" i="9"/>
  <c r="B23" i="6"/>
  <c r="D42" i="12"/>
  <c r="P10" i="3"/>
  <c r="J20" i="3"/>
  <c r="E17" i="9"/>
  <c r="L30" i="3"/>
  <c r="J27" i="9"/>
  <c r="N20" i="3"/>
  <c r="G17" i="9"/>
  <c r="B21" i="6"/>
  <c r="D40" i="12"/>
  <c r="F12" i="12" s="1"/>
  <c r="P20" i="6"/>
  <c r="P33" i="6" s="1"/>
  <c r="O15" i="3" s="1"/>
  <c r="E39" i="12"/>
  <c r="F13" i="12" s="1"/>
  <c r="K10" i="3"/>
  <c r="I7" i="9"/>
  <c r="B17" i="7"/>
  <c r="C9" i="11"/>
  <c r="J10" i="3"/>
  <c r="E7" i="9"/>
  <c r="M25" i="3"/>
  <c r="H22" i="9"/>
  <c r="P22" i="6"/>
  <c r="P43" i="6" s="1"/>
  <c r="E41" i="12"/>
  <c r="K15" i="3"/>
  <c r="I12" i="9"/>
  <c r="M10" i="3"/>
  <c r="H7" i="9"/>
  <c r="M30" i="3"/>
  <c r="H27" i="9"/>
  <c r="P23" i="6"/>
  <c r="P48" i="6" s="1"/>
  <c r="O30" i="3" s="1"/>
  <c r="E42" i="12"/>
  <c r="C20" i="3"/>
  <c r="F17" i="9"/>
  <c r="B20" i="6"/>
  <c r="D39" i="12"/>
  <c r="M11" i="3"/>
  <c r="H8" i="9"/>
  <c r="P19" i="6"/>
  <c r="P29" i="6" s="1"/>
  <c r="D8" i="9" s="1"/>
  <c r="E38" i="12"/>
  <c r="L10" i="3"/>
  <c r="J7" i="9"/>
  <c r="I28" i="8"/>
  <c r="G47" i="6"/>
  <c r="F29" i="3" s="1"/>
  <c r="I42" i="6"/>
  <c r="H24" i="3" s="1"/>
  <c r="I45" i="6"/>
  <c r="H27" i="3" s="1"/>
  <c r="I41" i="6"/>
  <c r="H23" i="3" s="1"/>
  <c r="I37" i="6"/>
  <c r="H19" i="3" s="1"/>
  <c r="B14" i="5"/>
  <c r="C20" i="10" s="1"/>
  <c r="I40" i="6"/>
  <c r="H22" i="3" s="1"/>
  <c r="C18" i="6"/>
  <c r="E24" i="8"/>
  <c r="D24" i="8" s="1"/>
  <c r="E10" i="8" s="1"/>
  <c r="M10" i="8" s="1"/>
  <c r="J21" i="6"/>
  <c r="J38" i="6" s="1"/>
  <c r="I20" i="3" s="1"/>
  <c r="P21" i="6"/>
  <c r="P38" i="6" s="1"/>
  <c r="O20" i="3" s="1"/>
  <c r="J12" i="8"/>
  <c r="J24" i="8"/>
  <c r="R31" i="6"/>
  <c r="Q13" i="3" s="1"/>
  <c r="Q21" i="6"/>
  <c r="Q38" i="6" s="1"/>
  <c r="I5" i="8"/>
  <c r="M5" i="8" s="1"/>
  <c r="C17" i="10" s="1"/>
  <c r="C37" i="6"/>
  <c r="I23" i="8"/>
  <c r="R33" i="6"/>
  <c r="Q15" i="3" s="1"/>
  <c r="R32" i="6"/>
  <c r="Q14" i="3" s="1"/>
  <c r="I22" i="8"/>
  <c r="M22" i="8" s="1"/>
  <c r="C45" i="6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C38" i="6"/>
  <c r="C48" i="6"/>
  <c r="R43" i="6"/>
  <c r="Q25" i="3" s="1"/>
  <c r="R40" i="6"/>
  <c r="Q22" i="3" s="1"/>
  <c r="K25" i="3"/>
  <c r="L46" i="6"/>
  <c r="K41" i="6"/>
  <c r="C31" i="6"/>
  <c r="H21" i="6"/>
  <c r="H38" i="6" s="1"/>
  <c r="H36" i="6" s="1"/>
  <c r="G18" i="3" s="1"/>
  <c r="Q23" i="6"/>
  <c r="Q48" i="6" s="1"/>
  <c r="Q20" i="6"/>
  <c r="Q33" i="6" s="1"/>
  <c r="I14" i="8"/>
  <c r="E8" i="5" s="1"/>
  <c r="C14" i="10" s="1"/>
  <c r="L32" i="6"/>
  <c r="E25" i="8"/>
  <c r="D25" i="8" s="1"/>
  <c r="M25" i="8" s="1"/>
  <c r="I8" i="8"/>
  <c r="M8" i="8" s="1"/>
  <c r="E43" i="6"/>
  <c r="C40" i="6"/>
  <c r="C36" i="6"/>
  <c r="D32" i="6"/>
  <c r="C29" i="6"/>
  <c r="J30" i="3"/>
  <c r="K47" i="6"/>
  <c r="C25" i="3"/>
  <c r="D45" i="6"/>
  <c r="D47" i="6"/>
  <c r="F26" i="9" s="1"/>
  <c r="D46" i="6"/>
  <c r="L25" i="3"/>
  <c r="M45" i="6"/>
  <c r="K20" i="3"/>
  <c r="L42" i="6"/>
  <c r="F20" i="6"/>
  <c r="F33" i="6" s="1"/>
  <c r="E33" i="6"/>
  <c r="O31" i="6"/>
  <c r="L20" i="3"/>
  <c r="M40" i="6"/>
  <c r="M42" i="6"/>
  <c r="M41" i="6"/>
  <c r="P30" i="6"/>
  <c r="O12" i="3" s="1"/>
  <c r="L45" i="6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C46" i="6"/>
  <c r="C44" i="6"/>
  <c r="C42" i="6"/>
  <c r="R39" i="6"/>
  <c r="Q21" i="3" s="1"/>
  <c r="M35" i="6"/>
  <c r="K36" i="6"/>
  <c r="L30" i="6"/>
  <c r="H18" i="6"/>
  <c r="H28" i="6" s="1"/>
  <c r="G10" i="3" s="1"/>
  <c r="I27" i="8"/>
  <c r="C24" i="8"/>
  <c r="C10" i="8" s="1"/>
  <c r="E12" i="8"/>
  <c r="I9" i="8"/>
  <c r="D42" i="6"/>
  <c r="E28" i="6"/>
  <c r="D10" i="3" s="1"/>
  <c r="H23" i="6"/>
  <c r="H48" i="6" s="1"/>
  <c r="G30" i="3" s="1"/>
  <c r="C20" i="6"/>
  <c r="M6" i="8"/>
  <c r="N6" i="8" s="1"/>
  <c r="O6" i="8" s="1"/>
  <c r="L47" i="6"/>
  <c r="C47" i="6"/>
  <c r="R45" i="6"/>
  <c r="Q27" i="3" s="1"/>
  <c r="C43" i="6"/>
  <c r="C41" i="6"/>
  <c r="C39" i="6"/>
  <c r="M37" i="6"/>
  <c r="C35" i="6"/>
  <c r="I31" i="6"/>
  <c r="H13" i="3" s="1"/>
  <c r="C33" i="6"/>
  <c r="D30" i="6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N26" i="8"/>
  <c r="M26" i="8"/>
  <c r="O26" i="8"/>
  <c r="N7" i="8"/>
  <c r="O25" i="3"/>
  <c r="P44" i="6"/>
  <c r="O26" i="3" s="1"/>
  <c r="M20" i="3"/>
  <c r="N42" i="6"/>
  <c r="N39" i="6"/>
  <c r="N40" i="6"/>
  <c r="N41" i="6"/>
  <c r="B29" i="5"/>
  <c r="K12" i="8"/>
  <c r="K24" i="8"/>
  <c r="L12" i="8"/>
  <c r="B88" i="5"/>
  <c r="K23" i="8"/>
  <c r="M15" i="3"/>
  <c r="N35" i="6"/>
  <c r="N32" i="6"/>
  <c r="N30" i="6"/>
  <c r="N34" i="6"/>
  <c r="N36" i="6"/>
  <c r="N37" i="6"/>
  <c r="M46" i="6"/>
  <c r="I46" i="6"/>
  <c r="H28" i="3" s="1"/>
  <c r="N45" i="6"/>
  <c r="O44" i="6"/>
  <c r="K44" i="6"/>
  <c r="G44" i="6"/>
  <c r="F26" i="3" s="1"/>
  <c r="O40" i="6"/>
  <c r="K40" i="6"/>
  <c r="G40" i="6"/>
  <c r="F22" i="3" s="1"/>
  <c r="L39" i="6"/>
  <c r="D39" i="6"/>
  <c r="F18" i="9" s="1"/>
  <c r="O36" i="6"/>
  <c r="G36" i="6"/>
  <c r="F18" i="3" s="1"/>
  <c r="O35" i="6"/>
  <c r="I35" i="6"/>
  <c r="H17" i="3" s="1"/>
  <c r="D35" i="6"/>
  <c r="F14" i="9" s="1"/>
  <c r="F15" i="3"/>
  <c r="G34" i="6"/>
  <c r="F16" i="3" s="1"/>
  <c r="G31" i="6"/>
  <c r="F13" i="3" s="1"/>
  <c r="P11" i="3"/>
  <c r="M32" i="6"/>
  <c r="M30" i="6"/>
  <c r="R28" i="6"/>
  <c r="Q10" i="3" s="1"/>
  <c r="R29" i="6"/>
  <c r="Q11" i="3" s="1"/>
  <c r="K11" i="3"/>
  <c r="L31" i="6"/>
  <c r="N44" i="6"/>
  <c r="O39" i="6"/>
  <c r="K39" i="6"/>
  <c r="G39" i="6"/>
  <c r="F21" i="3" s="1"/>
  <c r="D34" i="6"/>
  <c r="F13" i="9" s="1"/>
  <c r="J15" i="3"/>
  <c r="K34" i="6"/>
  <c r="J11" i="3"/>
  <c r="K30" i="6"/>
  <c r="K32" i="6"/>
  <c r="C10" i="3"/>
  <c r="J25" i="3"/>
  <c r="N47" i="6"/>
  <c r="O46" i="6"/>
  <c r="K46" i="6"/>
  <c r="G46" i="6"/>
  <c r="F28" i="3" s="1"/>
  <c r="M44" i="6"/>
  <c r="I44" i="6"/>
  <c r="H26" i="3" s="1"/>
  <c r="O42" i="6"/>
  <c r="K42" i="6"/>
  <c r="G42" i="6"/>
  <c r="F24" i="3" s="1"/>
  <c r="L41" i="6"/>
  <c r="D41" i="6"/>
  <c r="F20" i="9" s="1"/>
  <c r="L37" i="6"/>
  <c r="D37" i="6"/>
  <c r="F16" i="9" s="1"/>
  <c r="Q36" i="6"/>
  <c r="M36" i="6"/>
  <c r="I36" i="6"/>
  <c r="H18" i="3" s="1"/>
  <c r="D36" i="6"/>
  <c r="F15" i="9" s="1"/>
  <c r="Q35" i="6"/>
  <c r="L35" i="6"/>
  <c r="G35" i="6"/>
  <c r="F17" i="3" s="1"/>
  <c r="M34" i="6"/>
  <c r="H34" i="6"/>
  <c r="G16" i="3" s="1"/>
  <c r="N15" i="3"/>
  <c r="O34" i="6"/>
  <c r="K31" i="6"/>
  <c r="N11" i="3"/>
  <c r="O30" i="6"/>
  <c r="O32" i="6"/>
  <c r="I32" i="6"/>
  <c r="H14" i="3" s="1"/>
  <c r="D11" i="3"/>
  <c r="H15" i="3"/>
  <c r="L11" i="3"/>
  <c r="M47" i="6"/>
  <c r="I47" i="6"/>
  <c r="H29" i="3" s="1"/>
  <c r="N46" i="6"/>
  <c r="O45" i="6"/>
  <c r="K45" i="6"/>
  <c r="G45" i="6"/>
  <c r="F27" i="3" s="1"/>
  <c r="L44" i="6"/>
  <c r="D44" i="6"/>
  <c r="F23" i="9" s="1"/>
  <c r="O41" i="6"/>
  <c r="G41" i="6"/>
  <c r="F23" i="3" s="1"/>
  <c r="L40" i="6"/>
  <c r="D40" i="6"/>
  <c r="F19" i="9" s="1"/>
  <c r="M39" i="6"/>
  <c r="I39" i="6"/>
  <c r="H21" i="3" s="1"/>
  <c r="O37" i="6"/>
  <c r="K37" i="6"/>
  <c r="G37" i="6"/>
  <c r="F19" i="3" s="1"/>
  <c r="L36" i="6"/>
  <c r="K35" i="6"/>
  <c r="L34" i="6"/>
  <c r="F11" i="3"/>
  <c r="G30" i="6"/>
  <c r="F12" i="3" s="1"/>
  <c r="G32" i="6"/>
  <c r="F14" i="3" s="1"/>
  <c r="E23" i="6"/>
  <c r="E48" i="6" s="1"/>
  <c r="C22" i="6"/>
  <c r="C30" i="6"/>
  <c r="C9" i="9" s="1"/>
  <c r="C34" i="6"/>
  <c r="C13" i="9" s="1"/>
  <c r="C19" i="6"/>
  <c r="C28" i="6"/>
  <c r="C21" i="6"/>
  <c r="C32" i="6"/>
  <c r="H22" i="6"/>
  <c r="H43" i="6" s="1"/>
  <c r="Q22" i="6"/>
  <c r="Q43" i="6" s="1"/>
  <c r="J22" i="6"/>
  <c r="J43" i="6" s="1"/>
  <c r="F19" i="6"/>
  <c r="F29" i="6" s="1"/>
  <c r="H19" i="6"/>
  <c r="H29" i="6" s="1"/>
  <c r="J19" i="6"/>
  <c r="J29" i="6" s="1"/>
  <c r="D31" i="6"/>
  <c r="F10" i="9" s="1"/>
  <c r="J18" i="6"/>
  <c r="J28" i="6" s="1"/>
  <c r="I10" i="3" s="1"/>
  <c r="P18" i="6"/>
  <c r="P28" i="6" s="1"/>
  <c r="O10" i="3" s="1"/>
  <c r="I30" i="6"/>
  <c r="H12" i="3" s="1"/>
  <c r="H11" i="3"/>
  <c r="N31" i="6"/>
  <c r="B2" i="3"/>
  <c r="B10" i="3" l="1"/>
  <c r="C7" i="9"/>
  <c r="L21" i="3"/>
  <c r="J18" i="9"/>
  <c r="J27" i="3"/>
  <c r="E24" i="9"/>
  <c r="J13" i="3"/>
  <c r="E10" i="9"/>
  <c r="L26" i="3"/>
  <c r="J23" i="9"/>
  <c r="N21" i="3"/>
  <c r="G18" i="9"/>
  <c r="J22" i="3"/>
  <c r="E19" i="9"/>
  <c r="M19" i="3"/>
  <c r="H16" i="9"/>
  <c r="M23" i="3"/>
  <c r="H20" i="9"/>
  <c r="C12" i="3"/>
  <c r="R12" i="3" s="1"/>
  <c r="F9" i="9"/>
  <c r="C27" i="3"/>
  <c r="F24" i="9"/>
  <c r="L13" i="3"/>
  <c r="J10" i="9"/>
  <c r="K16" i="3"/>
  <c r="I13" i="9"/>
  <c r="J19" i="3"/>
  <c r="E16" i="9"/>
  <c r="N27" i="3"/>
  <c r="G24" i="9"/>
  <c r="N14" i="3"/>
  <c r="G11" i="9"/>
  <c r="N16" i="3"/>
  <c r="G13" i="9"/>
  <c r="K19" i="3"/>
  <c r="I16" i="9"/>
  <c r="J24" i="3"/>
  <c r="E21" i="9"/>
  <c r="J14" i="8"/>
  <c r="R5" i="8" s="1"/>
  <c r="J12" i="3"/>
  <c r="E9" i="9"/>
  <c r="M26" i="3"/>
  <c r="H23" i="9"/>
  <c r="N22" i="3"/>
  <c r="G19" i="9"/>
  <c r="M27" i="3"/>
  <c r="H24" i="9"/>
  <c r="M18" i="3"/>
  <c r="H15" i="9"/>
  <c r="M17" i="3"/>
  <c r="H14" i="9"/>
  <c r="M22" i="3"/>
  <c r="H19" i="9"/>
  <c r="P47" i="6"/>
  <c r="O29" i="3" s="1"/>
  <c r="B15" i="3"/>
  <c r="C12" i="9"/>
  <c r="B21" i="3"/>
  <c r="C18" i="9"/>
  <c r="B29" i="3"/>
  <c r="R28" i="3" s="1"/>
  <c r="C26" i="9"/>
  <c r="K12" i="3"/>
  <c r="I9" i="9"/>
  <c r="B24" i="3"/>
  <c r="R25" i="3" s="1"/>
  <c r="C21" i="9"/>
  <c r="P32" i="6"/>
  <c r="O14" i="3" s="1"/>
  <c r="L22" i="3"/>
  <c r="J19" i="9"/>
  <c r="C14" i="3"/>
  <c r="R14" i="3" s="1"/>
  <c r="F11" i="9"/>
  <c r="Q32" i="6"/>
  <c r="D12" i="9"/>
  <c r="J23" i="3"/>
  <c r="E20" i="9"/>
  <c r="P20" i="3"/>
  <c r="D17" i="9"/>
  <c r="J14" i="3"/>
  <c r="E11" i="9"/>
  <c r="M14" i="3"/>
  <c r="H11" i="9"/>
  <c r="L27" i="3"/>
  <c r="J24" i="9"/>
  <c r="G11" i="12"/>
  <c r="D11" i="12"/>
  <c r="D12" i="12"/>
  <c r="D13" i="12"/>
  <c r="D14" i="12"/>
  <c r="G13" i="12"/>
  <c r="G12" i="12"/>
  <c r="G14" i="12"/>
  <c r="M13" i="3"/>
  <c r="H10" i="9"/>
  <c r="N19" i="3"/>
  <c r="G16" i="9"/>
  <c r="K26" i="3"/>
  <c r="I23" i="9"/>
  <c r="N12" i="3"/>
  <c r="G9" i="9"/>
  <c r="K17" i="3"/>
  <c r="I14" i="9"/>
  <c r="L18" i="3"/>
  <c r="J15" i="9"/>
  <c r="N24" i="3"/>
  <c r="G21" i="9"/>
  <c r="J28" i="3"/>
  <c r="E25" i="9"/>
  <c r="K13" i="3"/>
  <c r="I10" i="9"/>
  <c r="L12" i="3"/>
  <c r="J9" i="9"/>
  <c r="N17" i="3"/>
  <c r="G14" i="9"/>
  <c r="K21" i="3"/>
  <c r="I18" i="9"/>
  <c r="M16" i="3"/>
  <c r="H13" i="9"/>
  <c r="M21" i="3"/>
  <c r="H18" i="9"/>
  <c r="P46" i="6"/>
  <c r="O28" i="3" s="1"/>
  <c r="B23" i="3"/>
  <c r="C20" i="9"/>
  <c r="K29" i="3"/>
  <c r="I26" i="9"/>
  <c r="J18" i="3"/>
  <c r="E15" i="9"/>
  <c r="B26" i="3"/>
  <c r="C23" i="9"/>
  <c r="O11" i="3"/>
  <c r="K24" i="3"/>
  <c r="I21" i="9"/>
  <c r="C28" i="3"/>
  <c r="F25" i="9"/>
  <c r="J29" i="3"/>
  <c r="E26" i="9"/>
  <c r="B18" i="3"/>
  <c r="C15" i="9"/>
  <c r="P30" i="3"/>
  <c r="D27" i="9"/>
  <c r="K28" i="3"/>
  <c r="I25" i="9"/>
  <c r="B30" i="3"/>
  <c r="C27" i="9"/>
  <c r="B27" i="3"/>
  <c r="C24" i="9"/>
  <c r="F9" i="12"/>
  <c r="F8" i="12"/>
  <c r="F10" i="12"/>
  <c r="G20" i="12"/>
  <c r="D21" i="12"/>
  <c r="G19" i="12"/>
  <c r="D19" i="12"/>
  <c r="D22" i="12"/>
  <c r="G22" i="12"/>
  <c r="G21" i="12"/>
  <c r="D20" i="12"/>
  <c r="F11" i="12"/>
  <c r="G16" i="12"/>
  <c r="D16" i="12"/>
  <c r="G15" i="12"/>
  <c r="D15" i="12"/>
  <c r="G18" i="12"/>
  <c r="D18" i="12"/>
  <c r="D17" i="12"/>
  <c r="G17" i="12"/>
  <c r="Q39" i="6"/>
  <c r="D22" i="9"/>
  <c r="N23" i="3"/>
  <c r="G20" i="9"/>
  <c r="L29" i="3"/>
  <c r="J26" i="9"/>
  <c r="L16" i="3"/>
  <c r="J13" i="9"/>
  <c r="M29" i="3"/>
  <c r="H26" i="9"/>
  <c r="N18" i="3"/>
  <c r="G15" i="9"/>
  <c r="N26" i="3"/>
  <c r="G23" i="9"/>
  <c r="C19" i="10"/>
  <c r="C16" i="10"/>
  <c r="C21" i="10" s="1"/>
  <c r="L19" i="3"/>
  <c r="J16" i="9"/>
  <c r="N29" i="3"/>
  <c r="G26" i="9"/>
  <c r="L24" i="3"/>
  <c r="J21" i="9"/>
  <c r="B11" i="3"/>
  <c r="C8" i="9"/>
  <c r="B13" i="3"/>
  <c r="C10" i="9"/>
  <c r="F15" i="12"/>
  <c r="F17" i="12"/>
  <c r="F18" i="12"/>
  <c r="F16" i="12"/>
  <c r="D7" i="9"/>
  <c r="P31" i="6"/>
  <c r="O13" i="3" s="1"/>
  <c r="B14" i="3"/>
  <c r="C11" i="9"/>
  <c r="J17" i="3"/>
  <c r="E14" i="9"/>
  <c r="K22" i="3"/>
  <c r="I19" i="9"/>
  <c r="M28" i="3"/>
  <c r="H25" i="9"/>
  <c r="K18" i="3"/>
  <c r="I15" i="9"/>
  <c r="P17" i="3"/>
  <c r="D14" i="9"/>
  <c r="P18" i="3"/>
  <c r="K23" i="3"/>
  <c r="I20" i="9"/>
  <c r="N28" i="3"/>
  <c r="G25" i="9"/>
  <c r="J16" i="3"/>
  <c r="E13" i="9"/>
  <c r="J21" i="3"/>
  <c r="E18" i="9"/>
  <c r="L14" i="3"/>
  <c r="J11" i="9"/>
  <c r="J26" i="3"/>
  <c r="E23" i="9"/>
  <c r="L28" i="3"/>
  <c r="J25" i="9"/>
  <c r="M12" i="3"/>
  <c r="H9" i="9"/>
  <c r="B30" i="5"/>
  <c r="C19" i="13"/>
  <c r="C18" i="13"/>
  <c r="D19" i="13"/>
  <c r="C10" i="13"/>
  <c r="M24" i="3"/>
  <c r="H21" i="9"/>
  <c r="P45" i="6"/>
  <c r="O27" i="3" s="1"/>
  <c r="B17" i="3"/>
  <c r="C14" i="9"/>
  <c r="B25" i="3"/>
  <c r="C22" i="9"/>
  <c r="C24" i="3"/>
  <c r="R24" i="3" s="1"/>
  <c r="F21" i="9"/>
  <c r="L17" i="3"/>
  <c r="J14" i="9"/>
  <c r="B28" i="3"/>
  <c r="C25" i="9"/>
  <c r="K27" i="3"/>
  <c r="I24" i="9"/>
  <c r="L23" i="3"/>
  <c r="J20" i="9"/>
  <c r="N13" i="3"/>
  <c r="G10" i="9"/>
  <c r="B22" i="3"/>
  <c r="C19" i="9"/>
  <c r="K14" i="3"/>
  <c r="I11" i="9"/>
  <c r="B20" i="3"/>
  <c r="C17" i="9"/>
  <c r="B19" i="3"/>
  <c r="C16" i="9"/>
  <c r="D8" i="12"/>
  <c r="G10" i="12"/>
  <c r="D10" i="12"/>
  <c r="D9" i="12"/>
  <c r="G8" i="12"/>
  <c r="G9" i="12"/>
  <c r="F22" i="12"/>
  <c r="F19" i="12"/>
  <c r="F21" i="12"/>
  <c r="F20" i="12"/>
  <c r="B18" i="7"/>
  <c r="C10" i="11"/>
  <c r="F14" i="12"/>
  <c r="N10" i="8"/>
  <c r="M24" i="8"/>
  <c r="P41" i="6"/>
  <c r="O23" i="3" s="1"/>
  <c r="N24" i="8"/>
  <c r="P36" i="6"/>
  <c r="O18" i="3" s="1"/>
  <c r="P40" i="6"/>
  <c r="O22" i="3" s="1"/>
  <c r="J34" i="6"/>
  <c r="I16" i="3" s="1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N21" i="8"/>
  <c r="Q34" i="6"/>
  <c r="Q30" i="6"/>
  <c r="L30" i="8"/>
  <c r="R27" i="3"/>
  <c r="Q37" i="6"/>
  <c r="H40" i="6"/>
  <c r="G22" i="3" s="1"/>
  <c r="Q31" i="6"/>
  <c r="E36" i="6"/>
  <c r="D18" i="3" s="1"/>
  <c r="L15" i="8"/>
  <c r="D7" i="5" s="1"/>
  <c r="J30" i="8"/>
  <c r="B5" i="5" s="1"/>
  <c r="E37" i="6"/>
  <c r="D19" i="3" s="1"/>
  <c r="H35" i="6"/>
  <c r="G17" i="3" s="1"/>
  <c r="J37" i="6"/>
  <c r="I19" i="3" s="1"/>
  <c r="I15" i="3"/>
  <c r="K15" i="8"/>
  <c r="C7" i="5" s="1"/>
  <c r="I15" i="8"/>
  <c r="E7" i="5" s="1"/>
  <c r="I30" i="8"/>
  <c r="E5" i="5" s="1"/>
  <c r="E31" i="6"/>
  <c r="D13" i="3" s="1"/>
  <c r="P15" i="3"/>
  <c r="O24" i="8"/>
  <c r="O7" i="8"/>
  <c r="O25" i="8"/>
  <c r="R30" i="3"/>
  <c r="D25" i="3"/>
  <c r="E40" i="6"/>
  <c r="D22" i="3" s="1"/>
  <c r="E42" i="6"/>
  <c r="D24" i="3" s="1"/>
  <c r="R10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B12" i="3"/>
  <c r="R11" i="3" s="1"/>
  <c r="T29" i="6"/>
  <c r="T34" i="6"/>
  <c r="C16" i="3"/>
  <c r="C17" i="3"/>
  <c r="T35" i="6"/>
  <c r="G11" i="3"/>
  <c r="H31" i="6"/>
  <c r="G13" i="3" s="1"/>
  <c r="H32" i="6"/>
  <c r="G14" i="3" s="1"/>
  <c r="H30" i="6"/>
  <c r="G12" i="3" s="1"/>
  <c r="P25" i="3"/>
  <c r="Q47" i="6"/>
  <c r="Q40" i="6"/>
  <c r="Q44" i="6"/>
  <c r="Q41" i="6"/>
  <c r="Q45" i="6"/>
  <c r="Q42" i="6"/>
  <c r="Q46" i="6"/>
  <c r="C23" i="3"/>
  <c r="T41" i="6"/>
  <c r="B8" i="5"/>
  <c r="B53" i="5" s="1"/>
  <c r="C21" i="3"/>
  <c r="T39" i="6"/>
  <c r="K30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C18" i="3"/>
  <c r="T36" i="6"/>
  <c r="C19" i="3"/>
  <c r="R19" i="3" s="1"/>
  <c r="T37" i="6"/>
  <c r="T28" i="6"/>
  <c r="R27" i="8"/>
  <c r="P13" i="3" l="1"/>
  <c r="D10" i="9"/>
  <c r="P27" i="3"/>
  <c r="D24" i="9"/>
  <c r="P29" i="3"/>
  <c r="D26" i="9"/>
  <c r="R18" i="3"/>
  <c r="R23" i="3"/>
  <c r="P23" i="3"/>
  <c r="D20" i="9"/>
  <c r="R16" i="3"/>
  <c r="D15" i="9"/>
  <c r="P14" i="3"/>
  <c r="D11" i="9"/>
  <c r="P24" i="3"/>
  <c r="D21" i="9"/>
  <c r="P22" i="3"/>
  <c r="D19" i="9"/>
  <c r="P19" i="3"/>
  <c r="D16" i="9"/>
  <c r="P16" i="3"/>
  <c r="D13" i="9"/>
  <c r="N23" i="8"/>
  <c r="R21" i="3"/>
  <c r="P28" i="3"/>
  <c r="D25" i="9"/>
  <c r="P26" i="3"/>
  <c r="D23" i="9"/>
  <c r="Q28" i="8"/>
  <c r="P12" i="3"/>
  <c r="D9" i="9"/>
  <c r="B19" i="7"/>
  <c r="C11" i="11"/>
  <c r="P21" i="3"/>
  <c r="D18" i="9"/>
  <c r="R25" i="8"/>
  <c r="Q26" i="8"/>
  <c r="R6" i="8"/>
  <c r="O14" i="8" s="1"/>
  <c r="H8" i="5" s="1"/>
  <c r="N14" i="8"/>
  <c r="G8" i="5" s="1"/>
  <c r="Q22" i="8"/>
  <c r="P6" i="8"/>
  <c r="D8" i="5"/>
  <c r="Q24" i="8"/>
  <c r="R13" i="3"/>
  <c r="P5" i="8"/>
  <c r="M14" i="8" s="1"/>
  <c r="F8" i="5" s="1"/>
  <c r="Q23" i="8"/>
  <c r="P8" i="8"/>
  <c r="Q21" i="8"/>
  <c r="D5" i="5"/>
  <c r="Q25" i="8"/>
  <c r="R10" i="8"/>
  <c r="R9" i="8"/>
  <c r="Q10" i="8"/>
  <c r="Q9" i="8"/>
  <c r="Q27" i="8"/>
  <c r="P24" i="8"/>
  <c r="E30" i="3"/>
  <c r="B7" i="5"/>
  <c r="R28" i="8"/>
  <c r="P7" i="8"/>
  <c r="R26" i="8"/>
  <c r="F47" i="6"/>
  <c r="E29" i="3" s="1"/>
  <c r="P10" i="8"/>
  <c r="P9" i="8"/>
  <c r="F45" i="6"/>
  <c r="E27" i="3" s="1"/>
  <c r="R23" i="8"/>
  <c r="R17" i="3"/>
  <c r="R8" i="8"/>
  <c r="Q7" i="8"/>
  <c r="T50" i="6"/>
  <c r="F44" i="6"/>
  <c r="E26" i="3" s="1"/>
  <c r="Q8" i="8"/>
  <c r="R7" i="8"/>
  <c r="N9" i="8"/>
  <c r="O9" i="8"/>
  <c r="O12" i="8"/>
  <c r="K16" i="8"/>
  <c r="N12" i="8"/>
  <c r="J16" i="8"/>
  <c r="L16" i="8"/>
  <c r="I16" i="8"/>
  <c r="P22" i="8"/>
  <c r="C5" i="5"/>
  <c r="P25" i="8"/>
  <c r="P28" i="8"/>
  <c r="P21" i="8"/>
  <c r="P27" i="8"/>
  <c r="R24" i="8"/>
  <c r="P26" i="8"/>
  <c r="R22" i="8"/>
  <c r="R21" i="8"/>
  <c r="P23" i="8"/>
  <c r="B20" i="7" l="1"/>
  <c r="C12" i="11"/>
  <c r="R32" i="3"/>
  <c r="B109" i="5" s="1"/>
  <c r="Q12" i="8"/>
  <c r="N30" i="8"/>
  <c r="G5" i="5" s="1"/>
  <c r="M15" i="8"/>
  <c r="F7" i="5" s="1"/>
  <c r="O15" i="8"/>
  <c r="H7" i="5" s="1"/>
  <c r="O30" i="8"/>
  <c r="H5" i="5" s="1"/>
  <c r="P12" i="8"/>
  <c r="N15" i="8"/>
  <c r="G7" i="5" s="1"/>
  <c r="D6" i="5"/>
  <c r="C6" i="10" s="1"/>
  <c r="Q11" i="8"/>
  <c r="M30" i="8"/>
  <c r="F5" i="5" s="1"/>
  <c r="C6" i="5"/>
  <c r="C5" i="10" s="1"/>
  <c r="P11" i="8"/>
  <c r="B6" i="5"/>
  <c r="R11" i="8"/>
  <c r="E6" i="5"/>
  <c r="C13" i="10" s="1"/>
  <c r="K17" i="8"/>
  <c r="L17" i="8"/>
  <c r="I17" i="8"/>
  <c r="J17" i="8"/>
  <c r="R12" i="8"/>
  <c r="B21" i="7" l="1"/>
  <c r="C13" i="11"/>
  <c r="C4" i="10"/>
  <c r="N16" i="8"/>
  <c r="G6" i="5" s="1"/>
  <c r="B110" i="5"/>
  <c r="B111" i="5" s="1"/>
  <c r="M16" i="8"/>
  <c r="F6" i="5" s="1"/>
  <c r="I31" i="8"/>
  <c r="L31" i="8"/>
  <c r="J31" i="8"/>
  <c r="K31" i="8"/>
  <c r="O16" i="8"/>
  <c r="H6" i="5" s="1"/>
  <c r="C15" i="10" s="1"/>
  <c r="B22" i="7" l="1"/>
  <c r="C14" i="11"/>
  <c r="B23" i="7" l="1"/>
  <c r="C15" i="11"/>
  <c r="B24" i="7" l="1"/>
  <c r="C16" i="11"/>
  <c r="C17" i="11" l="1"/>
  <c r="C18" i="7"/>
  <c r="C15" i="7"/>
  <c r="C23" i="7"/>
  <c r="C20" i="7"/>
  <c r="C21" i="7"/>
  <c r="C24" i="7"/>
  <c r="C17" i="7"/>
  <c r="C16" i="7"/>
  <c r="C22" i="7"/>
  <c r="C19" i="7"/>
  <c r="E17" i="7" l="1"/>
  <c r="B10" i="4"/>
  <c r="D17" i="7"/>
  <c r="F17" i="7" s="1"/>
  <c r="D19" i="7"/>
  <c r="B12" i="4"/>
  <c r="E19" i="7"/>
  <c r="B17" i="4"/>
  <c r="D24" i="7"/>
  <c r="F24" i="7" s="1"/>
  <c r="E24" i="7"/>
  <c r="B15" i="4"/>
  <c r="E22" i="7"/>
  <c r="D22" i="7"/>
  <c r="F22" i="7" s="1"/>
  <c r="E21" i="7"/>
  <c r="B14" i="4"/>
  <c r="D21" i="7"/>
  <c r="F21" i="7" s="1"/>
  <c r="B11" i="4"/>
  <c r="E18" i="7"/>
  <c r="D18" i="7"/>
  <c r="F18" i="7" s="1"/>
  <c r="E23" i="7"/>
  <c r="D23" i="7"/>
  <c r="F23" i="7" s="1"/>
  <c r="B16" i="4"/>
  <c r="E15" i="7"/>
  <c r="D15" i="7"/>
  <c r="F15" i="7" s="1"/>
  <c r="B8" i="4"/>
  <c r="B9" i="4"/>
  <c r="D16" i="7"/>
  <c r="E16" i="7"/>
  <c r="B13" i="4"/>
  <c r="E20" i="7"/>
  <c r="D20" i="7"/>
  <c r="F20" i="7" s="1"/>
  <c r="G23" i="7" l="1"/>
  <c r="H23" i="7"/>
  <c r="I23" i="7"/>
  <c r="I24" i="7"/>
  <c r="G24" i="7"/>
  <c r="H24" i="7"/>
  <c r="H15" i="7"/>
  <c r="G15" i="7"/>
  <c r="I15" i="7"/>
  <c r="H17" i="7"/>
  <c r="G17" i="7"/>
  <c r="I17" i="7"/>
  <c r="I20" i="7"/>
  <c r="H20" i="7"/>
  <c r="G20" i="7"/>
  <c r="F16" i="7"/>
  <c r="G18" i="7"/>
  <c r="I18" i="7"/>
  <c r="H18" i="7"/>
  <c r="F19" i="7"/>
  <c r="H22" i="7"/>
  <c r="G22" i="7"/>
  <c r="I22" i="7"/>
  <c r="I21" i="7"/>
  <c r="H21" i="7"/>
  <c r="G21" i="7"/>
  <c r="L21" i="7" l="1"/>
  <c r="N21" i="7" s="1"/>
  <c r="K21" i="7"/>
  <c r="J21" i="7"/>
  <c r="G16" i="7"/>
  <c r="H16" i="7"/>
  <c r="I16" i="7"/>
  <c r="L17" i="7"/>
  <c r="N17" i="7" s="1"/>
  <c r="K17" i="7"/>
  <c r="J17" i="7"/>
  <c r="K24" i="7"/>
  <c r="L24" i="7"/>
  <c r="N24" i="7" s="1"/>
  <c r="J24" i="7"/>
  <c r="O20" i="7"/>
  <c r="D13" i="11"/>
  <c r="C13" i="4"/>
  <c r="I8" i="4"/>
  <c r="H8" i="11"/>
  <c r="D14" i="11"/>
  <c r="O21" i="7"/>
  <c r="C14" i="4"/>
  <c r="D15" i="11"/>
  <c r="C15" i="4"/>
  <c r="O22" i="7"/>
  <c r="L18" i="7"/>
  <c r="N18" i="7" s="1"/>
  <c r="K18" i="7"/>
  <c r="J18" i="7"/>
  <c r="I13" i="4"/>
  <c r="H13" i="11"/>
  <c r="I10" i="4"/>
  <c r="H10" i="11"/>
  <c r="I17" i="4"/>
  <c r="H17" i="11"/>
  <c r="I16" i="4"/>
  <c r="H16" i="11"/>
  <c r="G19" i="7"/>
  <c r="H19" i="7"/>
  <c r="I19" i="7"/>
  <c r="D8" i="11"/>
  <c r="O15" i="7"/>
  <c r="C8" i="4"/>
  <c r="J22" i="7"/>
  <c r="L22" i="7"/>
  <c r="N22" i="7" s="1"/>
  <c r="K22" i="7"/>
  <c r="I11" i="4"/>
  <c r="H11" i="11"/>
  <c r="D10" i="11"/>
  <c r="O17" i="7"/>
  <c r="C10" i="4"/>
  <c r="J23" i="7"/>
  <c r="K23" i="7"/>
  <c r="L23" i="7"/>
  <c r="N23" i="7" s="1"/>
  <c r="I14" i="4"/>
  <c r="H14" i="11"/>
  <c r="I15" i="4"/>
  <c r="H15" i="11"/>
  <c r="D11" i="11"/>
  <c r="C11" i="4"/>
  <c r="O18" i="7"/>
  <c r="J20" i="7"/>
  <c r="L20" i="7"/>
  <c r="N20" i="7" s="1"/>
  <c r="K20" i="7"/>
  <c r="L15" i="7"/>
  <c r="N15" i="7" s="1"/>
  <c r="J15" i="7"/>
  <c r="K15" i="7"/>
  <c r="D17" i="11"/>
  <c r="C17" i="4"/>
  <c r="O24" i="7"/>
  <c r="D16" i="11"/>
  <c r="O23" i="7"/>
  <c r="C16" i="4"/>
  <c r="E13" i="11" l="1"/>
  <c r="F13" i="11"/>
  <c r="J13" i="4"/>
  <c r="K13" i="4"/>
  <c r="I12" i="4"/>
  <c r="H12" i="11"/>
  <c r="M24" i="7"/>
  <c r="E17" i="4" s="1"/>
  <c r="D17" i="4"/>
  <c r="D9" i="11"/>
  <c r="C9" i="4"/>
  <c r="O16" i="7"/>
  <c r="O26" i="7" s="1"/>
  <c r="B112" i="5" s="1"/>
  <c r="D8" i="4"/>
  <c r="M15" i="7"/>
  <c r="E8" i="4" s="1"/>
  <c r="F10" i="11"/>
  <c r="E10" i="11"/>
  <c r="J10" i="4"/>
  <c r="K10" i="4"/>
  <c r="H16" i="4"/>
  <c r="G16" i="11"/>
  <c r="E15" i="11"/>
  <c r="F15" i="11"/>
  <c r="J15" i="4"/>
  <c r="K15" i="4"/>
  <c r="M18" i="7"/>
  <c r="E11" i="4" s="1"/>
  <c r="D11" i="4"/>
  <c r="H17" i="4"/>
  <c r="G17" i="11"/>
  <c r="K16" i="7"/>
  <c r="J16" i="7"/>
  <c r="L16" i="7"/>
  <c r="N16" i="7" s="1"/>
  <c r="H14" i="4"/>
  <c r="G14" i="11"/>
  <c r="H8" i="4"/>
  <c r="G8" i="11"/>
  <c r="E11" i="11"/>
  <c r="F11" i="11"/>
  <c r="K11" i="4"/>
  <c r="J11" i="4"/>
  <c r="H10" i="4"/>
  <c r="G10" i="11"/>
  <c r="D13" i="4"/>
  <c r="M20" i="7"/>
  <c r="E13" i="4" s="1"/>
  <c r="F16" i="11"/>
  <c r="E16" i="11"/>
  <c r="J16" i="4"/>
  <c r="K16" i="4"/>
  <c r="H15" i="4"/>
  <c r="G15" i="11"/>
  <c r="D12" i="11"/>
  <c r="O19" i="7"/>
  <c r="C12" i="4"/>
  <c r="E17" i="11"/>
  <c r="F17" i="11"/>
  <c r="J17" i="4"/>
  <c r="K17" i="4"/>
  <c r="D14" i="4"/>
  <c r="M21" i="7"/>
  <c r="E14" i="4" s="1"/>
  <c r="F8" i="11"/>
  <c r="E8" i="11"/>
  <c r="K8" i="4"/>
  <c r="J8" i="4"/>
  <c r="H13" i="4"/>
  <c r="G13" i="11"/>
  <c r="D16" i="4"/>
  <c r="M23" i="7"/>
  <c r="E16" i="4" s="1"/>
  <c r="D15" i="4"/>
  <c r="M22" i="7"/>
  <c r="E15" i="4" s="1"/>
  <c r="J19" i="7"/>
  <c r="L19" i="7"/>
  <c r="N19" i="7" s="1"/>
  <c r="K19" i="7"/>
  <c r="H11" i="4"/>
  <c r="G11" i="11"/>
  <c r="D10" i="4"/>
  <c r="M17" i="7"/>
  <c r="E10" i="4" s="1"/>
  <c r="I9" i="4"/>
  <c r="H9" i="11"/>
  <c r="F14" i="11"/>
  <c r="E14" i="11"/>
  <c r="K14" i="4"/>
  <c r="J14" i="4"/>
  <c r="K9" i="4" l="1"/>
  <c r="E9" i="11"/>
  <c r="F9" i="11"/>
  <c r="J9" i="4"/>
  <c r="F12" i="11"/>
  <c r="E12" i="11"/>
  <c r="J12" i="4"/>
  <c r="K12" i="4"/>
  <c r="M16" i="7"/>
  <c r="E9" i="4" s="1"/>
  <c r="D9" i="4"/>
  <c r="H12" i="4"/>
  <c r="G12" i="11"/>
  <c r="M19" i="7"/>
  <c r="E12" i="4" s="1"/>
  <c r="D12" i="4"/>
  <c r="H9" i="4"/>
  <c r="G9" i="1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 shape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<sst xmlns="http://schemas.openxmlformats.org/spreadsheetml/2006/main" count="796" uniqueCount="525">
  <si>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</si>
  <si>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</si>
  <si>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</si>
  <si>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</si>
  <si>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</si>
  <si>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</si>
  <si>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</si>
  <si>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</si>
  <si>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</si>
  <si>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</si>
  <si>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</si>
  <si>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</si>
  <si>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</si>
  <si>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</si>
  <si>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</si>
  <si>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</si>
  <si>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</si>
  <si>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</si>
  <si>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</si>
  <si>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</si>
  <si>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</si>
  <si>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</si>
  <si>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</si>
  <si>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</si>
  <si>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</si>
  <si>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</si>
  <si>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</si>
  <si>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</si>
  <si>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</si>
  <si>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</si>
  <si>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</si>
  <si>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</si>
  <si>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</si>
  <si>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</si>
  <si>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</si>
  <si>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</si>
  <si>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</si>
  <si>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</si>
  <si>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</si>
  <si>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</si>
  <si>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</si>
  <si>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</si>
  <si>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</si>
  <si>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</si>
  <si>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</si>
  <si>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</si>
  <si>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</si>
  <si>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</si>
  <si>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</si>
  <si>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</si>
  <si>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</si>
  <si>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</si>
  <si>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</si>
  <si>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</si>
  <si>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</si>
  <si>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</si>
  <si>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</si>
  <si>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</si>
  <si>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</si>
  <si>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</si>
  <si>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</si>
  <si>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</si>
  <si>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</si>
  <si>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</si>
  <si>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</si>
  <si>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</si>
  <si>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</si>
  <si>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</si>
  <si>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</si>
  <si>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</si>
  <si>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</si>
  <si>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</si>
  <si>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</si>
  <si>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</si>
  <si>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</si>
  <si>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</si>
  <si>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</si>
  <si>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</si>
  <si>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</si>
  <si>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</si>
  <si>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</si>
  <si>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</si>
  <si>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</si>
  <si>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</si>
  <si>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</si>
  <si>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</si>
  <si>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</si>
  <si>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</si>
  <si>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</si>
  <si>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</si>
  <si>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</si>
  <si>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</si>
  <si>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</si>
  <si>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</si>
  <si>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</si>
  <si>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</si>
  <si>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</si>
  <si>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</si>
  <si>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</si>
  <si>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</si>
  <si>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</si>
  <si>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</si>
  <si>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</si>
  <si>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</si>
  <si>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</si>
  <si>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</si>
  <si>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</si>
  <si>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</si>
  <si>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</si>
  <si>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</si>
  <si>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</si>
  <si>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</si>
  <si>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</si>
  <si>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</si>
  <si>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</si>
  <si>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</si>
  <si>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</si>
  <si>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</si>
  <si>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</si>
  <si>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</si>
  <si>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</si>
  <si>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</si>
  <si>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</si>
  <si>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</si>
  <si>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</si>
  <si>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</si>
  <si>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</si>
  <si>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</si>
  <si>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</si>
  <si>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</si>
  <si>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</si>
  <si>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</si>
  <si>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</si>
  <si>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</si>
  <si>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</si>
  <si>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</si>
  <si>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</si>
  <si>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</si>
  <si>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</si>
  <si>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</si>
  <si>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</si>
  <si>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</si>
  <si>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</si>
  <si>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</si>
  <si>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</si>
  <si>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</si>
  <si>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</si>
  <si>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</si>
  <si>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</si>
  <si>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</si>
  <si>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</si>
  <si>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</si>
  <si>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</si>
  <si>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</si>
  <si>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</si>
  <si>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</si>
  <si>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</si>
  <si>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</si>
  <si>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</si>
  <si>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</si>
  <si>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</si>
  <si>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</si>
  <si>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</si>
  <si>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</si>
  <si>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</si>
  <si>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</si>
  <si>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</si>
  <si>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</si>
  <si>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</si>
  <si>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</si>
  <si>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</si>
  <si>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</si>
  <si>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</si>
  <si>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</si>
  <si>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</si>
  <si>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</si>
  <si>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</si>
  <si>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</si>
  <si>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</si>
  <si>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</si>
  <si>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</si>
  <si>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</si>
  <si>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</si>
  <si>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</si>
  <si>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</si>
  <si>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</si>
  <si>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</si>
  <si>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</si>
  <si>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</si>
  <si>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</si>
  <si>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</si>
  <si>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</si>
  <si>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</si>
  <si>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</si>
  <si>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</si>
  <si>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</si>
  <si>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</si>
  <si>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</si>
  <si>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</si>
  <si>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</si>
  <si>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</si>
  <si>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</si>
  <si>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</si>
  <si>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</si>
  <si>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</si>
  <si>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</si>
  <si>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</si>
  <si>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</si>
  <si>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</si>
  <si>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</si>
  <si>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</si>
  <si>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</si>
  <si>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</si>
  <si>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</si>
  <si>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</si>
  <si>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</si>
  <si>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</si>
  <si>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</si>
  <si>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</si>
  <si>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</si>
  <si>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</si>
  <si>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</si>
  <si>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</si>
  <si>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</si>
  <si>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</si>
  <si>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</si>
  <si>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</si>
  <si>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</si>
  <si>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</si>
  <si>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</si>
  <si>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</si>
  <si>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</si>
  <si>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</si>
  <si>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</si>
  <si>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</si>
  <si>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</si>
  <si>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</si>
  <si>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</si>
  <si>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</si>
  <si>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</si>
  <si>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</si>
  <si>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</si>
  <si>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</si>
  <si>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</si>
  <si>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</si>
  <si>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</si>
  <si>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</si>
  <si>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</si>
  <si>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</si>
  <si>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</si>
  <si>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</si>
  <si>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</si>
  <si>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</si>
  <si>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</si>
  <si>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</si>
  <si>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</si>
  <si>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</si>
  <si>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</si>
  <si>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</si>
  <si>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</si>
  <si>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</si>
  <si>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</si>
  <si>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</si>
  <si>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</si>
  <si>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</si>
  <si>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</si>
  <si>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</si>
  <si>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</si>
  <si>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</si>
  <si>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</si>
  <si>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</si>
  <si>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</si>
  <si>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</si>
  <si>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</si>
  <si>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</si>
  <si>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</si>
  <si>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</si>
  <si>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</si>
  <si>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</si>
  <si>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</si>
  <si>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</si>
  <si>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</si>
  <si>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</si>
  <si>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</si>
  <si>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</si>
  <si>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</si>
  <si>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</si>
  <si>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</si>
  <si>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</si>
  <si>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</si>
  <si>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</si>
  <si>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</si>
  <si>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</si>
  <si>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</si>
  <si>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</si>
  <si>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</si>
  <si>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</si>
  <si>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</si>
  <si>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</si>
  <si>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</si>
  <si>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</si>
  <si>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</si>
  <si>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</si>
  <si>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</si>
  <si>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</si>
  <si>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</si>
  <si>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</si>
  <si>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</si>
  <si>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</si>
  <si>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</si>
  <si>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</si>
  <si>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</si>
  <si>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</si>
  <si>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</si>
  <si>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</si>
  <si>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</si>
  <si>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</si>
  <si>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</si>
  <si>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</si>
  <si>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</si>
  <si>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</si>
  <si>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</si>
  <si>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</si>
  <si>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</si>
  <si>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</si>
  <si>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</si>
  <si>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</si>
  <si>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</si>
  <si>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</si>
  <si>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</si>
  <si>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</si>
  <si>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</si>
  <si>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</si>
  <si>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</si>
  <si>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</si>
  <si>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</si>
  <si>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</si>
  <si>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</si>
  <si>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</si>
  <si>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</si>
  <si>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</si>
  <si>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</si>
  <si>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</si>
  <si>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</si>
  <si>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</si>
  <si>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</si>
  <si>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</si>
  <si>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</si>
  <si>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</si>
  <si>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</si>
  <si>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</si>
  <si>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</si>
  <si>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</si>
  <si>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</si>
  <si>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</si>
  <si>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</si>
  <si>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</si>
  <si>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</si>
  <si>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</si>
  <si>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</si>
  <si>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</si>
  <si>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</si>
  <si>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</si>
  <si>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</si>
  <si>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</si>
  <si>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</si>
  <si>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</si>
  <si>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</si>
  <si>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</si>
  <si>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</si>
  <si>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</si>
  <si>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</si>
  <si>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</si>
  <si>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</si>
  <si>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</si>
  <si>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</si>
  <si>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</si>
  <si>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</si>
  <si>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</si>
  <si>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</si>
  <si>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</si>
  <si>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</si>
  <si>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</si>
  <si>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</si>
  <si>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</si>
  <si>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</si>
  <si>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</si>
  <si>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</si>
  <si>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</si>
  <si>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</si>
  <si>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</si>
  <si>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</si>
  <si>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</si>
  <si>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</si>
  <si>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</si>
  <si>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</si>
  <si>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</si>
  <si>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</si>
  <si>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</si>
  <si>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</si>
  <si>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</si>
  <si>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</si>
  <si>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</si>
  <si>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</si>
  <si>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</si>
  <si>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</si>
  <si>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</si>
  <si>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</si>
  <si>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</si>
  <si>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</si>
  <si>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</si>
  <si>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</si>
  <si>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</si>
  <si>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</si>
  <si>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</si>
  <si>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</si>
  <si>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</si>
  <si>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</si>
  <si>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</si>
  <si>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</si>
  <si>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Gain scheduling start pitch angle (deg)</t>
  </si>
  <si>
    <t>from CertTest 1.5 WindPACT</t>
  </si>
  <si>
    <t>Gain scheduling end pitch angle (deg)</t>
  </si>
  <si>
    <t>Gain scheduling exponent</t>
  </si>
  <si>
    <t>Time step (sec)</t>
  </si>
  <si>
    <t>Generator torque constant (HSS N-m/rpm^2)</t>
  </si>
  <si>
    <t>simple quadratic (not optimal)</t>
  </si>
  <si>
    <t>TipRad</t>
  </si>
  <si>
    <t>HubRad</t>
  </si>
  <si>
    <t>DistBldProps</t>
  </si>
  <si>
    <t>BlFract</t>
  </si>
  <si>
    <t>AeroCent</t>
  </si>
  <si>
    <t>StrcTwst</t>
  </si>
  <si>
    <t>BMassDen</t>
  </si>
  <si>
    <t>FlpStff</t>
  </si>
  <si>
    <t>EdgStff</t>
  </si>
  <si>
    <t>GJStff</t>
  </si>
  <si>
    <t>EAStff</t>
  </si>
  <si>
    <t>Units</t>
  </si>
  <si>
    <t>Key</t>
  </si>
  <si>
    <t>Values</t>
  </si>
  <si>
    <t>AirDens</t>
  </si>
  <si>
    <t>s</t>
  </si>
  <si>
    <t>DTAero</t>
  </si>
  <si>
    <t>-</t>
  </si>
  <si>
    <t>FoilNm</t>
  </si>
  <si>
    <t>BldNodes</t>
  </si>
  <si>
    <t>ADSchedFields</t>
  </si>
  <si>
    <t>RNodes</t>
  </si>
  <si>
    <t>AeroTwst</t>
  </si>
  <si>
    <t>DRNodes</t>
  </si>
  <si>
    <t>NFoil</t>
  </si>
  <si>
    <t>ADSched Calculations</t>
  </si>
  <si>
    <t>OverHang</t>
  </si>
  <si>
    <t>NacCMxn</t>
  </si>
  <si>
    <t>NacCMyn</t>
  </si>
  <si>
    <t>NacCMzn</t>
  </si>
  <si>
    <t>TowerHt</t>
  </si>
  <si>
    <t>Twr2Shft</t>
  </si>
  <si>
    <t>deg</t>
  </si>
  <si>
    <t>ShftTilt</t>
  </si>
  <si>
    <t>NacMass</t>
  </si>
  <si>
    <t>HubMass</t>
  </si>
  <si>
    <t>kg-m^2</t>
  </si>
  <si>
    <t>NacYIner</t>
  </si>
  <si>
    <t>GenIner</t>
  </si>
  <si>
    <t>HubIner</t>
  </si>
  <si>
    <t>GenEff</t>
  </si>
  <si>
    <t>GBRatio</t>
  </si>
  <si>
    <t>N-m/rad</t>
  </si>
  <si>
    <t>DTTorSpr</t>
  </si>
  <si>
    <t>N-m/(rad/s)</t>
  </si>
  <si>
    <t>DTTorDmp</t>
  </si>
  <si>
    <t>W</t>
  </si>
  <si>
    <t>RatedPwr</t>
  </si>
  <si>
    <t>TwrSchedFields</t>
  </si>
  <si>
    <t>HtFract</t>
  </si>
  <si>
    <t>TMassDen</t>
  </si>
  <si>
    <t>TwFAStif</t>
  </si>
  <si>
    <t>TwSSStif</t>
  </si>
  <si>
    <t>TwGJStif</t>
  </si>
  <si>
    <t>TwEAStif</t>
  </si>
  <si>
    <t>VS_RtGnSp</t>
  </si>
  <si>
    <t>N-m</t>
  </si>
  <si>
    <t>VS_RtTq</t>
  </si>
  <si>
    <t>N-m/HSSrpm^2</t>
  </si>
  <si>
    <t>VS_Rgn2K</t>
  </si>
  <si>
    <t>CNST(2)</t>
  </si>
  <si>
    <t>rotor speed set point</t>
  </si>
  <si>
    <t>CNST(4)</t>
  </si>
  <si>
    <t>min pitch angle</t>
  </si>
  <si>
    <t>CNST(5)</t>
  </si>
  <si>
    <t>max pitch angle</t>
  </si>
  <si>
    <t>CNST(6)</t>
  </si>
  <si>
    <t>pitch time step</t>
  </si>
  <si>
    <t>rad</t>
  </si>
  <si>
    <t>CNST(7)</t>
  </si>
  <si>
    <t>gain scheduling start angle</t>
  </si>
  <si>
    <t>CNST(8)</t>
  </si>
  <si>
    <t>gain scheduling end angle</t>
  </si>
  <si>
    <t>CNST(9)</t>
  </si>
  <si>
    <t>gain scheduling coefficient</t>
  </si>
  <si>
    <t>CNST(10)</t>
  </si>
  <si>
    <t>gain scheduling exponent</t>
  </si>
  <si>
    <t>P2P_Num</t>
  </si>
  <si>
    <t>numerator blade pitch actuator TF</t>
  </si>
  <si>
    <t>P2P_Den</t>
  </si>
  <si>
    <t>denominator blade pitch actuator TF</t>
  </si>
  <si>
    <t>PrnElm</t>
  </si>
  <si>
    <t>NOPRINT</t>
  </si>
  <si>
    <t>cylinder.dat</t>
  </si>
  <si>
    <t>&lt;-- added ".dat" (JR)</t>
  </si>
  <si>
    <t>BldFlDmp(1)</t>
  </si>
  <si>
    <t>BldFlDmp(2)</t>
  </si>
  <si>
    <t>BldEdDmp(1)</t>
  </si>
  <si>
    <t>BlPitchF(1)</t>
  </si>
  <si>
    <t>BlPitchF(2)</t>
  </si>
  <si>
    <t>BlPitchF(3)</t>
  </si>
  <si>
    <t>TwrFADmp(1)</t>
  </si>
  <si>
    <t>TwrFADmp(2)</t>
  </si>
  <si>
    <t>TwrSSDmp(1)</t>
  </si>
  <si>
    <t>TwrSSDmp(2)</t>
  </si>
  <si>
    <t>PreCone(1)</t>
  </si>
  <si>
    <t>PreCone(2)</t>
  </si>
  <si>
    <t>PreCone(3)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</si>
</sst>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E+00"/>
    <numFmt numFmtId="167" formatCode="0.0000"/>
    <numFmt numFmtId="168" formatCode="0.0000000"/>
    <numFmt numFmtId="169" formatCode="0.000000000"/>
    <numFmt numFmtId="170" formatCode="0.0000000000"/>
    <numFmt numFmtId="171" formatCode="0.000000"/>
    <numFmt numFmtId="172" formatCode="0.00000000E+00"/>
    <numFmt numFmtId="173" formatCode="0.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7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0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9" fontId="0" fillId="0" borderId="0" xfId="0" applyNumberFormat="1"/>
    <xf numFmtId="170" fontId="0" fillId="0" borderId="0" xfId="0" applyNumberFormat="1"/>
    <xf numFmtId="168" fontId="0" fillId="0" borderId="0" xfId="0" applyNumberFormat="1"/>
    <xf numFmtId="171" fontId="0" fillId="0" borderId="0" xfId="0" applyNumberFormat="1"/>
    <xf numFmtId="11" fontId="0" fillId="0" borderId="0" xfId="0" applyNumberFormat="1"/>
    <xf numFmtId="172" fontId="0" fillId="0" borderId="0" xfId="0" applyNumberFormat="1"/>
    <xf numFmtId="171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173" fontId="0" fillId="0" borderId="0" xfId="0" applyNumberFormat="1" applyBorder="1"/>
    <xf numFmtId="173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46512"/>
        <c:axId val="432012864"/>
      </c:scatterChart>
      <c:valAx>
        <c:axId val="36754651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2012864"/>
        <c:crossesAt val="-10"/>
        <c:crossBetween val="midCat"/>
      </c:valAx>
      <c:valAx>
        <c:axId val="432012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6754651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65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7"/>
  <sheetViews>
    <sheetView tabSelected="1" topLeftCell="A121" zoomScale="115" zoomScaleNormal="115" workbookViewId="0">
      <selection activeCell="F134" sqref="F134:F139"/>
    </sheetView>
  </sheetViews>
  <sheetFormatPr defaultRowHeight="10"/>
  <cols>
    <col min="1" max="1" width="34.77734375" customWidth="1"/>
    <col min="2" max="2" width="12.33203125" customWidth="1"/>
    <col min="4" max="4" width="10.77734375" customWidth="1"/>
    <col min="5" max="5" width="14.109375" customWidth="1"/>
    <col min="6" max="6" width="11.33203125" customWidth="1"/>
    <col min="7" max="8" width="12.109375" customWidth="1"/>
    <col min="9" max="9" width="10.109375" customWidth="1"/>
    <col min="10" max="10" width="9.77734375" customWidth="1"/>
    <col min="11" max="11" width="10" customWidth="1"/>
    <col min="12" max="12" width="10.109375" customWidth="1"/>
    <col min="13" max="13" width="12.44140625" customWidth="1"/>
  </cols>
  <sheetData>
    <row r="1" spans="1:8" ht="41.25" customHeight="1" thickBot="1">
      <c r="A1" s="99" t="s">
        <v>40</v>
      </c>
      <c r="B1" s="336" t="s">
        <v>398</v>
      </c>
      <c r="C1" s="399" t="s">
        <v>384</v>
      </c>
      <c r="D1" s="400"/>
      <c r="E1" s="400"/>
      <c r="F1" s="400"/>
      <c r="G1" s="400"/>
      <c r="H1" s="401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3" t="s">
        <v>119</v>
      </c>
      <c r="C3" s="394"/>
      <c r="D3" s="395"/>
      <c r="E3" s="35"/>
      <c r="F3" s="396" t="s">
        <v>18</v>
      </c>
      <c r="G3" s="397"/>
      <c r="H3" s="398"/>
    </row>
    <row r="4" spans="1:8" ht="11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0.5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0.5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0">
      <c r="A14" s="61" t="s">
        <v>43</v>
      </c>
      <c r="B14" s="373">
        <f>PI()*(B67^4-B68^4)/32/(GECdrivetrain!C7)*GECtwrdata!F7</f>
        <v>1039402035.9271445</v>
      </c>
      <c r="D14" s="347" t="s">
        <v>417</v>
      </c>
      <c r="E14" s="348"/>
    </row>
    <row r="15" spans="1:8">
      <c r="A15" s="61" t="s">
        <v>419</v>
      </c>
      <c r="B15" s="374">
        <v>5</v>
      </c>
      <c r="D15" s="347" t="s">
        <v>402</v>
      </c>
      <c r="E15" s="348"/>
    </row>
    <row r="16" spans="1:8">
      <c r="A16" s="61" t="s">
        <v>418</v>
      </c>
      <c r="B16" s="374">
        <v>18562372</v>
      </c>
      <c r="D16" s="347" t="s">
        <v>402</v>
      </c>
      <c r="E16" s="348"/>
      <c r="H16" s="103"/>
    </row>
    <row r="17" spans="1:21" ht="23.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402" t="s">
        <v>374</v>
      </c>
      <c r="E19" s="401"/>
      <c r="F19" s="401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402" t="s">
        <v>373</v>
      </c>
      <c r="E20" s="401"/>
      <c r="F20" s="401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5" customHeight="1">
      <c r="A24" s="100" t="s">
        <v>74</v>
      </c>
      <c r="B24" s="270">
        <f>B89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0.5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B92</f>
        <v>3000</v>
      </c>
      <c r="G26" s="89"/>
      <c r="H26" s="12"/>
    </row>
    <row r="28" spans="1:21" ht="12.65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14.468631190172303</v>
      </c>
    </row>
    <row r="30" spans="1:21" ht="9.75" customHeight="1">
      <c r="A30" s="100" t="s">
        <v>376</v>
      </c>
      <c r="B30" s="269">
        <f>B92*1000/(B29*PI()/30)/(B19-C19-B20-C20)</f>
        <v>2140540.5405405406</v>
      </c>
    </row>
    <row r="31" spans="1:21" ht="9.75" customHeight="1">
      <c r="A31" s="350" t="s">
        <v>403</v>
      </c>
      <c r="B31" s="269">
        <f>B92*1000/(B87*PI()/30)/(B19)</f>
        <v>16753.151904410039</v>
      </c>
      <c r="D31" s="347" t="s">
        <v>404</v>
      </c>
      <c r="E31" s="348"/>
    </row>
    <row r="32" spans="1:21">
      <c r="B32" s="53"/>
    </row>
    <row r="33" spans="1:5" ht="10.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75" t="s">
        <v>420</v>
      </c>
      <c r="B37" s="275">
        <v>2.6</v>
      </c>
      <c r="D37" s="347" t="s">
        <v>421</v>
      </c>
      <c r="E37" s="348"/>
    </row>
    <row r="38" spans="1:5" ht="12" customHeight="1">
      <c r="A38" s="375" t="s">
        <v>422</v>
      </c>
      <c r="B38" s="275">
        <v>30</v>
      </c>
      <c r="D38" s="347" t="s">
        <v>421</v>
      </c>
      <c r="E38" s="348"/>
    </row>
    <row r="39" spans="1:5" ht="12" customHeight="1">
      <c r="A39" s="375" t="s">
        <v>423</v>
      </c>
      <c r="B39" s="275">
        <v>-0.5</v>
      </c>
      <c r="D39" s="347" t="s">
        <v>421</v>
      </c>
      <c r="E39" s="348"/>
    </row>
    <row r="40" spans="1:5" ht="12" customHeight="1">
      <c r="A40" s="375" t="s">
        <v>424</v>
      </c>
      <c r="B40" s="275">
        <v>2.5000000000000001E-2</v>
      </c>
      <c r="D40" s="347" t="s">
        <v>421</v>
      </c>
      <c r="E40" s="348"/>
    </row>
    <row r="41" spans="1:5" ht="12" customHeight="1">
      <c r="A41" s="349"/>
      <c r="B41" s="351"/>
    </row>
    <row r="42" spans="1:5" ht="12" customHeight="1">
      <c r="A42" s="109" t="s">
        <v>405</v>
      </c>
      <c r="B42" s="29"/>
      <c r="D42" s="347" t="s">
        <v>402</v>
      </c>
      <c r="E42" s="348"/>
    </row>
    <row r="43" spans="1:5" ht="12" customHeight="1">
      <c r="A43" s="375" t="s">
        <v>425</v>
      </c>
      <c r="B43" s="275">
        <f>B31/B87^2</f>
        <v>5.170725896422851E-3</v>
      </c>
      <c r="D43" s="347" t="s">
        <v>426</v>
      </c>
      <c r="E43" s="348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100" t="s">
        <v>207</v>
      </c>
      <c r="B46" s="276">
        <v>2.2690000000000001</v>
      </c>
    </row>
    <row r="47" spans="1:5">
      <c r="A47" s="100" t="s">
        <v>123</v>
      </c>
      <c r="B47" s="277">
        <v>3.7</v>
      </c>
    </row>
    <row r="48" spans="1:5" ht="15" customHeight="1">
      <c r="A48" s="100" t="s">
        <v>124</v>
      </c>
      <c r="B48" s="277">
        <v>11.9</v>
      </c>
    </row>
    <row r="49" spans="1:4" ht="11.25" customHeight="1">
      <c r="A49" s="100" t="s">
        <v>125</v>
      </c>
      <c r="B49" s="277">
        <v>8.0020000000000007</v>
      </c>
    </row>
    <row r="50" spans="1:4" ht="13.5" customHeight="1">
      <c r="A50" s="100" t="s">
        <v>126</v>
      </c>
      <c r="B50" s="277">
        <v>26.1</v>
      </c>
    </row>
    <row r="51" spans="1:4" ht="12" customHeight="1">
      <c r="A51" s="330" t="s">
        <v>385</v>
      </c>
      <c r="B51" s="329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6.2246280302696988</v>
      </c>
    </row>
    <row r="55" spans="1:4" ht="10.5">
      <c r="A55" s="2" t="s">
        <v>12</v>
      </c>
      <c r="C55" s="5"/>
    </row>
    <row r="56" spans="1:4">
      <c r="A56" s="110" t="s">
        <v>127</v>
      </c>
      <c r="B56" s="278">
        <v>4.95</v>
      </c>
      <c r="C56" t="s">
        <v>85</v>
      </c>
      <c r="D56" t="s">
        <v>128</v>
      </c>
    </row>
    <row r="57" spans="1:4">
      <c r="A57" s="110" t="s">
        <v>129</v>
      </c>
      <c r="B57" s="278">
        <v>2.6685800000000004</v>
      </c>
      <c r="C57" t="s">
        <v>85</v>
      </c>
      <c r="D57" s="272" t="s">
        <v>380</v>
      </c>
    </row>
    <row r="58" spans="1:4" ht="10.9" customHeight="1">
      <c r="A58" s="110" t="s">
        <v>130</v>
      </c>
      <c r="B58" s="278">
        <v>2.3540000000000001</v>
      </c>
      <c r="C58" t="s">
        <v>85</v>
      </c>
      <c r="D58" t="s">
        <v>131</v>
      </c>
    </row>
    <row r="59" spans="1:4">
      <c r="A59" s="110" t="s">
        <v>132</v>
      </c>
      <c r="B59" s="278">
        <v>8.295000000000001E-2</v>
      </c>
      <c r="C59" t="s">
        <v>85</v>
      </c>
      <c r="D59" s="272" t="s">
        <v>377</v>
      </c>
    </row>
    <row r="60" spans="1:4">
      <c r="A60" s="18" t="s">
        <v>133</v>
      </c>
      <c r="B60" s="279">
        <v>7850</v>
      </c>
      <c r="C60" t="s">
        <v>102</v>
      </c>
    </row>
    <row r="61" spans="1:4">
      <c r="A61" s="18" t="s">
        <v>134</v>
      </c>
      <c r="B61" s="278">
        <v>-4.6500000000000004</v>
      </c>
      <c r="C61" t="s">
        <v>85</v>
      </c>
      <c r="D61" t="s">
        <v>135</v>
      </c>
    </row>
    <row r="62" spans="1:4">
      <c r="A62" s="18" t="s">
        <v>136</v>
      </c>
      <c r="B62" s="278">
        <v>0</v>
      </c>
      <c r="C62" t="s">
        <v>85</v>
      </c>
    </row>
    <row r="63" spans="1:4">
      <c r="A63" s="18" t="s">
        <v>137</v>
      </c>
      <c r="B63" s="278">
        <v>0</v>
      </c>
      <c r="C63" t="s">
        <v>85</v>
      </c>
    </row>
    <row r="64" spans="1:4">
      <c r="A64" s="18"/>
      <c r="B64" s="124"/>
    </row>
    <row r="65" spans="1:4" ht="10.5">
      <c r="A65" s="111" t="s">
        <v>138</v>
      </c>
      <c r="B65" s="125"/>
    </row>
    <row r="66" spans="1:4">
      <c r="A66" s="18" t="s">
        <v>139</v>
      </c>
      <c r="B66" s="278">
        <v>2.79</v>
      </c>
      <c r="C66" t="s">
        <v>85</v>
      </c>
      <c r="D66" t="s">
        <v>379</v>
      </c>
    </row>
    <row r="67" spans="1:4">
      <c r="A67" s="18" t="s">
        <v>140</v>
      </c>
      <c r="B67" s="278">
        <v>0.8</v>
      </c>
      <c r="C67" t="s">
        <v>85</v>
      </c>
    </row>
    <row r="68" spans="1:4">
      <c r="A68" s="18" t="s">
        <v>141</v>
      </c>
      <c r="B68" s="278">
        <v>0.4</v>
      </c>
      <c r="C68" t="s">
        <v>85</v>
      </c>
      <c r="D68" t="s">
        <v>142</v>
      </c>
    </row>
    <row r="69" spans="1:4">
      <c r="A69" s="18" t="s">
        <v>133</v>
      </c>
      <c r="B69" s="279">
        <v>7850</v>
      </c>
      <c r="C69" t="s">
        <v>102</v>
      </c>
    </row>
    <row r="70" spans="1:4">
      <c r="A70" s="18" t="s">
        <v>136</v>
      </c>
      <c r="B70" s="278">
        <v>0</v>
      </c>
      <c r="C70" t="s">
        <v>85</v>
      </c>
      <c r="D70" t="s">
        <v>143</v>
      </c>
    </row>
    <row r="71" spans="1:4">
      <c r="A71" s="18" t="s">
        <v>137</v>
      </c>
      <c r="B71" s="278">
        <v>0</v>
      </c>
      <c r="C71" t="s">
        <v>85</v>
      </c>
    </row>
    <row r="72" spans="1:4">
      <c r="A72" s="18"/>
      <c r="B72" s="124"/>
    </row>
    <row r="73" spans="1:4" ht="10.5">
      <c r="A73" s="111" t="s">
        <v>144</v>
      </c>
      <c r="B73" s="125"/>
    </row>
    <row r="74" spans="1:4">
      <c r="A74" s="18" t="s">
        <v>145</v>
      </c>
      <c r="B74" s="278">
        <v>-3.2549999999999999</v>
      </c>
      <c r="C74" t="s">
        <v>85</v>
      </c>
      <c r="D74" t="s">
        <v>146</v>
      </c>
    </row>
    <row r="75" spans="1:4">
      <c r="A75" s="18" t="s">
        <v>147</v>
      </c>
      <c r="B75" s="278">
        <v>0</v>
      </c>
      <c r="C75" t="s">
        <v>85</v>
      </c>
    </row>
    <row r="76" spans="1:4">
      <c r="A76" s="18" t="s">
        <v>148</v>
      </c>
      <c r="B76" s="278">
        <v>0</v>
      </c>
      <c r="C76" t="s">
        <v>85</v>
      </c>
    </row>
    <row r="77" spans="1:4">
      <c r="A77" s="18" t="s">
        <v>149</v>
      </c>
      <c r="B77" s="278">
        <v>-0.93</v>
      </c>
      <c r="C77" t="s">
        <v>85</v>
      </c>
      <c r="D77" t="s">
        <v>150</v>
      </c>
    </row>
    <row r="78" spans="1:4">
      <c r="A78" s="18" t="s">
        <v>151</v>
      </c>
      <c r="B78" s="278">
        <v>0</v>
      </c>
      <c r="C78" t="s">
        <v>85</v>
      </c>
    </row>
    <row r="79" spans="1:4">
      <c r="A79" s="18" t="s">
        <v>152</v>
      </c>
      <c r="B79" s="278">
        <v>0</v>
      </c>
      <c r="C79" t="s">
        <v>85</v>
      </c>
    </row>
    <row r="80" spans="1:4">
      <c r="A80" s="18"/>
      <c r="B80" s="125"/>
    </row>
    <row r="81" spans="1:4" ht="10.5">
      <c r="A81" s="111" t="s">
        <v>153</v>
      </c>
      <c r="B81" s="125"/>
    </row>
    <row r="82" spans="1:4">
      <c r="A82" s="18" t="s">
        <v>154</v>
      </c>
      <c r="B82" s="280">
        <v>23500</v>
      </c>
      <c r="C82" t="s">
        <v>117</v>
      </c>
      <c r="D82" t="s">
        <v>155</v>
      </c>
    </row>
    <row r="83" spans="1:4">
      <c r="A83" s="18" t="s">
        <v>134</v>
      </c>
      <c r="B83" s="278">
        <v>0</v>
      </c>
      <c r="C83" t="s">
        <v>85</v>
      </c>
      <c r="D83" t="s">
        <v>156</v>
      </c>
    </row>
    <row r="84" spans="1:4">
      <c r="A84" s="18" t="s">
        <v>136</v>
      </c>
      <c r="B84" s="278">
        <v>0</v>
      </c>
      <c r="C84" t="s">
        <v>85</v>
      </c>
    </row>
    <row r="85" spans="1:4">
      <c r="A85" s="18" t="s">
        <v>137</v>
      </c>
      <c r="B85" s="278">
        <v>0</v>
      </c>
      <c r="C85" t="s">
        <v>85</v>
      </c>
    </row>
    <row r="86" spans="1:4">
      <c r="A86" s="18" t="s">
        <v>388</v>
      </c>
      <c r="B86" s="278">
        <v>75</v>
      </c>
      <c r="C86" t="s">
        <v>389</v>
      </c>
    </row>
    <row r="87" spans="1:4">
      <c r="A87" s="18" t="s">
        <v>390</v>
      </c>
      <c r="B87" s="278">
        <v>1800</v>
      </c>
      <c r="C87" t="s">
        <v>391</v>
      </c>
    </row>
    <row r="88" spans="1:4">
      <c r="A88" s="18" t="s">
        <v>157</v>
      </c>
      <c r="B88" s="332">
        <f>1800/B89</f>
        <v>124.40706908215581</v>
      </c>
    </row>
    <row r="89" spans="1:4">
      <c r="A89" s="18" t="s">
        <v>158</v>
      </c>
      <c r="B89" s="332">
        <f>B86/B13*2*30/PI()</f>
        <v>14.468631190172303</v>
      </c>
    </row>
    <row r="90" spans="1:4">
      <c r="A90" s="18"/>
      <c r="B90" s="123"/>
    </row>
    <row r="91" spans="1:4" ht="15" customHeight="1">
      <c r="A91" s="111" t="s">
        <v>159</v>
      </c>
      <c r="B91" s="125"/>
    </row>
    <row r="92" spans="1:4">
      <c r="A92" s="18" t="s">
        <v>160</v>
      </c>
      <c r="B92" s="281">
        <v>3000</v>
      </c>
      <c r="C92" t="s">
        <v>161</v>
      </c>
    </row>
    <row r="93" spans="1:4">
      <c r="A93" s="18" t="s">
        <v>134</v>
      </c>
      <c r="B93" s="278">
        <v>1.163</v>
      </c>
      <c r="C93" t="s">
        <v>85</v>
      </c>
      <c r="D93" t="s">
        <v>162</v>
      </c>
    </row>
    <row r="94" spans="1:4">
      <c r="A94" s="18" t="s">
        <v>136</v>
      </c>
      <c r="B94" s="282">
        <v>0</v>
      </c>
      <c r="C94" t="s">
        <v>85</v>
      </c>
    </row>
    <row r="95" spans="1:4">
      <c r="A95" s="18" t="s">
        <v>137</v>
      </c>
      <c r="B95" s="282">
        <v>0</v>
      </c>
      <c r="C95" t="s">
        <v>85</v>
      </c>
    </row>
    <row r="96" spans="1:4">
      <c r="A96" s="18"/>
      <c r="B96" s="126"/>
    </row>
    <row r="97" spans="1:4" ht="10.5">
      <c r="A97" s="111" t="s">
        <v>163</v>
      </c>
      <c r="B97" s="126"/>
    </row>
    <row r="98" spans="1:4">
      <c r="A98" s="18" t="s">
        <v>139</v>
      </c>
      <c r="B98" s="282">
        <v>3.2549999999999999</v>
      </c>
      <c r="C98" t="s">
        <v>85</v>
      </c>
      <c r="D98" t="s">
        <v>164</v>
      </c>
    </row>
    <row r="99" spans="1:4">
      <c r="A99" s="18" t="s">
        <v>165</v>
      </c>
      <c r="B99" s="278">
        <v>3.1392000000000002</v>
      </c>
      <c r="C99" t="s">
        <v>85</v>
      </c>
      <c r="D99" t="s">
        <v>166</v>
      </c>
    </row>
    <row r="100" spans="1:4">
      <c r="A100" s="18" t="s">
        <v>167</v>
      </c>
      <c r="B100" s="278">
        <v>1.732</v>
      </c>
      <c r="C100" t="s">
        <v>85</v>
      </c>
    </row>
    <row r="101" spans="1:4">
      <c r="A101" s="18" t="s">
        <v>168</v>
      </c>
      <c r="B101" s="278">
        <v>0.3024</v>
      </c>
      <c r="C101" t="s">
        <v>85</v>
      </c>
    </row>
    <row r="102" spans="1:4">
      <c r="A102" s="18" t="s">
        <v>169</v>
      </c>
      <c r="B102" s="278">
        <v>0.27400000000000002</v>
      </c>
      <c r="C102" t="s">
        <v>85</v>
      </c>
    </row>
    <row r="103" spans="1:4">
      <c r="A103" s="18" t="s">
        <v>133</v>
      </c>
      <c r="B103" s="279">
        <v>7850</v>
      </c>
      <c r="C103" t="s">
        <v>85</v>
      </c>
    </row>
    <row r="104" spans="1:4">
      <c r="A104" s="18" t="s">
        <v>134</v>
      </c>
      <c r="B104" s="282">
        <v>0</v>
      </c>
      <c r="C104" t="s">
        <v>85</v>
      </c>
    </row>
    <row r="105" spans="1:4">
      <c r="A105" s="18" t="s">
        <v>136</v>
      </c>
      <c r="B105" s="282">
        <v>0</v>
      </c>
      <c r="C105" t="s">
        <v>85</v>
      </c>
    </row>
    <row r="106" spans="1:4">
      <c r="A106" s="18" t="s">
        <v>137</v>
      </c>
      <c r="B106" s="282">
        <v>-1.135</v>
      </c>
      <c r="C106" t="s">
        <v>85</v>
      </c>
      <c r="D106" t="s">
        <v>170</v>
      </c>
    </row>
    <row r="108" spans="1:4" ht="10.5">
      <c r="A108" s="111" t="s">
        <v>392</v>
      </c>
    </row>
    <row r="109" spans="1:4">
      <c r="A109" s="333" t="s">
        <v>393</v>
      </c>
      <c r="B109" s="334">
        <f>'Blade Data'!R32*B10+E8</f>
        <v>101319.14928558786</v>
      </c>
      <c r="C109" t="s">
        <v>117</v>
      </c>
    </row>
    <row r="110" spans="1:4">
      <c r="A110" s="333" t="s">
        <v>394</v>
      </c>
      <c r="B110" s="334">
        <f>E5+E6+E7</f>
        <v>132597.74759930788</v>
      </c>
      <c r="C110" t="s">
        <v>117</v>
      </c>
    </row>
    <row r="111" spans="1:4">
      <c r="A111" s="333" t="s">
        <v>395</v>
      </c>
      <c r="B111" s="334">
        <f>B109+B110</f>
        <v>233916.89688489574</v>
      </c>
      <c r="C111" t="s">
        <v>117</v>
      </c>
    </row>
    <row r="112" spans="1:4">
      <c r="A112" s="18" t="s">
        <v>397</v>
      </c>
      <c r="B112" s="334">
        <f>GECtwrdata!O26</f>
        <v>336721.06544120744</v>
      </c>
      <c r="C112" t="s">
        <v>117</v>
      </c>
    </row>
    <row r="113" spans="1:13">
      <c r="A113" t="s">
        <v>348</v>
      </c>
      <c r="H113" t="s">
        <v>320</v>
      </c>
      <c r="I113" s="183"/>
      <c r="J113" s="183"/>
    </row>
    <row r="114" spans="1:13" ht="15">
      <c r="A114" s="184"/>
      <c r="B114" s="185"/>
      <c r="C114" s="186" t="s">
        <v>321</v>
      </c>
      <c r="D114" s="187"/>
      <c r="E114" s="185"/>
      <c r="F114" s="188" t="s">
        <v>322</v>
      </c>
      <c r="G114" s="189"/>
      <c r="H114" s="184"/>
      <c r="I114" s="190" t="s">
        <v>333</v>
      </c>
      <c r="J114" s="190" t="s">
        <v>334</v>
      </c>
      <c r="K114" s="191" t="s">
        <v>335</v>
      </c>
    </row>
    <row r="115" spans="1:13" ht="13.5">
      <c r="A115" s="192" t="s">
        <v>87</v>
      </c>
      <c r="B115" s="176" t="s">
        <v>336</v>
      </c>
      <c r="C115" s="176" t="s">
        <v>337</v>
      </c>
      <c r="D115" s="177" t="s">
        <v>338</v>
      </c>
      <c r="E115" s="177" t="s">
        <v>339</v>
      </c>
      <c r="F115" s="176" t="s">
        <v>340</v>
      </c>
      <c r="G115" s="193" t="s">
        <v>341</v>
      </c>
      <c r="H115" s="192" t="s">
        <v>87</v>
      </c>
      <c r="I115" s="176" t="s">
        <v>342</v>
      </c>
      <c r="J115" s="176" t="s">
        <v>342</v>
      </c>
      <c r="K115" s="194" t="s">
        <v>342</v>
      </c>
    </row>
    <row r="116" spans="1:13" ht="11.5">
      <c r="A116" s="283">
        <v>7.0000000000000007E-2</v>
      </c>
      <c r="B116" s="284">
        <v>1348.87465938283</v>
      </c>
      <c r="C116" s="285">
        <v>13403574.332548277</v>
      </c>
      <c r="D116" s="286">
        <v>3620</v>
      </c>
      <c r="E116" s="287">
        <v>3620</v>
      </c>
      <c r="F116" s="285">
        <v>13403574.332548277</v>
      </c>
      <c r="G116" s="288">
        <v>3620</v>
      </c>
      <c r="H116" s="289">
        <v>7.0000000000000007E-2</v>
      </c>
      <c r="I116" s="290">
        <v>2.7007721300201633E-4</v>
      </c>
      <c r="J116" s="290">
        <v>2.7007721300201633E-4</v>
      </c>
      <c r="K116" s="291">
        <v>2.7007721300201633E-4</v>
      </c>
    </row>
    <row r="117" spans="1:13" ht="11.5">
      <c r="A117" s="292">
        <v>0.25</v>
      </c>
      <c r="B117" s="284">
        <v>630.2384589044766</v>
      </c>
      <c r="C117" s="285">
        <v>8362000</v>
      </c>
      <c r="D117" s="286">
        <v>3620</v>
      </c>
      <c r="E117" s="287">
        <v>3886.2892744173614</v>
      </c>
      <c r="F117" s="285">
        <v>1457409.4413835965</v>
      </c>
      <c r="G117" s="288">
        <v>952.22125095074227</v>
      </c>
      <c r="H117" s="293">
        <v>0.25</v>
      </c>
      <c r="I117" s="285">
        <v>4.329107868930878E-4</v>
      </c>
      <c r="J117" s="285">
        <v>4.6475595245364283E-4</v>
      </c>
      <c r="K117" s="294">
        <v>6.5336563899760921E-4</v>
      </c>
    </row>
    <row r="118" spans="1:13" ht="11.5">
      <c r="A118" s="292">
        <v>0.5</v>
      </c>
      <c r="B118" s="284">
        <v>355.98755758790423</v>
      </c>
      <c r="C118" s="285">
        <v>3683800</v>
      </c>
      <c r="D118" s="286">
        <v>3620</v>
      </c>
      <c r="E118" s="287">
        <v>3790.2346685209886</v>
      </c>
      <c r="F118" s="285">
        <v>471021.474559661</v>
      </c>
      <c r="G118" s="288">
        <v>952.22125095074227</v>
      </c>
      <c r="H118" s="293">
        <v>0.5</v>
      </c>
      <c r="I118" s="285">
        <v>9.8268092730332819E-4</v>
      </c>
      <c r="J118" s="285">
        <v>1.0288926294915546E-3</v>
      </c>
      <c r="K118" s="294">
        <v>2.0216089974261484E-3</v>
      </c>
    </row>
    <row r="119" spans="1:13" ht="11.5">
      <c r="A119" s="295">
        <v>0.75</v>
      </c>
      <c r="B119" s="296">
        <v>216.65259804245323</v>
      </c>
      <c r="C119" s="297">
        <v>933380</v>
      </c>
      <c r="D119" s="298">
        <v>3620</v>
      </c>
      <c r="E119" s="299">
        <v>3792.4944639958362</v>
      </c>
      <c r="F119" s="297">
        <v>168325.07803241245</v>
      </c>
      <c r="G119" s="300">
        <v>952.22125095074227</v>
      </c>
      <c r="H119" s="301">
        <v>0.75</v>
      </c>
      <c r="I119" s="297">
        <v>3.8783775096959436E-3</v>
      </c>
      <c r="J119" s="297">
        <v>4.0631837665214988E-3</v>
      </c>
      <c r="K119" s="302">
        <v>5.6570373356213972E-3</v>
      </c>
    </row>
    <row r="121" spans="1:13">
      <c r="A121" t="s">
        <v>349</v>
      </c>
    </row>
    <row r="122" spans="1:13" ht="13.5">
      <c r="A122" s="184"/>
      <c r="B122" s="188" t="s">
        <v>88</v>
      </c>
      <c r="C122" s="188" t="s">
        <v>323</v>
      </c>
      <c r="D122" s="188" t="s">
        <v>89</v>
      </c>
      <c r="E122" s="195" t="s">
        <v>324</v>
      </c>
      <c r="F122" s="188" t="s">
        <v>325</v>
      </c>
      <c r="G122" s="188" t="s">
        <v>326</v>
      </c>
      <c r="H122" s="188" t="s">
        <v>327</v>
      </c>
      <c r="I122" s="188" t="s">
        <v>343</v>
      </c>
      <c r="J122" s="188" t="s">
        <v>344</v>
      </c>
      <c r="K122" s="188" t="s">
        <v>113</v>
      </c>
      <c r="L122" s="188" t="s">
        <v>112</v>
      </c>
      <c r="M122" s="196" t="s">
        <v>345</v>
      </c>
    </row>
    <row r="123" spans="1:13" ht="13.5">
      <c r="A123" s="192" t="s">
        <v>87</v>
      </c>
      <c r="B123" s="176" t="s">
        <v>90</v>
      </c>
      <c r="C123" s="176" t="s">
        <v>328</v>
      </c>
      <c r="D123" s="176" t="s">
        <v>329</v>
      </c>
      <c r="E123" s="176" t="s">
        <v>330</v>
      </c>
      <c r="F123" s="176" t="s">
        <v>330</v>
      </c>
      <c r="G123" s="176" t="s">
        <v>330</v>
      </c>
      <c r="H123" s="176" t="s">
        <v>331</v>
      </c>
      <c r="I123" s="176" t="s">
        <v>346</v>
      </c>
      <c r="J123" s="176" t="s">
        <v>346</v>
      </c>
      <c r="K123" s="176" t="s">
        <v>332</v>
      </c>
      <c r="L123" s="176" t="s">
        <v>346</v>
      </c>
      <c r="M123" s="194" t="s">
        <v>357</v>
      </c>
    </row>
    <row r="124" spans="1:13">
      <c r="A124" s="303">
        <v>0.05</v>
      </c>
      <c r="B124" s="304">
        <v>2.6729794259588524</v>
      </c>
      <c r="C124" s="305">
        <v>1</v>
      </c>
      <c r="D124" s="305" t="s">
        <v>378</v>
      </c>
      <c r="E124" s="346">
        <v>0.25</v>
      </c>
      <c r="F124" s="304">
        <v>0.5</v>
      </c>
      <c r="G124" s="304">
        <v>0.5</v>
      </c>
      <c r="H124" s="307">
        <v>2514.2728793945694</v>
      </c>
      <c r="I124" s="308">
        <v>25915847780.81815</v>
      </c>
      <c r="J124" s="308">
        <v>25915847780.81815</v>
      </c>
      <c r="K124" s="308">
        <v>28944438488.483387</v>
      </c>
      <c r="L124" s="308">
        <v>8966505090.0080204</v>
      </c>
      <c r="M124" s="309">
        <v>4490.9882032550131</v>
      </c>
    </row>
    <row r="125" spans="1:13">
      <c r="A125" s="283">
        <v>7.0000000000000007E-2</v>
      </c>
      <c r="B125" s="310">
        <v>2.6729794259588524</v>
      </c>
      <c r="C125" s="311">
        <v>1</v>
      </c>
      <c r="D125" s="311" t="s">
        <v>378</v>
      </c>
      <c r="E125" s="346">
        <v>0.25</v>
      </c>
      <c r="F125" s="310">
        <v>0.5</v>
      </c>
      <c r="G125" s="310">
        <v>0.5</v>
      </c>
      <c r="H125" s="312">
        <v>378.46476436784059</v>
      </c>
      <c r="I125" s="313">
        <v>4995749732.6391211</v>
      </c>
      <c r="J125" s="313">
        <v>4995749732.6391211</v>
      </c>
      <c r="K125" s="313">
        <v>5635228554.6241884</v>
      </c>
      <c r="L125" s="313">
        <v>1745703465.4624267</v>
      </c>
      <c r="M125" s="314">
        <v>676.01285685941104</v>
      </c>
    </row>
    <row r="126" spans="1:13">
      <c r="A126" s="292">
        <v>0.25</v>
      </c>
      <c r="B126" s="310">
        <v>3.9601219202438407</v>
      </c>
      <c r="C126" s="311">
        <v>0.33</v>
      </c>
      <c r="D126" s="311">
        <v>4.2105075887228658</v>
      </c>
      <c r="E126" s="306">
        <v>0.34</v>
      </c>
      <c r="F126" s="310">
        <v>0.40616627838474717</v>
      </c>
      <c r="G126" s="310">
        <v>0.32779911806110856</v>
      </c>
      <c r="H126" s="312">
        <v>405.46483412508888</v>
      </c>
      <c r="I126" s="313">
        <v>1456208344.9209256</v>
      </c>
      <c r="J126" s="313">
        <v>3906180885.0486031</v>
      </c>
      <c r="K126" s="315">
        <v>5337777876.7804203</v>
      </c>
      <c r="L126" s="315">
        <v>63313292.734555714</v>
      </c>
      <c r="M126" s="316">
        <v>354.86371029702843</v>
      </c>
    </row>
    <row r="127" spans="1:13">
      <c r="A127" s="292">
        <v>0.5</v>
      </c>
      <c r="B127" s="310">
        <v>3.0363220726441456</v>
      </c>
      <c r="C127" s="311">
        <v>0.24</v>
      </c>
      <c r="D127" s="311">
        <v>8.8087131153173708</v>
      </c>
      <c r="E127" s="306">
        <v>0.31</v>
      </c>
      <c r="F127" s="310">
        <v>0.37631882650896054</v>
      </c>
      <c r="G127" s="310">
        <v>0.32332040963124214</v>
      </c>
      <c r="H127" s="312">
        <v>319.61717485509803</v>
      </c>
      <c r="I127" s="313">
        <v>362359217.52206236</v>
      </c>
      <c r="J127" s="313">
        <v>988006806.05798388</v>
      </c>
      <c r="K127" s="315">
        <v>4226064069.1209292</v>
      </c>
      <c r="L127" s="315">
        <v>25481782.397363089</v>
      </c>
      <c r="M127" s="316">
        <v>117.08485674451724</v>
      </c>
    </row>
    <row r="128" spans="1:13">
      <c r="A128" s="292">
        <v>0.75</v>
      </c>
      <c r="B128" s="310">
        <v>2.1125222250444504</v>
      </c>
      <c r="C128" s="311">
        <v>0.21</v>
      </c>
      <c r="D128" s="311">
        <v>8.3824243344618559</v>
      </c>
      <c r="E128" s="306">
        <v>0.28000000000000003</v>
      </c>
      <c r="F128" s="310">
        <v>0.38906004871333283</v>
      </c>
      <c r="G128" s="310">
        <v>0.32617688943581796</v>
      </c>
      <c r="H128" s="312">
        <v>139.35911643347461</v>
      </c>
      <c r="I128" s="313">
        <v>55876712.03553623</v>
      </c>
      <c r="J128" s="313">
        <v>242833001.70445472</v>
      </c>
      <c r="K128" s="315">
        <v>1782574562.629951</v>
      </c>
      <c r="L128" s="315">
        <v>5108455.3661101973</v>
      </c>
      <c r="M128" s="316">
        <v>25.985344618591107</v>
      </c>
    </row>
    <row r="129" spans="1:13">
      <c r="A129" s="317">
        <v>1</v>
      </c>
      <c r="B129" s="318">
        <v>1.2811785623571248</v>
      </c>
      <c r="C129" s="319">
        <v>0.16</v>
      </c>
      <c r="D129" s="319">
        <v>0</v>
      </c>
      <c r="E129" s="318">
        <v>0.25</v>
      </c>
      <c r="F129" s="318">
        <v>0.49249999999999999</v>
      </c>
      <c r="G129" s="318">
        <v>0.35780000000000001</v>
      </c>
      <c r="H129" s="320">
        <v>16.681593270259139</v>
      </c>
      <c r="I129" s="321">
        <v>691951.30059363274</v>
      </c>
      <c r="J129" s="321">
        <v>23689722.908686247</v>
      </c>
      <c r="K129" s="322">
        <v>175855044.44087556</v>
      </c>
      <c r="L129" s="322">
        <v>543766.85724921024</v>
      </c>
      <c r="M129" s="323">
        <v>2.3638269206409808</v>
      </c>
    </row>
    <row r="131" spans="1:13" ht="13">
      <c r="B131" s="18" t="s">
        <v>350</v>
      </c>
      <c r="C131" s="199"/>
      <c r="D131" t="s">
        <v>351</v>
      </c>
      <c r="H131" t="s">
        <v>406</v>
      </c>
    </row>
    <row r="133" spans="1:13">
      <c r="A133" t="s">
        <v>369</v>
      </c>
    </row>
    <row r="134" spans="1:13" ht="10.5">
      <c r="A134" s="184"/>
      <c r="B134" s="230" t="s">
        <v>364</v>
      </c>
      <c r="C134" s="352" t="s">
        <v>407</v>
      </c>
      <c r="D134" s="189"/>
      <c r="F134" s="102"/>
    </row>
    <row r="135" spans="1:13" ht="11.5">
      <c r="A135" s="192" t="s">
        <v>87</v>
      </c>
      <c r="B135" s="233" t="s">
        <v>367</v>
      </c>
      <c r="C135" s="225"/>
      <c r="D135" s="226"/>
      <c r="F135" s="102"/>
    </row>
    <row r="136" spans="1:13">
      <c r="A136" s="236">
        <f t="shared" ref="A136:A141" si="0">A124</f>
        <v>0.05</v>
      </c>
      <c r="B136" s="256">
        <v>10.5</v>
      </c>
      <c r="C136" s="324"/>
      <c r="D136" s="342">
        <v>1</v>
      </c>
      <c r="F136" s="102"/>
    </row>
    <row r="137" spans="1:13">
      <c r="A137" s="241">
        <f t="shared" si="0"/>
        <v>7.0000000000000007E-2</v>
      </c>
      <c r="B137" s="257">
        <v>10.5</v>
      </c>
      <c r="C137" s="325"/>
      <c r="D137" s="344">
        <v>1</v>
      </c>
      <c r="F137" s="102"/>
    </row>
    <row r="138" spans="1:13">
      <c r="A138" s="241">
        <f t="shared" si="0"/>
        <v>0.25</v>
      </c>
      <c r="B138" s="327">
        <v>10.5</v>
      </c>
      <c r="C138" s="353"/>
      <c r="D138" s="344">
        <v>2</v>
      </c>
      <c r="F138" s="102"/>
    </row>
    <row r="139" spans="1:13">
      <c r="A139" s="241">
        <f t="shared" si="0"/>
        <v>0.5</v>
      </c>
      <c r="B139" s="327">
        <v>2.5</v>
      </c>
      <c r="C139" s="325"/>
      <c r="D139" s="344">
        <v>2.5</v>
      </c>
      <c r="F139" s="102"/>
    </row>
    <row r="140" spans="1:13">
      <c r="A140" s="241">
        <f t="shared" si="0"/>
        <v>0.75</v>
      </c>
      <c r="B140" s="327">
        <v>0</v>
      </c>
      <c r="C140" s="325"/>
      <c r="D140" s="344">
        <v>3</v>
      </c>
    </row>
    <row r="141" spans="1:13">
      <c r="A141" s="247">
        <f t="shared" si="0"/>
        <v>1</v>
      </c>
      <c r="B141" s="328">
        <v>-0.6</v>
      </c>
      <c r="C141" s="326"/>
      <c r="D141" s="354">
        <v>4</v>
      </c>
    </row>
    <row r="143" spans="1:13" ht="11.5">
      <c r="A143" s="337" t="s">
        <v>399</v>
      </c>
      <c r="B143" s="338" t="s">
        <v>400</v>
      </c>
      <c r="C143" s="339"/>
    </row>
    <row r="144" spans="1:13">
      <c r="A144" s="340">
        <v>1</v>
      </c>
      <c r="B144" s="341"/>
      <c r="C144" s="342" t="s">
        <v>510</v>
      </c>
      <c r="E144" s="347" t="s">
        <v>511</v>
      </c>
      <c r="F144" s="348"/>
    </row>
    <row r="145" spans="1:7">
      <c r="A145" s="340">
        <v>2</v>
      </c>
      <c r="B145" s="343"/>
      <c r="C145" s="344" t="s">
        <v>408</v>
      </c>
      <c r="E145" s="347" t="s">
        <v>409</v>
      </c>
      <c r="F145" s="348"/>
      <c r="G145" s="348"/>
    </row>
    <row r="146" spans="1:7">
      <c r="A146" s="340">
        <v>3</v>
      </c>
      <c r="B146" s="343"/>
      <c r="C146" s="344" t="s">
        <v>410</v>
      </c>
      <c r="E146" s="347" t="s">
        <v>409</v>
      </c>
      <c r="F146" s="348"/>
      <c r="G146" s="348"/>
    </row>
    <row r="147" spans="1:7">
      <c r="A147" s="345">
        <v>4</v>
      </c>
      <c r="B147" s="355"/>
      <c r="C147" s="354" t="s">
        <v>411</v>
      </c>
      <c r="E147" s="347" t="s">
        <v>409</v>
      </c>
      <c r="F147" s="348"/>
      <c r="G147" s="348"/>
    </row>
    <row r="148" spans="1:7" ht="10.5" thickBot="1"/>
    <row r="149" spans="1:7" ht="10.5" thickBot="1">
      <c r="A149" s="389" t="s">
        <v>401</v>
      </c>
      <c r="B149" s="391"/>
      <c r="C149" s="392"/>
      <c r="E149" s="347" t="s">
        <v>402</v>
      </c>
      <c r="F149" s="348"/>
    </row>
    <row r="150" spans="1:7" ht="10.5" thickBot="1">
      <c r="A150" s="356" t="s">
        <v>35</v>
      </c>
      <c r="B150" s="357" t="s">
        <v>36</v>
      </c>
      <c r="C150" s="357" t="s">
        <v>37</v>
      </c>
      <c r="E150" s="347" t="s">
        <v>402</v>
      </c>
      <c r="F150" s="348"/>
    </row>
    <row r="151" spans="1:7" ht="11" thickBot="1">
      <c r="A151" s="358">
        <v>3.882E-2</v>
      </c>
      <c r="B151" s="359">
        <v>3.882E-2</v>
      </c>
      <c r="C151" s="360">
        <v>5.8999999999999997E-2</v>
      </c>
      <c r="E151" s="347" t="s">
        <v>402</v>
      </c>
      <c r="F151" s="348"/>
    </row>
    <row r="152" spans="1:7" ht="10.5" thickBot="1"/>
    <row r="153" spans="1:7" ht="10.5" thickBot="1">
      <c r="A153" s="389" t="s">
        <v>412</v>
      </c>
      <c r="B153" s="390"/>
      <c r="C153" s="361"/>
      <c r="E153" s="347" t="s">
        <v>402</v>
      </c>
      <c r="F153" s="348"/>
    </row>
    <row r="154" spans="1:7" ht="10.5">
      <c r="A154" s="362" t="s">
        <v>50</v>
      </c>
      <c r="B154" s="363">
        <v>3.4349999999999999E-2</v>
      </c>
      <c r="C154" s="364"/>
      <c r="E154" s="347" t="s">
        <v>402</v>
      </c>
      <c r="F154" s="348"/>
    </row>
    <row r="155" spans="1:7" ht="10.5">
      <c r="A155" s="365" t="s">
        <v>51</v>
      </c>
      <c r="B155" s="366">
        <v>3.4349999999999999E-2</v>
      </c>
      <c r="C155" s="367"/>
      <c r="E155" s="347" t="s">
        <v>402</v>
      </c>
      <c r="F155" s="348"/>
    </row>
    <row r="156" spans="1:7" ht="10.5">
      <c r="A156" s="368" t="s">
        <v>52</v>
      </c>
      <c r="B156" s="366">
        <v>3.4349999999999999E-2</v>
      </c>
      <c r="E156" s="347" t="s">
        <v>402</v>
      </c>
      <c r="F156" s="348"/>
    </row>
    <row r="157" spans="1:7" ht="11" thickBot="1">
      <c r="A157" s="369" t="s">
        <v>53</v>
      </c>
      <c r="B157" s="370">
        <v>3.4349999999999999E-2</v>
      </c>
      <c r="E157" s="347" t="s">
        <v>402</v>
      </c>
      <c r="F157" s="348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opLeftCell="B1" workbookViewId="0">
      <selection activeCell="H7" sqref="H7"/>
    </sheetView>
  </sheetViews>
  <sheetFormatPr defaultRowHeight="10"/>
  <cols>
    <col min="2" max="2" width="12.109375" customWidth="1"/>
    <col min="5" max="5" width="12.7773437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Page'!B46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Page'!B49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Page'!B47</f>
        <v>3.7</v>
      </c>
      <c r="D8" t="s">
        <v>85</v>
      </c>
    </row>
    <row r="9" spans="2:15">
      <c r="B9" t="s">
        <v>99</v>
      </c>
      <c r="C9" s="154">
        <f>'Main Page'!B50</f>
        <v>26.1</v>
      </c>
      <c r="D9" t="s">
        <v>97</v>
      </c>
      <c r="F9" s="331"/>
    </row>
    <row r="10" spans="2:15">
      <c r="B10" t="s">
        <v>100</v>
      </c>
      <c r="C10" s="154">
        <f>'Main Page'!B48</f>
        <v>11.9</v>
      </c>
      <c r="D10" t="s">
        <v>97</v>
      </c>
      <c r="F10" s="331"/>
    </row>
    <row r="11" spans="2:15">
      <c r="B11" t="s">
        <v>386</v>
      </c>
      <c r="C11" s="331">
        <f>'Main Page'!B51</f>
        <v>5</v>
      </c>
      <c r="D11" t="s">
        <v>387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381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0"/>
  <cols>
    <col min="1" max="1" width="16.44140625" customWidth="1"/>
    <col min="2" max="2" width="33.44140625" bestFit="1" customWidth="1"/>
    <col min="3" max="3" width="10.44140625" bestFit="1" customWidth="1"/>
    <col min="4" max="4" width="11.33203125" customWidth="1"/>
    <col min="5" max="5" width="11.4414062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44140625" customWidth="1"/>
    <col min="13" max="14" width="11.33203125" customWidth="1"/>
    <col min="15" max="15" width="11.44140625" customWidth="1"/>
  </cols>
  <sheetData>
    <row r="1" spans="1:25" ht="12.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5">
      <c r="A2" s="112"/>
      <c r="B2" s="113" t="s">
        <v>172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7.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5">
      <c r="A5" s="112"/>
      <c r="B5" s="164" t="s">
        <v>12</v>
      </c>
      <c r="C5" s="131"/>
      <c r="D5" s="131"/>
      <c r="E5" s="132">
        <f>'Main Page'!B56</f>
        <v>4.95</v>
      </c>
      <c r="F5" s="132">
        <f>'Main Page'!B59</f>
        <v>8.295000000000001E-2</v>
      </c>
      <c r="G5" s="131"/>
      <c r="H5" s="135">
        <f>'Main Page'!B60</f>
        <v>7850</v>
      </c>
      <c r="I5" s="136">
        <f>H5*F5*PI()*E5^2</f>
        <v>50124.068828128278</v>
      </c>
      <c r="J5" s="132">
        <f>'Main Page'!B61</f>
        <v>-4.6500000000000004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Page'!B61</f>
        <v>-4.6500000000000004</v>
      </c>
      <c r="K6" s="132">
        <f>'Main Page'!B62</f>
        <v>0</v>
      </c>
      <c r="L6" s="132">
        <f>'Main Page'!B63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5">
      <c r="A7" s="112"/>
      <c r="B7" s="164" t="s">
        <v>138</v>
      </c>
      <c r="C7" s="132">
        <f>'Main Page'!B66</f>
        <v>2.79</v>
      </c>
      <c r="D7" s="132">
        <f>'Main Page'!B68</f>
        <v>0.4</v>
      </c>
      <c r="E7" s="132">
        <f>'Main Page'!B67</f>
        <v>0.8</v>
      </c>
      <c r="F7" s="131"/>
      <c r="G7" s="136"/>
      <c r="H7" s="135">
        <f>'Main Page'!B69</f>
        <v>7850</v>
      </c>
      <c r="I7" s="136">
        <f>0.25*PI()*(E7^2-D7^2)*H7*C7</f>
        <v>8256.6709803116246</v>
      </c>
      <c r="J7" s="132">
        <f>0.5*('Main Page'!B74+'Main Page'!B77)</f>
        <v>-2.0924999999999998</v>
      </c>
      <c r="K7" s="132">
        <f>'Main Page'!B70</f>
        <v>0</v>
      </c>
      <c r="L7" s="132">
        <f>'Main Page'!B71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Page'!B74</f>
        <v>-3.2549999999999999</v>
      </c>
      <c r="K8" s="132">
        <f>'Main Page'!B75</f>
        <v>0</v>
      </c>
      <c r="L8" s="132">
        <f>'Main Page'!B76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Page'!B77</f>
        <v>-0.93</v>
      </c>
      <c r="K9" s="132">
        <f>'Main Page'!B78</f>
        <v>0</v>
      </c>
      <c r="L9" s="132">
        <f>'Main Page'!B79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Page'!B82/2</f>
        <v>11750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Page'!B92+471)/3</f>
        <v>3457</v>
      </c>
      <c r="J11" s="132">
        <f>'Main Page'!B93</f>
        <v>1.163</v>
      </c>
      <c r="K11" s="132">
        <f>'Main Page'!B94</f>
        <v>0</v>
      </c>
      <c r="L11" s="132">
        <f>'Main Page'!B95</f>
        <v>0</v>
      </c>
      <c r="M11" s="160">
        <f>0.0000486*C1^5.333</f>
        <v>2134807.7072140705</v>
      </c>
      <c r="N11" s="160">
        <f>M11/2/('Main Page'!B88^2)+I11*C11^2/12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Page'!B92/0.10472/C2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5">
      <c r="A19" s="112"/>
      <c r="B19" s="165"/>
      <c r="C19" s="112"/>
      <c r="D19" s="406" t="s">
        <v>240</v>
      </c>
      <c r="E19" s="406"/>
      <c r="F19" s="406"/>
      <c r="G19" s="406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7.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5">
      <c r="A21" s="112"/>
      <c r="B21" s="164" t="s">
        <v>163</v>
      </c>
      <c r="C21" s="132">
        <f>'Main Page'!B98</f>
        <v>3.2549999999999999</v>
      </c>
      <c r="D21" s="132">
        <f>'Main Page'!B99</f>
        <v>3.1392000000000002</v>
      </c>
      <c r="E21" s="132">
        <f>'Main Page'!B100</f>
        <v>1.732</v>
      </c>
      <c r="F21" s="132">
        <f>'Main Page'!B101</f>
        <v>0.3024</v>
      </c>
      <c r="G21" s="132">
        <f>'Main Page'!B102</f>
        <v>0.27400000000000002</v>
      </c>
      <c r="H21" s="136">
        <f>'Main Page'!B103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Page'!B104</f>
        <v>0</v>
      </c>
      <c r="K21" s="132">
        <f>'Main Page'!B105</f>
        <v>0</v>
      </c>
      <c r="L21" s="132">
        <f>'Main Page'!B106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Page'!B82/2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Page'!B92+471)/3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Page'!B92+0.002168*C1^3.4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5">
      <c r="B34" s="165"/>
    </row>
    <row r="35" spans="1:25" s="112" customFormat="1" ht="12.5">
      <c r="B35" s="164" t="s">
        <v>217</v>
      </c>
    </row>
    <row r="36" spans="1:25" s="112" customFormat="1" ht="12.5">
      <c r="B36" s="164" t="s">
        <v>218</v>
      </c>
      <c r="C36" s="151" t="s">
        <v>219</v>
      </c>
    </row>
    <row r="37" spans="1:25" s="112" customFormat="1" ht="12.5">
      <c r="B37" s="164" t="s">
        <v>220</v>
      </c>
      <c r="C37" s="112" t="s">
        <v>221</v>
      </c>
    </row>
    <row r="38" spans="1:25" s="112" customFormat="1" ht="12.5">
      <c r="B38" s="165"/>
    </row>
    <row r="39" spans="1:25" s="112" customFormat="1" ht="12.5">
      <c r="B39" s="164" t="s">
        <v>227</v>
      </c>
      <c r="C39" s="112" t="s">
        <v>228</v>
      </c>
    </row>
    <row r="40" spans="1:25" s="112" customFormat="1" ht="12.5">
      <c r="B40" s="164" t="s">
        <v>224</v>
      </c>
      <c r="C40" s="112" t="s">
        <v>225</v>
      </c>
    </row>
    <row r="41" spans="1:25" s="112" customFormat="1" ht="12.5">
      <c r="B41" s="164" t="s">
        <v>226</v>
      </c>
      <c r="C41" s="112" t="s">
        <v>229</v>
      </c>
    </row>
    <row r="42" spans="1:25" s="112" customFormat="1" ht="12.5">
      <c r="B42" s="166"/>
    </row>
    <row r="43" spans="1:25" s="112" customFormat="1" ht="12.5">
      <c r="B43" s="164" t="s">
        <v>230</v>
      </c>
      <c r="C43" s="112" t="s">
        <v>231</v>
      </c>
    </row>
    <row r="44" spans="1:25" s="112" customFormat="1" ht="12.5">
      <c r="B44" s="164" t="s">
        <v>232</v>
      </c>
      <c r="C44" s="112" t="s">
        <v>233</v>
      </c>
    </row>
    <row r="45" spans="1:25" s="112" customFormat="1" ht="12.5">
      <c r="B45" s="164" t="s">
        <v>276</v>
      </c>
      <c r="C45" s="112" t="s">
        <v>277</v>
      </c>
    </row>
    <row r="46" spans="1:25" s="112" customFormat="1" ht="12.5">
      <c r="B46" s="166"/>
    </row>
    <row r="47" spans="1:25" s="112" customFormat="1" ht="12.5">
      <c r="B47" s="164" t="s">
        <v>235</v>
      </c>
      <c r="C47" s="114" t="s">
        <v>236</v>
      </c>
    </row>
    <row r="48" spans="1:25" s="112" customFormat="1" ht="12.5">
      <c r="B48" s="164" t="s">
        <v>234</v>
      </c>
      <c r="C48" s="112" t="s">
        <v>237</v>
      </c>
    </row>
    <row r="49" spans="2:3" s="112" customFormat="1" ht="12.5">
      <c r="B49" s="164" t="s">
        <v>278</v>
      </c>
      <c r="C49" s="112" t="s">
        <v>279</v>
      </c>
    </row>
    <row r="50" spans="2:3" s="112" customFormat="1" ht="12.5">
      <c r="B50" s="164"/>
    </row>
    <row r="51" spans="2:3" s="112" customFormat="1" ht="12.5">
      <c r="B51" s="164"/>
    </row>
    <row r="52" spans="2:3" s="112" customFormat="1" ht="12.5">
      <c r="B52" s="164" t="s">
        <v>238</v>
      </c>
      <c r="C52" s="112" t="s">
        <v>242</v>
      </c>
    </row>
    <row r="53" spans="2:3" s="112" customFormat="1" ht="12.5">
      <c r="B53" s="164" t="s">
        <v>239</v>
      </c>
      <c r="C53" s="112" t="s">
        <v>243</v>
      </c>
    </row>
    <row r="54" spans="2:3" s="112" customFormat="1" ht="12.5">
      <c r="B54" s="164" t="s">
        <v>244</v>
      </c>
      <c r="C54" s="112" t="s">
        <v>245</v>
      </c>
    </row>
    <row r="55" spans="2:3" s="112" customFormat="1" ht="12.5">
      <c r="B55" s="164" t="s">
        <v>246</v>
      </c>
      <c r="C55" s="112" t="s">
        <v>247</v>
      </c>
    </row>
    <row r="56" spans="2:3" s="112" customFormat="1" ht="12.5">
      <c r="B56" s="164"/>
    </row>
    <row r="57" spans="2:3" s="112" customFormat="1" ht="12.5">
      <c r="B57" s="164" t="s">
        <v>253</v>
      </c>
      <c r="C57" s="112" t="s">
        <v>254</v>
      </c>
    </row>
    <row r="58" spans="2:3" s="112" customFormat="1" ht="12.5">
      <c r="B58" s="164" t="s">
        <v>248</v>
      </c>
      <c r="C58" s="112" t="s">
        <v>249</v>
      </c>
    </row>
    <row r="59" spans="2:3" s="112" customFormat="1" ht="12.5">
      <c r="B59" s="164" t="s">
        <v>250</v>
      </c>
      <c r="C59" s="112" t="s">
        <v>252</v>
      </c>
    </row>
    <row r="60" spans="2:3" s="112" customFormat="1" ht="12.5">
      <c r="B60" s="164" t="s">
        <v>251</v>
      </c>
      <c r="C60" s="112" t="s">
        <v>255</v>
      </c>
    </row>
    <row r="61" spans="2:3" s="112" customFormat="1" ht="12.5">
      <c r="B61" s="164"/>
    </row>
    <row r="62" spans="2:3" s="112" customFormat="1" ht="12.5">
      <c r="B62" s="164" t="s">
        <v>257</v>
      </c>
      <c r="C62" s="112" t="s">
        <v>262</v>
      </c>
    </row>
    <row r="63" spans="2:3" s="112" customFormat="1" ht="12.5">
      <c r="B63" s="164" t="s">
        <v>258</v>
      </c>
      <c r="C63" s="112" t="s">
        <v>263</v>
      </c>
    </row>
    <row r="64" spans="2:3" s="112" customFormat="1" ht="12.5">
      <c r="B64" s="164" t="s">
        <v>259</v>
      </c>
      <c r="C64" s="112" t="s">
        <v>264</v>
      </c>
    </row>
    <row r="65" spans="2:3" s="112" customFormat="1" ht="12.5">
      <c r="B65" s="164" t="s">
        <v>260</v>
      </c>
      <c r="C65" s="112" t="s">
        <v>265</v>
      </c>
    </row>
    <row r="66" spans="2:3" s="112" customFormat="1" ht="12.5">
      <c r="B66" s="164" t="s">
        <v>261</v>
      </c>
      <c r="C66" s="112" t="s">
        <v>266</v>
      </c>
    </row>
    <row r="67" spans="2:3" s="112" customFormat="1" ht="12.5">
      <c r="B67" s="164"/>
    </row>
    <row r="68" spans="2:3" s="112" customFormat="1" ht="12.5">
      <c r="B68" s="164" t="s">
        <v>267</v>
      </c>
      <c r="C68" s="112" t="s">
        <v>268</v>
      </c>
    </row>
    <row r="69" spans="2:3" s="112" customFormat="1" ht="12.5">
      <c r="B69" s="164" t="s">
        <v>269</v>
      </c>
      <c r="C69" s="112" t="s">
        <v>270</v>
      </c>
    </row>
    <row r="70" spans="2:3" s="112" customFormat="1" ht="12.5">
      <c r="B70" s="164"/>
    </row>
    <row r="71" spans="2:3" s="112" customFormat="1" ht="12.5">
      <c r="B71" s="164" t="s">
        <v>273</v>
      </c>
      <c r="C71" s="112" t="s">
        <v>274</v>
      </c>
    </row>
    <row r="72" spans="2:3" s="112" customFormat="1" ht="12.5">
      <c r="B72" s="164" t="s">
        <v>271</v>
      </c>
      <c r="C72" s="112" t="s">
        <v>272</v>
      </c>
    </row>
    <row r="73" spans="2:3" s="112" customFormat="1" ht="12.5">
      <c r="B73" s="164" t="s">
        <v>275</v>
      </c>
      <c r="C73" s="112" t="s">
        <v>280</v>
      </c>
    </row>
    <row r="74" spans="2:3" s="112" customFormat="1" ht="12.5">
      <c r="B74" s="164"/>
    </row>
    <row r="75" spans="2:3" s="112" customFormat="1" ht="12.5">
      <c r="B75" s="164" t="s">
        <v>282</v>
      </c>
      <c r="C75" s="112" t="s">
        <v>242</v>
      </c>
    </row>
    <row r="76" spans="2:3" s="112" customFormat="1" ht="12.5">
      <c r="B76" s="164" t="s">
        <v>281</v>
      </c>
      <c r="C76" s="112" t="s">
        <v>241</v>
      </c>
    </row>
    <row r="77" spans="2:3" s="112" customFormat="1" ht="12.5">
      <c r="B77" s="164" t="s">
        <v>283</v>
      </c>
      <c r="C77" s="112" t="s">
        <v>284</v>
      </c>
    </row>
    <row r="78" spans="2:3" s="112" customFormat="1" ht="12.5">
      <c r="B78" s="164" t="s">
        <v>285</v>
      </c>
      <c r="C78" s="112" t="s">
        <v>245</v>
      </c>
    </row>
    <row r="79" spans="2:3" s="112" customFormat="1" ht="12.5">
      <c r="B79" s="164" t="s">
        <v>286</v>
      </c>
      <c r="C79" s="112" t="s">
        <v>287</v>
      </c>
    </row>
    <row r="80" spans="2:3" s="112" customFormat="1" ht="12.5">
      <c r="B80" s="164"/>
    </row>
    <row r="81" spans="2:3" s="112" customFormat="1" ht="12.5">
      <c r="B81" s="164" t="s">
        <v>288</v>
      </c>
      <c r="C81" s="112" t="s">
        <v>254</v>
      </c>
    </row>
    <row r="82" spans="2:3" s="112" customFormat="1" ht="12.5">
      <c r="B82" s="164" t="s">
        <v>289</v>
      </c>
      <c r="C82" s="112" t="s">
        <v>241</v>
      </c>
    </row>
    <row r="83" spans="2:3" s="112" customFormat="1" ht="12.5">
      <c r="B83" s="164" t="s">
        <v>290</v>
      </c>
      <c r="C83" s="112" t="s">
        <v>293</v>
      </c>
    </row>
    <row r="84" spans="2:3" s="112" customFormat="1" ht="12.5">
      <c r="B84" s="164" t="s">
        <v>291</v>
      </c>
      <c r="C84" s="112" t="s">
        <v>294</v>
      </c>
    </row>
    <row r="85" spans="2:3" s="112" customFormat="1" ht="12.5">
      <c r="B85" s="164" t="s">
        <v>292</v>
      </c>
      <c r="C85" s="112" t="s">
        <v>287</v>
      </c>
    </row>
    <row r="86" spans="2:3" s="112" customFormat="1" ht="12.5">
      <c r="B86" s="164"/>
    </row>
    <row r="87" spans="2:3" s="112" customFormat="1" ht="12.5">
      <c r="B87" s="164" t="s">
        <v>295</v>
      </c>
      <c r="C87" s="112" t="s">
        <v>296</v>
      </c>
    </row>
    <row r="88" spans="2:3" s="112" customFormat="1" ht="12.5">
      <c r="B88" s="164" t="s">
        <v>297</v>
      </c>
      <c r="C88" s="112" t="s">
        <v>299</v>
      </c>
    </row>
    <row r="89" spans="2:3" s="112" customFormat="1" ht="12.5">
      <c r="B89" s="164" t="s">
        <v>298</v>
      </c>
      <c r="C89" s="112" t="s">
        <v>300</v>
      </c>
    </row>
    <row r="90" spans="2:3" s="112" customFormat="1" ht="12.5">
      <c r="B90" s="164" t="s">
        <v>301</v>
      </c>
      <c r="C90" s="112" t="s">
        <v>302</v>
      </c>
    </row>
    <row r="91" spans="2:3" s="112" customFormat="1" ht="12.5">
      <c r="B91" s="164" t="s">
        <v>303</v>
      </c>
      <c r="C91" s="112" t="s">
        <v>287</v>
      </c>
    </row>
    <row r="92" spans="2:3" s="112" customFormat="1" ht="12.5"/>
    <row r="93" spans="2:3" s="112" customFormat="1" ht="12.5">
      <c r="B93" s="164" t="s">
        <v>200</v>
      </c>
      <c r="C93" s="112" t="s">
        <v>305</v>
      </c>
    </row>
    <row r="94" spans="2:3" s="112" customFormat="1" ht="12.5">
      <c r="B94" s="164" t="s">
        <v>201</v>
      </c>
      <c r="C94" s="112" t="s">
        <v>304</v>
      </c>
    </row>
    <row r="95" spans="2:3" s="112" customFormat="1" ht="12.5">
      <c r="B95" s="165"/>
    </row>
    <row r="96" spans="2:3" ht="12.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B3" sqref="B3:H22"/>
    </sheetView>
  </sheetViews>
  <sheetFormatPr defaultRowHeight="10"/>
  <cols>
    <col min="2" max="7" width="15.77734375" customWidth="1"/>
  </cols>
  <sheetData>
    <row r="1" spans="1:8">
      <c r="A1" t="s">
        <v>438</v>
      </c>
      <c r="B1" t="s">
        <v>439</v>
      </c>
      <c r="C1" t="s">
        <v>440</v>
      </c>
    </row>
    <row r="3" spans="1:8">
      <c r="A3" t="s">
        <v>102</v>
      </c>
      <c r="B3" t="s">
        <v>441</v>
      </c>
      <c r="C3" s="18">
        <f>'Main Page'!B17</f>
        <v>1.2250000000000001</v>
      </c>
    </row>
    <row r="4" spans="1:8">
      <c r="A4" t="s">
        <v>442</v>
      </c>
      <c r="B4" t="s">
        <v>443</v>
      </c>
      <c r="C4">
        <v>5.0000000000000001E-3</v>
      </c>
    </row>
    <row r="5" spans="1:8">
      <c r="A5" t="s">
        <v>444</v>
      </c>
      <c r="B5" t="s">
        <v>445</v>
      </c>
      <c r="C5" s="18" t="str">
        <f>'Main Page'!C144</f>
        <v>cylinder.dat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8">
      <c r="A6" t="s">
        <v>444</v>
      </c>
      <c r="B6" t="s">
        <v>446</v>
      </c>
      <c r="C6" s="18">
        <v>15</v>
      </c>
      <c r="D6" s="18"/>
      <c r="E6" s="18"/>
      <c r="F6" s="18"/>
    </row>
    <row r="7" spans="1:8">
      <c r="B7" t="s">
        <v>447</v>
      </c>
      <c r="C7" t="s">
        <v>448</v>
      </c>
      <c r="D7" t="s">
        <v>449</v>
      </c>
      <c r="E7" t="s">
        <v>450</v>
      </c>
      <c r="F7" t="s">
        <v>88</v>
      </c>
      <c r="G7" t="s">
        <v>451</v>
      </c>
      <c r="H7" t="s">
        <v>508</v>
      </c>
    </row>
    <row r="8" spans="1:8">
      <c r="C8" s="379">
        <f>C37*('Main Page'!B$13/2-'Main Page'!B$56/2) + 'Main Page'!B$56/2</f>
        <v>4.0425000000000004</v>
      </c>
      <c r="D8" s="380">
        <f>(F39-F38)/($D39-$D38)*($C8-$D39)+F38</f>
        <v>11.1</v>
      </c>
      <c r="E8">
        <f>(1/$C$6)*('Main Page'!B$13/2-'Main Page'!B$56/2)</f>
        <v>3.1349999999999998</v>
      </c>
      <c r="F8" s="380">
        <f>(E$39-E$38)/(D$39-D$38)*(C8-D$38)+E$38</f>
        <v>2.7564053283662129</v>
      </c>
      <c r="G8">
        <f>ROUND((G$39-G$38)/(D$39-D$38)*(C8-D$38)+G$38,0)</f>
        <v>1</v>
      </c>
      <c r="H8" t="s">
        <v>509</v>
      </c>
    </row>
    <row r="9" spans="1:8">
      <c r="C9" s="379">
        <f>C38*('Main Page'!B$13/2-'Main Page'!B$56/2) + 'Main Page'!B$56/2</f>
        <v>7.1775000000000002</v>
      </c>
      <c r="D9" s="380">
        <f>(F39-F38)/($D39-$D38)*($C9-$D39)+F38</f>
        <v>11.1</v>
      </c>
      <c r="E9">
        <f>(1/$C$6)*('Main Page'!B$13/2-'Main Page'!B$56/2)</f>
        <v>3.1349999999999998</v>
      </c>
      <c r="F9" s="380">
        <f t="shared" ref="F9" si="0">(E$39-E$38)/(D$39-D$38)*(C9-D$38)+E$38</f>
        <v>3.2092887985775977</v>
      </c>
      <c r="G9">
        <f>ROUNDUP((G$39-G$38)/(D$39-D$38)*(C9-D$38)+G$38,0)</f>
        <v>2</v>
      </c>
      <c r="H9" t="s">
        <v>509</v>
      </c>
    </row>
    <row r="10" spans="1:8">
      <c r="C10" s="379">
        <f>C39*('Main Page'!B$13/2-'Main Page'!B$56/2) + 'Main Page'!B$56/2</f>
        <v>10.3125</v>
      </c>
      <c r="D10" s="380">
        <f>(F39-F38)/($D39-$D38)*($C10-$D39)+F38</f>
        <v>11.1</v>
      </c>
      <c r="E10">
        <f>(1/$C$6)*('Main Page'!B$13/2-'Main Page'!B$56/2)</f>
        <v>3.1349999999999998</v>
      </c>
      <c r="F10" s="380">
        <f>(E$39-E$38)/(D$39-D$38)*(C10-D$38)+E$38</f>
        <v>3.6621722687889822</v>
      </c>
      <c r="G10">
        <f>ROUND((G$39-G$38)/(D$39-D$38)*(C10-D$38)+G$38,0)</f>
        <v>2</v>
      </c>
      <c r="H10" t="s">
        <v>509</v>
      </c>
    </row>
    <row r="11" spans="1:8">
      <c r="C11" s="379">
        <f>C40*('Main Page'!B$13/2-'Main Page'!B$56/2) + 'Main Page'!B$56/2</f>
        <v>13.4475</v>
      </c>
      <c r="D11" s="380">
        <f>(F40-F39)/($D40-$D39)*($C11-$D39)+F39</f>
        <v>10.406666666666666</v>
      </c>
      <c r="E11">
        <f>(1/$C$6)*('Main Page'!B$13/2-'Main Page'!B$56/2)</f>
        <v>3.1349999999999998</v>
      </c>
      <c r="F11" s="380">
        <f>(E$40-E$39)/(D$40-D$39)*(C11-D$39)+E$39</f>
        <v>3.8800592667852003</v>
      </c>
      <c r="G11">
        <f>ROUND((G$40-G$39)/(D$40-D$39)*(C11-D$39)+G$39,0)</f>
        <v>2</v>
      </c>
      <c r="H11" t="s">
        <v>509</v>
      </c>
    </row>
    <row r="12" spans="1:8">
      <c r="C12" s="379">
        <f>C41*('Main Page'!B$13/2-'Main Page'!B$56/2) + 'Main Page'!B$56/2</f>
        <v>16.5825</v>
      </c>
      <c r="D12" s="380">
        <f>(F40-F39)/($D40-$D39)*($C12-$D39)+F39</f>
        <v>8.379999999999999</v>
      </c>
      <c r="E12">
        <f>(1/$C$6)*('Main Page'!B$13/2-'Main Page'!B$56/2)</f>
        <v>3.1349999999999998</v>
      </c>
      <c r="F12" s="380">
        <f t="shared" ref="F12:F13" si="1">(E$40-E$39)/(D$40-D$39)*(C12-D$39)+E$39</f>
        <v>3.6460299720599445</v>
      </c>
      <c r="G12">
        <f t="shared" ref="G12:G14" si="2">ROUND((G$40-G$39)/(D$40-D$39)*(C12-D$39)+G$39,0)</f>
        <v>2</v>
      </c>
      <c r="H12" t="s">
        <v>509</v>
      </c>
    </row>
    <row r="13" spans="1:8">
      <c r="C13" s="379">
        <f>C42*('Main Page'!B$13/2-'Main Page'!B$56/2) + 'Main Page'!B$56/2</f>
        <v>19.717500000000001</v>
      </c>
      <c r="D13" s="380">
        <f>(F40-F39)/($D40-$D39)*($C13-$D39)+F39</f>
        <v>6.3533333333333317</v>
      </c>
      <c r="E13">
        <f>(1/$C$6)*('Main Page'!B$13/2-'Main Page'!B$56/2)</f>
        <v>3.1349999999999998</v>
      </c>
      <c r="F13" s="380">
        <f t="shared" si="1"/>
        <v>3.4120006773346883</v>
      </c>
      <c r="G13">
        <f t="shared" si="2"/>
        <v>2</v>
      </c>
      <c r="H13" t="s">
        <v>509</v>
      </c>
    </row>
    <row r="14" spans="1:8">
      <c r="C14" s="379">
        <f>C43*('Main Page'!B$13/2-'Main Page'!B$56/2) + 'Main Page'!B$56/2</f>
        <v>22.852500000000003</v>
      </c>
      <c r="D14" s="380">
        <f>(F40-F39)/($D40-$D39)*($C14-$D39)+F39</f>
        <v>4.3266666666666636</v>
      </c>
      <c r="E14">
        <f>(1/$C$6)*('Main Page'!B$13/2-'Main Page'!B$56/2)</f>
        <v>3.1349999999999998</v>
      </c>
      <c r="F14" s="380">
        <f>(E$40-E$39)/(D$40-D$39)*(C14-D$39)+E$39</f>
        <v>3.177971382609432</v>
      </c>
      <c r="G14">
        <f t="shared" si="2"/>
        <v>2</v>
      </c>
      <c r="H14" t="s">
        <v>509</v>
      </c>
    </row>
    <row r="15" spans="1:8">
      <c r="C15" s="379">
        <f>C44*('Main Page'!B$13/2-'Main Page'!B$56/2) + 'Main Page'!B$56/2</f>
        <v>25.987500000000001</v>
      </c>
      <c r="D15" s="380">
        <f>(F41-F40)/($D41-$D40)*($C15-$D40)+F40</f>
        <v>2.85</v>
      </c>
      <c r="E15">
        <f>(1/$C$6)*('Main Page'!B$13/2-'Main Page'!B$56/2)</f>
        <v>3.1349999999999998</v>
      </c>
      <c r="F15" s="380">
        <f>(E$41-E$40)/(D$41-D$40)*(C15-D$40)+E$40</f>
        <v>2.9439420878841762</v>
      </c>
      <c r="G15">
        <f>ROUND((G$41-G$40)/(D$41-D$40)*(C15-D$40)+G$40,0)</f>
        <v>3</v>
      </c>
      <c r="H15" t="s">
        <v>509</v>
      </c>
    </row>
    <row r="16" spans="1:8">
      <c r="C16" s="379">
        <f>C45*('Main Page'!B$13/2-'Main Page'!B$56/2) + 'Main Page'!B$56/2</f>
        <v>29.122499999999999</v>
      </c>
      <c r="D16" s="380">
        <f>(F41-F40)/($D41-$D40)*($C16-$D40)+F40</f>
        <v>2.2166666666666668</v>
      </c>
      <c r="E16">
        <f>(1/$C$6)*('Main Page'!B$13/2-'Main Page'!B$56/2)</f>
        <v>3.1349999999999998</v>
      </c>
      <c r="F16" s="380">
        <f t="shared" ref="F16:F18" si="3">(E$41-E$40)/(D$41-D$40)*(C16-D$40)+E$40</f>
        <v>2.70991279315892</v>
      </c>
      <c r="G16">
        <f t="shared" ref="G16:G18" si="4">ROUND((G$41-G$40)/(D$41-D$40)*(C16-D$40)+G$40,0)</f>
        <v>3</v>
      </c>
      <c r="H16" t="s">
        <v>509</v>
      </c>
    </row>
    <row r="17" spans="3:8">
      <c r="C17" s="379">
        <f>C46*('Main Page'!B$13/2-'Main Page'!B$56/2) + 'Main Page'!B$56/2</f>
        <v>32.2575</v>
      </c>
      <c r="D17" s="380">
        <f>(F41-F40)/($D41-$D40)*($C17-$D40)+F40</f>
        <v>1.5833333333333335</v>
      </c>
      <c r="E17">
        <f>(1/$C$6)*('Main Page'!B$13/2-'Main Page'!B$56/2)</f>
        <v>3.1349999999999998</v>
      </c>
      <c r="F17" s="380">
        <f t="shared" si="3"/>
        <v>2.4758834984336637</v>
      </c>
      <c r="G17">
        <f t="shared" si="4"/>
        <v>3</v>
      </c>
      <c r="H17" t="s">
        <v>509</v>
      </c>
    </row>
    <row r="18" spans="3:8">
      <c r="C18" s="379">
        <f>C47*('Main Page'!B$13/2-'Main Page'!B$56/2) + 'Main Page'!B$56/2</f>
        <v>35.392499999999998</v>
      </c>
      <c r="D18" s="380">
        <f>(F41-F40)/($D41-$D40)*($C18-$D40)+F40</f>
        <v>0.95000000000000062</v>
      </c>
      <c r="E18">
        <f>(1/$C$6)*('Main Page'!B$13/2-'Main Page'!B$56/2)</f>
        <v>3.1349999999999998</v>
      </c>
      <c r="F18" s="380">
        <f t="shared" si="3"/>
        <v>2.2418542037084079</v>
      </c>
      <c r="G18">
        <f t="shared" si="4"/>
        <v>3</v>
      </c>
      <c r="H18" t="s">
        <v>509</v>
      </c>
    </row>
    <row r="19" spans="3:8">
      <c r="C19" s="379">
        <f>C48*('Main Page'!B$13/2-'Main Page'!B$56/2) + 'Main Page'!B$56/2</f>
        <v>38.527500000000003</v>
      </c>
      <c r="D19" s="380">
        <f>(F42-F41)/($D42-$D41)*($C19-$D41)+F41</f>
        <v>0.53199999999999981</v>
      </c>
      <c r="E19">
        <f>(1/$C$6)*('Main Page'!B$13/2-'Main Page'!B$56/2)</f>
        <v>3.1349999999999998</v>
      </c>
      <c r="F19" s="380">
        <f>(E$42-E$41)/(D$42-D$41)*(C19-D$41)+E$41</f>
        <v>2.0183032766065532</v>
      </c>
      <c r="G19">
        <f>ROUND((G$42-G$41)/(D$42-D$41)*(C19-D$41)+G$41,0)</f>
        <v>3</v>
      </c>
      <c r="H19" t="s">
        <v>509</v>
      </c>
    </row>
    <row r="20" spans="3:8">
      <c r="C20" s="379">
        <f>C49*('Main Page'!B$13/2-'Main Page'!B$56/2) + 'Main Page'!B$56/2</f>
        <v>41.662500000000001</v>
      </c>
      <c r="D20" s="380">
        <f>(F42-F41)/($D42-$D41)*($C20-$D41)+F41</f>
        <v>0.37999999999999989</v>
      </c>
      <c r="E20">
        <f>(1/$C$6)*('Main Page'!B$13/2-'Main Page'!B$56/2)</f>
        <v>3.1349999999999998</v>
      </c>
      <c r="F20" s="380">
        <f t="shared" ref="F20:F22" si="5">(E$42-E$41)/(D$42-D$41)*(C20-D$41)+E$41</f>
        <v>1.807696215392431</v>
      </c>
      <c r="G20">
        <f t="shared" ref="G20:G22" si="6">ROUND((G$42-G$41)/(D$42-D$41)*(C20-D$41)+G$41,0)</f>
        <v>3</v>
      </c>
      <c r="H20" t="s">
        <v>509</v>
      </c>
    </row>
    <row r="21" spans="3:8">
      <c r="C21" s="379">
        <f>C50*('Main Page'!B$13/2-'Main Page'!B$56/2) + 'Main Page'!B$56/2</f>
        <v>44.797499999999999</v>
      </c>
      <c r="D21" s="380">
        <f>(F42-F41)/($D42-$D41)*($C21-$D41)+F41</f>
        <v>0.22799999999999998</v>
      </c>
      <c r="E21">
        <f>(1/$C$6)*('Main Page'!B$13/2-'Main Page'!B$56/2)</f>
        <v>3.1349999999999998</v>
      </c>
      <c r="F21" s="380">
        <f t="shared" si="5"/>
        <v>1.5970891541783085</v>
      </c>
      <c r="G21">
        <f t="shared" si="6"/>
        <v>4</v>
      </c>
      <c r="H21" t="s">
        <v>509</v>
      </c>
    </row>
    <row r="22" spans="3:8">
      <c r="C22" s="379">
        <f>C51*('Main Page'!B$13/2-'Main Page'!B$56/2) + 'Main Page'!B$56/2</f>
        <v>47.932499999999997</v>
      </c>
      <c r="D22" s="380">
        <f>(F42-F41)/($D42-$D41)*($C22-$D41)+F41</f>
        <v>7.6000000000000068E-2</v>
      </c>
      <c r="E22">
        <f>(1/$C$6)*('Main Page'!B$13/2-'Main Page'!B$56/2)</f>
        <v>3.1349999999999998</v>
      </c>
      <c r="F22" s="380">
        <f t="shared" si="5"/>
        <v>1.3864820929641861</v>
      </c>
      <c r="G22">
        <f t="shared" si="6"/>
        <v>4</v>
      </c>
      <c r="H22" t="s">
        <v>509</v>
      </c>
    </row>
    <row r="36" spans="2:7">
      <c r="B36" t="s">
        <v>452</v>
      </c>
      <c r="E36" t="s">
        <v>88</v>
      </c>
      <c r="F36" t="s">
        <v>364</v>
      </c>
      <c r="G36" t="s">
        <v>370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2.4750000000000001</v>
      </c>
      <c r="E37">
        <f>GECbladedata!$C5</f>
        <v>2.6729794259588524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3.4650000000000003</v>
      </c>
      <c r="E38">
        <f>GECbladedata!$C6</f>
        <v>2.6729794259588524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12.375</v>
      </c>
      <c r="E39">
        <f>GECbladedata!$C7</f>
        <v>3.9601219202438407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24.75</v>
      </c>
      <c r="E40">
        <f>GECbladedata!$C8</f>
        <v>3.0363220726441456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37.125</v>
      </c>
      <c r="E41">
        <f>GECbladedata!$C9</f>
        <v>2.1125222250444504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49.5</v>
      </c>
      <c r="E42">
        <f>GECbladedata!$C10</f>
        <v>1.2811785623571248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zoomScaleNormal="100" workbookViewId="0">
      <selection activeCell="L16" sqref="L16"/>
    </sheetView>
  </sheetViews>
  <sheetFormatPr defaultRowHeight="10"/>
  <cols>
    <col min="1" max="1" width="6.44140625" customWidth="1"/>
    <col min="2" max="2" width="13.77734375" bestFit="1" customWidth="1"/>
    <col min="3" max="3" width="14.109375" bestFit="1" customWidth="1"/>
    <col min="4" max="4" width="16.44140625" bestFit="1" customWidth="1"/>
    <col min="5" max="5" width="17.77734375" bestFit="1" customWidth="1"/>
    <col min="6" max="6" width="16.6640625" bestFit="1" customWidth="1"/>
    <col min="7" max="7" width="18.6640625" bestFit="1" customWidth="1"/>
    <col min="8" max="8" width="19.109375" bestFit="1" customWidth="1"/>
    <col min="9" max="9" width="18.109375" bestFit="1" customWidth="1"/>
    <col min="10" max="10" width="20.109375" bestFit="1" customWidth="1"/>
    <col min="11" max="18" width="11.77734375" bestFit="1" customWidth="1"/>
    <col min="19" max="23" width="9.6640625" bestFit="1" customWidth="1"/>
  </cols>
  <sheetData>
    <row r="1" spans="1:25">
      <c r="A1" t="s">
        <v>438</v>
      </c>
      <c r="B1" t="s">
        <v>439</v>
      </c>
      <c r="C1" t="s">
        <v>440</v>
      </c>
    </row>
    <row r="3" spans="1:25">
      <c r="A3" t="s">
        <v>85</v>
      </c>
      <c r="B3" t="s">
        <v>512</v>
      </c>
      <c r="C3" s="18">
        <f>'Main Page'!A151*100</f>
        <v>3.8820000000000001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413</v>
      </c>
    </row>
    <row r="4" spans="1:25">
      <c r="A4" t="s">
        <v>85</v>
      </c>
      <c r="B4" t="s">
        <v>513</v>
      </c>
      <c r="C4" s="18">
        <f>'Main Page'!B151*100</f>
        <v>3.8820000000000001</v>
      </c>
      <c r="D4" s="18"/>
      <c r="E4" s="376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414</v>
      </c>
    </row>
    <row r="5" spans="1:25">
      <c r="A5" t="s">
        <v>387</v>
      </c>
      <c r="B5" t="s">
        <v>514</v>
      </c>
      <c r="C5" s="376">
        <f>'Main Page'!C151*100</f>
        <v>5.8999999999999995</v>
      </c>
      <c r="D5" s="18"/>
      <c r="E5" s="376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71" t="s">
        <v>415</v>
      </c>
    </row>
    <row r="6" spans="1:25">
      <c r="B6" t="s">
        <v>429</v>
      </c>
      <c r="C6" s="377" t="s">
        <v>430</v>
      </c>
      <c r="D6" s="377" t="s">
        <v>431</v>
      </c>
      <c r="E6" s="377" t="s">
        <v>432</v>
      </c>
      <c r="F6" s="377" t="s">
        <v>433</v>
      </c>
      <c r="G6" s="377" t="s">
        <v>434</v>
      </c>
      <c r="H6" s="377" t="s">
        <v>435</v>
      </c>
      <c r="I6" s="377" t="s">
        <v>436</v>
      </c>
      <c r="J6" s="377" t="s">
        <v>437</v>
      </c>
      <c r="K6" s="377"/>
      <c r="L6" s="37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71" t="s">
        <v>416</v>
      </c>
    </row>
    <row r="7" spans="1:25">
      <c r="C7" s="384">
        <f>GECbladedata!$C28</f>
        <v>0</v>
      </c>
      <c r="D7" s="385">
        <f>0.25+GECbladedata!$Q28/GECbladedata!$P28</f>
        <v>0.25</v>
      </c>
      <c r="E7" s="385">
        <f>GECbladedata!$K28</f>
        <v>11.1</v>
      </c>
      <c r="F7" s="385">
        <f>GECbladedata!$D28</f>
        <v>2514.2728793945694</v>
      </c>
      <c r="G7" s="386">
        <f>GECbladedata!$O28</f>
        <v>25915847780.81815</v>
      </c>
      <c r="H7" s="387">
        <f>GECbladedata!$N28</f>
        <v>25915847780.81815</v>
      </c>
      <c r="I7" s="387">
        <f>GECbladedata!$L28</f>
        <v>8966505090.0080204</v>
      </c>
      <c r="J7" s="387">
        <f>GECbladedata!$M28</f>
        <v>28944438488.483387</v>
      </c>
      <c r="K7" s="377"/>
      <c r="L7" s="37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84">
        <f>GECbladedata!$C29</f>
        <v>2.1052631578947371E-2</v>
      </c>
      <c r="D8" s="385">
        <f>0.25+GECbladedata!$Q29/GECbladedata!$P29</f>
        <v>0.25</v>
      </c>
      <c r="E8" s="385">
        <f>GECbladedata!$K29</f>
        <v>11.1</v>
      </c>
      <c r="F8" s="385">
        <f>GECbladedata!$D29</f>
        <v>378.46476436784059</v>
      </c>
      <c r="G8" s="386">
        <f>GECbladedata!$O29</f>
        <v>4995749732.6391211</v>
      </c>
      <c r="H8" s="387">
        <f>GECbladedata!$N29</f>
        <v>4995749732.6391211</v>
      </c>
      <c r="I8" s="387">
        <f>GECbladedata!$L29</f>
        <v>1745703465.4624267</v>
      </c>
      <c r="J8" s="387">
        <f>GECbladedata!$M29</f>
        <v>5635228554.6241884</v>
      </c>
      <c r="K8" s="377"/>
      <c r="L8" s="37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84">
        <f>GECbladedata!$C30</f>
        <v>5.2631578947368411E-2</v>
      </c>
      <c r="D9" s="385">
        <f>0.25+GECbladedata!$Q30/GECbladedata!$P30</f>
        <v>0.22942796069703819</v>
      </c>
      <c r="E9" s="385">
        <f>GECbladedata!$K30</f>
        <v>11.1</v>
      </c>
      <c r="F9" s="385">
        <f>GECbladedata!$D30</f>
        <v>382.96477599404864</v>
      </c>
      <c r="G9" s="386">
        <f>GECbladedata!$O30</f>
        <v>4405826168.0194216</v>
      </c>
      <c r="H9" s="387">
        <f>GECbladedata!$N30</f>
        <v>4814154924.7073679</v>
      </c>
      <c r="I9" s="387">
        <f>GECbladedata!$L30</f>
        <v>1465305103.3411148</v>
      </c>
      <c r="J9" s="387">
        <f>GECbladedata!$M30</f>
        <v>5585653441.6502266</v>
      </c>
      <c r="K9" s="377"/>
      <c r="L9" s="37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84">
        <f>GECbladedata!$C31</f>
        <v>0.10526315789473684</v>
      </c>
      <c r="D10" s="385">
        <f>0.25+GECbladedata!$Q31/GECbladedata!$P31</f>
        <v>0.20118558099730738</v>
      </c>
      <c r="E10" s="385">
        <f>GECbladedata!$K31</f>
        <v>11.1</v>
      </c>
      <c r="F10" s="385">
        <f>GECbladedata!$D31</f>
        <v>390.46479537106205</v>
      </c>
      <c r="G10" s="386">
        <f>GECbladedata!$O31</f>
        <v>3422620226.9865899</v>
      </c>
      <c r="H10" s="387">
        <f>GECbladedata!$N31</f>
        <v>4511496911.4877796</v>
      </c>
      <c r="I10" s="387">
        <f>GECbladedata!$L31</f>
        <v>997974499.80559528</v>
      </c>
      <c r="J10" s="387">
        <f>GECbladedata!$M31</f>
        <v>5503028253.3602915</v>
      </c>
      <c r="K10" s="377"/>
      <c r="L10" s="37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84">
        <f>GECbladedata!$C32</f>
        <v>0.15789473684210525</v>
      </c>
      <c r="D11" s="385">
        <f>0.25+GECbladedata!$Q32/GECbladedata!$P32</f>
        <v>0.17854905158859785</v>
      </c>
      <c r="E11" s="385">
        <f>GECbladedata!$K32</f>
        <v>11.1</v>
      </c>
      <c r="F11" s="385">
        <f>GECbladedata!$D32</f>
        <v>397.96481474807547</v>
      </c>
      <c r="G11" s="386">
        <f>GECbladedata!$O32</f>
        <v>2439414285.9537573</v>
      </c>
      <c r="H11" s="387">
        <f>GECbladedata!$N32</f>
        <v>4208838898.2681913</v>
      </c>
      <c r="I11" s="387">
        <f>GECbladedata!$L32</f>
        <v>530643896.27007532</v>
      </c>
      <c r="J11" s="387">
        <f>GECbladedata!$M32</f>
        <v>5420403065.0703554</v>
      </c>
      <c r="K11" s="377"/>
      <c r="L11" s="37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84">
        <f>GECbladedata!$C33</f>
        <v>0.21052631578947367</v>
      </c>
      <c r="D12" s="385">
        <f>0.25+GECbladedata!$Q33/GECbladedata!$P33</f>
        <v>0.15999999999999998</v>
      </c>
      <c r="E12" s="385">
        <f>GECbladedata!$K33</f>
        <v>11.1</v>
      </c>
      <c r="F12" s="385">
        <f>GECbladedata!$D33</f>
        <v>405.46483412508888</v>
      </c>
      <c r="G12" s="386">
        <f>GECbladedata!$O33</f>
        <v>1456208344.9209256</v>
      </c>
      <c r="H12" s="387">
        <f>GECbladedata!$N33</f>
        <v>3906180885.0486031</v>
      </c>
      <c r="I12" s="387">
        <f>GECbladedata!$L33</f>
        <v>63313292.734555714</v>
      </c>
      <c r="J12" s="387">
        <f>GECbladedata!$M33</f>
        <v>5337777876.7804203</v>
      </c>
      <c r="K12" s="377"/>
      <c r="L12" s="37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84">
        <f>GECbladedata!$C34</f>
        <v>0.26315789473684209</v>
      </c>
      <c r="D13" s="385">
        <f>0.25+GECbladedata!$Q34/GECbladedata!$P34</f>
        <v>0.16482547969536315</v>
      </c>
      <c r="E13" s="385">
        <f>GECbladedata!$K34</f>
        <v>9.5</v>
      </c>
      <c r="F13" s="385">
        <f>GECbladedata!$D34</f>
        <v>388.29530227109069</v>
      </c>
      <c r="G13" s="386">
        <f>GECbladedata!$O34</f>
        <v>1237438519.441153</v>
      </c>
      <c r="H13" s="387">
        <f>GECbladedata!$N34</f>
        <v>3322546069.2504792</v>
      </c>
      <c r="I13" s="387">
        <f>GECbladedata!$L34</f>
        <v>55746990.667117193</v>
      </c>
      <c r="J13" s="387">
        <f>GECbladedata!$M34</f>
        <v>5115435115.2485218</v>
      </c>
    </row>
    <row r="14" spans="1:25">
      <c r="C14" s="384">
        <f>GECbladedata!$C35</f>
        <v>0.31578947368421051</v>
      </c>
      <c r="D14" s="385">
        <f>0.25+GECbladedata!$Q35/GECbladedata!$P35</f>
        <v>0.17014756440910567</v>
      </c>
      <c r="E14" s="385">
        <f>GECbladedata!$K35</f>
        <v>7.9</v>
      </c>
      <c r="F14" s="385">
        <f>GECbladedata!$D35</f>
        <v>371.12577041709255</v>
      </c>
      <c r="G14" s="386">
        <f>GECbladedata!$O35</f>
        <v>1018668693.9613804</v>
      </c>
      <c r="H14" s="387">
        <f>GECbladedata!$N35</f>
        <v>2738911253.4523554</v>
      </c>
      <c r="I14" s="387">
        <f>GECbladedata!$L35</f>
        <v>48180688.599678665</v>
      </c>
      <c r="J14" s="387">
        <f>GECbladedata!$M35</f>
        <v>4893092353.7166243</v>
      </c>
    </row>
    <row r="15" spans="1:25">
      <c r="C15" s="384">
        <f>GECbladedata!$C36</f>
        <v>0.36842105263157893</v>
      </c>
      <c r="D15" s="385">
        <f>0.25+GECbladedata!$Q36/GECbladedata!$P36</f>
        <v>0.17604707356362986</v>
      </c>
      <c r="E15" s="385">
        <f>GECbladedata!$K36</f>
        <v>6.2999999999999989</v>
      </c>
      <c r="F15" s="385">
        <f>GECbladedata!$D36</f>
        <v>353.95623856309436</v>
      </c>
      <c r="G15" s="386">
        <f>GECbladedata!$O36</f>
        <v>799898868.48160756</v>
      </c>
      <c r="H15" s="387">
        <f>GECbladedata!$N36</f>
        <v>2155276437.6542311</v>
      </c>
      <c r="I15" s="387">
        <f>GECbladedata!$L36</f>
        <v>40614386.532240137</v>
      </c>
      <c r="J15" s="387">
        <f>GECbladedata!$M36</f>
        <v>4670749592.1847258</v>
      </c>
    </row>
    <row r="16" spans="1:25">
      <c r="C16" s="384">
        <f>GECbladedata!$C37</f>
        <v>0.42105263157894735</v>
      </c>
      <c r="D16" s="385">
        <f>0.25+GECbladedata!$Q37/GECbladedata!$P37</f>
        <v>0.18262336965950132</v>
      </c>
      <c r="E16" s="385">
        <f>GECbladedata!$K37</f>
        <v>4.6999999999999993</v>
      </c>
      <c r="F16" s="385">
        <f>GECbladedata!$D37</f>
        <v>336.78670670909617</v>
      </c>
      <c r="G16" s="386">
        <f>GECbladedata!$O37</f>
        <v>581129043.00183487</v>
      </c>
      <c r="H16" s="387">
        <f>GECbladedata!$N37</f>
        <v>1571641621.8561077</v>
      </c>
      <c r="I16" s="387">
        <f>GECbladedata!$L37</f>
        <v>33048084.464801613</v>
      </c>
      <c r="J16" s="387">
        <f>GECbladedata!$M37</f>
        <v>4448406830.6528273</v>
      </c>
    </row>
    <row r="17" spans="2:23">
      <c r="C17" s="384">
        <f>GECbladedata!$C38</f>
        <v>0.47368421052631576</v>
      </c>
      <c r="D17" s="385">
        <f>0.25+GECbladedata!$Q38/GECbladedata!$P38</f>
        <v>0.19</v>
      </c>
      <c r="E17" s="385">
        <f>GECbladedata!$K38</f>
        <v>3.1</v>
      </c>
      <c r="F17" s="385">
        <f>GECbladedata!$D38</f>
        <v>319.61717485509803</v>
      </c>
      <c r="G17" s="386">
        <f>GECbladedata!$O38</f>
        <v>362359217.52206236</v>
      </c>
      <c r="H17" s="387">
        <f>GECbladedata!$N38</f>
        <v>988006806.05798388</v>
      </c>
      <c r="I17" s="387">
        <f>GECbladedata!$L38</f>
        <v>25481782.397363089</v>
      </c>
      <c r="J17" s="387">
        <f>GECbladedata!$M38</f>
        <v>4226064069.1209292</v>
      </c>
    </row>
    <row r="18" spans="2:23">
      <c r="C18" s="384">
        <f>GECbladedata!$C39</f>
        <v>0.52631578947368418</v>
      </c>
      <c r="D18" s="385">
        <f>0.25+GECbladedata!$Q39/GECbladedata!$P39</f>
        <v>0.19444497888942333</v>
      </c>
      <c r="E18" s="385">
        <f>GECbladedata!$K39</f>
        <v>2.5999999999999996</v>
      </c>
      <c r="F18" s="385">
        <f>GECbladedata!$D39</f>
        <v>283.56556317077332</v>
      </c>
      <c r="G18" s="386">
        <f>GECbladedata!$O39</f>
        <v>301062716.42475706</v>
      </c>
      <c r="H18" s="387">
        <f>GECbladedata!$N39</f>
        <v>838972045.18727791</v>
      </c>
      <c r="I18" s="387">
        <f>GECbladedata!$L39</f>
        <v>21407116.991112508</v>
      </c>
      <c r="J18" s="387">
        <f>GECbladedata!$M39</f>
        <v>3737366167.8227329</v>
      </c>
    </row>
    <row r="19" spans="2:23">
      <c r="C19" s="384">
        <f>GECbladedata!$C40</f>
        <v>0.57894736842105254</v>
      </c>
      <c r="D19" s="385">
        <f>0.25+GECbladedata!$Q40/GECbladedata!$P40</f>
        <v>0.19950586711368484</v>
      </c>
      <c r="E19" s="385">
        <f>GECbladedata!$K40</f>
        <v>2.1000000000000005</v>
      </c>
      <c r="F19" s="385">
        <f>GECbladedata!$D40</f>
        <v>247.51395148644866</v>
      </c>
      <c r="G19" s="386">
        <f>GECbladedata!$O40</f>
        <v>239766215.32745194</v>
      </c>
      <c r="H19" s="387">
        <f>GECbladedata!$N40</f>
        <v>689937284.31657219</v>
      </c>
      <c r="I19" s="387">
        <f>GECbladedata!$L40</f>
        <v>17332451.584861934</v>
      </c>
      <c r="J19" s="387">
        <f>GECbladedata!$M40</f>
        <v>3248668266.524538</v>
      </c>
    </row>
    <row r="20" spans="2:23">
      <c r="B20" s="371"/>
      <c r="C20" s="384">
        <f>GECbladedata!$C41</f>
        <v>0.63157894736842102</v>
      </c>
      <c r="D20" s="385">
        <f>0.25+GECbladedata!$Q41/GECbladedata!$P41</f>
        <v>0.20532020712662968</v>
      </c>
      <c r="E20" s="385">
        <f>GECbladedata!$K41</f>
        <v>1.5999999999999999</v>
      </c>
      <c r="F20" s="385">
        <f>GECbladedata!$D41</f>
        <v>211.46233980212395</v>
      </c>
      <c r="G20" s="386">
        <f>GECbladedata!$O41</f>
        <v>178469714.23014665</v>
      </c>
      <c r="H20" s="387">
        <f>GECbladedata!$N41</f>
        <v>540902523.44586635</v>
      </c>
      <c r="I20" s="387">
        <f>GECbladedata!$L41</f>
        <v>13257786.178611353</v>
      </c>
      <c r="J20" s="387">
        <f>GECbladedata!$M41</f>
        <v>2759970365.2263422</v>
      </c>
    </row>
    <row r="21" spans="2:23">
      <c r="B21" s="371"/>
      <c r="C21" s="384">
        <f>GECbladedata!$C42</f>
        <v>0.68421052631578938</v>
      </c>
      <c r="D21" s="385">
        <f>0.25+GECbladedata!$Q42/GECbladedata!$P42</f>
        <v>0.21206978904073237</v>
      </c>
      <c r="E21" s="385">
        <f>GECbladedata!$K42</f>
        <v>1.1000000000000005</v>
      </c>
      <c r="F21" s="385">
        <f>GECbladedata!$D42</f>
        <v>175.41072811779932</v>
      </c>
      <c r="G21" s="386">
        <f>GECbladedata!$O42</f>
        <v>117173213.1328415</v>
      </c>
      <c r="H21" s="387">
        <f>GECbladedata!$N42</f>
        <v>391867762.57516062</v>
      </c>
      <c r="I21" s="387">
        <f>GECbladedata!$L42</f>
        <v>9183120.7723607793</v>
      </c>
      <c r="J21" s="387">
        <f>GECbladedata!$M42</f>
        <v>2271272463.9281473</v>
      </c>
    </row>
    <row r="22" spans="2:23">
      <c r="C22" s="384">
        <f>GECbladedata!$C43</f>
        <v>0.73684210526315785</v>
      </c>
      <c r="D22" s="385">
        <f>0.25+GECbladedata!$Q43/GECbladedata!$P43</f>
        <v>0.21999999999999997</v>
      </c>
      <c r="E22" s="385">
        <f>GECbladedata!$K43</f>
        <v>0.6</v>
      </c>
      <c r="F22" s="385">
        <f>GECbladedata!$D43</f>
        <v>139.35911643347461</v>
      </c>
      <c r="G22" s="386">
        <f>GECbladedata!$O43</f>
        <v>55876712.03553623</v>
      </c>
      <c r="H22" s="387">
        <f>GECbladedata!$N43</f>
        <v>242833001.70445472</v>
      </c>
      <c r="I22" s="387">
        <f>GECbladedata!$L43</f>
        <v>5108455.3661101973</v>
      </c>
      <c r="J22" s="387">
        <f>GECbladedata!$M43</f>
        <v>1782574562.629951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84">
        <f>GECbladedata!$C44</f>
        <v>0.78947368421052622</v>
      </c>
      <c r="D23" s="385">
        <f>0.25+GECbladedata!$Q44/GECbladedata!$P44</f>
        <v>0.22394967634161619</v>
      </c>
      <c r="E23" s="385">
        <f>GECbladedata!$K44</f>
        <v>0.47999999999999987</v>
      </c>
      <c r="F23" s="385">
        <f>GECbladedata!$D44</f>
        <v>114.8236118008315</v>
      </c>
      <c r="G23" s="386">
        <f>GECbladedata!$O44</f>
        <v>44839759.888547704</v>
      </c>
      <c r="H23" s="387">
        <f>GECbladedata!$N44</f>
        <v>199004345.945301</v>
      </c>
      <c r="I23" s="387">
        <f>GECbladedata!$L44</f>
        <v>4195517.6643379992</v>
      </c>
      <c r="J23" s="387">
        <f>GECbladedata!$M44</f>
        <v>1461230658.9921355</v>
      </c>
    </row>
    <row r="24" spans="2:23">
      <c r="C24" s="384">
        <f>GECbladedata!$C45</f>
        <v>0.84210526315789458</v>
      </c>
      <c r="D24" s="385">
        <f>0.25+GECbladedata!$Q45/GECbladedata!$P45</f>
        <v>0.22863723279773965</v>
      </c>
      <c r="E24" s="385">
        <f>GECbladedata!$K45</f>
        <v>0.36000000000000004</v>
      </c>
      <c r="F24" s="385">
        <f>GECbladedata!$D45</f>
        <v>90.288107168188432</v>
      </c>
      <c r="G24" s="386">
        <f>GECbladedata!$O45</f>
        <v>33802807.741559193</v>
      </c>
      <c r="H24" s="387">
        <f>GECbladedata!$N45</f>
        <v>155175690.18614733</v>
      </c>
      <c r="I24" s="387">
        <f>GECbladedata!$L45</f>
        <v>3282579.962565803</v>
      </c>
      <c r="J24" s="387">
        <f>GECbladedata!$M45</f>
        <v>1139886755.354321</v>
      </c>
    </row>
    <row r="25" spans="2:23">
      <c r="C25" s="384">
        <f>GECbladedata!$C46</f>
        <v>0.89473684210526305</v>
      </c>
      <c r="D25" s="385">
        <f>0.25+GECbladedata!$Q46/GECbladedata!$P46</f>
        <v>0.23429075111754705</v>
      </c>
      <c r="E25" s="385">
        <f>GECbladedata!$K46</f>
        <v>0.23999999999999994</v>
      </c>
      <c r="F25" s="385">
        <f>GECbladedata!$D46</f>
        <v>65.752602535545321</v>
      </c>
      <c r="G25" s="386">
        <f>GECbladedata!$O46</f>
        <v>22765855.594570663</v>
      </c>
      <c r="H25" s="387">
        <f>GECbladedata!$N46</f>
        <v>111347034.42699362</v>
      </c>
      <c r="I25" s="387">
        <f>GECbladedata!$L46</f>
        <v>2369642.2607936049</v>
      </c>
      <c r="J25" s="387">
        <f>GECbladedata!$M46</f>
        <v>818542851.71650553</v>
      </c>
    </row>
    <row r="26" spans="2:23">
      <c r="C26" s="384">
        <f>GECbladedata!$C47</f>
        <v>0.94736842105263142</v>
      </c>
      <c r="D26" s="385">
        <f>0.25+GECbladedata!$Q47/GECbladedata!$P47</f>
        <v>0.24124311234338258</v>
      </c>
      <c r="E26" s="385">
        <f>GECbladedata!$K47</f>
        <v>0.12000000000000011</v>
      </c>
      <c r="F26" s="385">
        <f>GECbladedata!$D47</f>
        <v>41.217097902902253</v>
      </c>
      <c r="G26" s="386">
        <f>GECbladedata!$O47</f>
        <v>11728903.447582163</v>
      </c>
      <c r="H26" s="387">
        <f>GECbladedata!$N47</f>
        <v>67518378.667839974</v>
      </c>
      <c r="I26" s="387">
        <f>GECbladedata!$L47</f>
        <v>1456704.5590214087</v>
      </c>
      <c r="J26" s="387">
        <f>GECbladedata!$M47</f>
        <v>497198948.07869101</v>
      </c>
    </row>
    <row r="27" spans="2:23">
      <c r="C27" s="384">
        <f>GECbladedata!$C48</f>
        <v>0.99999999999999989</v>
      </c>
      <c r="D27" s="385">
        <f>0.25+GECbladedata!$Q48/GECbladedata!$P48</f>
        <v>0.25</v>
      </c>
      <c r="E27" s="385">
        <f>GECbladedata!$K48</f>
        <v>0</v>
      </c>
      <c r="F27" s="385">
        <f>GECbladedata!$D48</f>
        <v>16.681593270259139</v>
      </c>
      <c r="G27" s="386">
        <f>GECbladedata!$O48</f>
        <v>691951.30059363274</v>
      </c>
      <c r="H27" s="387">
        <f>GECbladedata!$N48</f>
        <v>23689722.908686247</v>
      </c>
      <c r="I27" s="387">
        <f>GECbladedata!$L48</f>
        <v>543766.85724921024</v>
      </c>
      <c r="J27" s="387">
        <f>GECbladedata!$M48</f>
        <v>175855044.44087556</v>
      </c>
    </row>
    <row r="29" spans="2:23">
      <c r="D29" s="3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workbookViewId="0">
      <selection activeCell="B10" sqref="B10"/>
    </sheetView>
  </sheetViews>
  <sheetFormatPr defaultRowHeight="10"/>
  <cols>
    <col min="2" max="2" width="13.77734375" bestFit="1" customWidth="1"/>
    <col min="3" max="3" width="12.6640625" bestFit="1" customWidth="1"/>
    <col min="11" max="11" width="12.6640625" bestFit="1" customWidth="1"/>
  </cols>
  <sheetData>
    <row r="2" spans="1:14">
      <c r="A2" t="s">
        <v>438</v>
      </c>
      <c r="B2" t="s">
        <v>439</v>
      </c>
      <c r="C2" t="s">
        <v>440</v>
      </c>
    </row>
    <row r="3" spans="1:14">
      <c r="K3" s="380"/>
      <c r="L3" s="372"/>
      <c r="M3" s="372"/>
      <c r="N3" s="371"/>
    </row>
    <row r="4" spans="1:14">
      <c r="A4" t="s">
        <v>391</v>
      </c>
      <c r="B4" t="s">
        <v>482</v>
      </c>
      <c r="C4" s="101">
        <f>'Main Page'!B87</f>
        <v>1800</v>
      </c>
      <c r="K4" s="380"/>
      <c r="L4" s="372"/>
      <c r="M4" s="372"/>
      <c r="N4" s="371"/>
    </row>
    <row r="5" spans="1:14">
      <c r="A5" t="s">
        <v>483</v>
      </c>
      <c r="B5" t="s">
        <v>484</v>
      </c>
      <c r="C5" s="381">
        <f>'Main Page'!$B$31</f>
        <v>16753.151904410039</v>
      </c>
      <c r="K5" s="380"/>
    </row>
    <row r="6" spans="1:14">
      <c r="A6" t="s">
        <v>485</v>
      </c>
      <c r="B6" t="s">
        <v>486</v>
      </c>
      <c r="C6" s="379">
        <f>'Main Page'!B43</f>
        <v>5.170725896422851E-3</v>
      </c>
      <c r="K6" s="380"/>
    </row>
    <row r="7" spans="1:14">
      <c r="A7" t="s">
        <v>459</v>
      </c>
      <c r="B7" t="s">
        <v>515</v>
      </c>
      <c r="C7" s="379">
        <v>2.6</v>
      </c>
      <c r="K7" s="380"/>
    </row>
    <row r="8" spans="1:14">
      <c r="A8" t="s">
        <v>459</v>
      </c>
      <c r="B8" t="s">
        <v>516</v>
      </c>
      <c r="C8" s="379">
        <v>2.6</v>
      </c>
      <c r="K8" s="380"/>
    </row>
    <row r="9" spans="1:14">
      <c r="A9" t="s">
        <v>459</v>
      </c>
      <c r="B9" t="s">
        <v>517</v>
      </c>
      <c r="C9" s="379">
        <v>2.6</v>
      </c>
      <c r="K9" s="380"/>
    </row>
    <row r="10" spans="1:14">
      <c r="A10" t="s">
        <v>391</v>
      </c>
      <c r="B10" t="s">
        <v>487</v>
      </c>
      <c r="C10">
        <f>'Main Page'!$B$29</f>
        <v>14.468631190172303</v>
      </c>
      <c r="G10" t="s">
        <v>488</v>
      </c>
      <c r="K10" s="380"/>
    </row>
    <row r="11" spans="1:14">
      <c r="A11" t="s">
        <v>459</v>
      </c>
      <c r="B11" t="s">
        <v>489</v>
      </c>
      <c r="C11" s="102">
        <f>'Main Page'!$B$34</f>
        <v>2.6</v>
      </c>
      <c r="G11" t="s">
        <v>490</v>
      </c>
      <c r="K11" s="380"/>
    </row>
    <row r="12" spans="1:14">
      <c r="A12" t="s">
        <v>459</v>
      </c>
      <c r="B12" t="s">
        <v>491</v>
      </c>
      <c r="C12" s="102">
        <f>'Main Page'!$B$35</f>
        <v>90</v>
      </c>
      <c r="G12" t="s">
        <v>492</v>
      </c>
      <c r="K12" s="380"/>
    </row>
    <row r="13" spans="1:14">
      <c r="A13" t="s">
        <v>442</v>
      </c>
      <c r="B13" t="s">
        <v>493</v>
      </c>
      <c r="C13">
        <f>'Main Page'!$B$40</f>
        <v>2.5000000000000001E-2</v>
      </c>
      <c r="G13" t="s">
        <v>494</v>
      </c>
      <c r="K13" s="380"/>
    </row>
    <row r="14" spans="1:14">
      <c r="A14" t="s">
        <v>495</v>
      </c>
      <c r="B14" t="s">
        <v>496</v>
      </c>
      <c r="C14">
        <f>'Main Page'!$B$37*PI()/180</f>
        <v>4.5378560551852569E-2</v>
      </c>
      <c r="G14" t="s">
        <v>497</v>
      </c>
      <c r="K14" s="380"/>
    </row>
    <row r="15" spans="1:14">
      <c r="A15" t="s">
        <v>495</v>
      </c>
      <c r="B15" t="s">
        <v>498</v>
      </c>
      <c r="C15">
        <f>'Main Page'!$B$38*PI()/180</f>
        <v>0.52359877559829882</v>
      </c>
      <c r="G15" t="s">
        <v>499</v>
      </c>
      <c r="K15" s="380"/>
    </row>
    <row r="16" spans="1:14">
      <c r="A16" t="s">
        <v>444</v>
      </c>
      <c r="B16" t="s">
        <v>500</v>
      </c>
      <c r="C16">
        <f>1/C14^C17</f>
        <v>0.21302244142778143</v>
      </c>
      <c r="G16" t="s">
        <v>501</v>
      </c>
      <c r="K16" s="380"/>
    </row>
    <row r="17" spans="1:11">
      <c r="A17" t="s">
        <v>444</v>
      </c>
      <c r="B17" t="s">
        <v>502</v>
      </c>
      <c r="C17">
        <f>'Main Page'!$B$39</f>
        <v>-0.5</v>
      </c>
      <c r="G17" t="s">
        <v>503</v>
      </c>
      <c r="K17" s="380"/>
    </row>
    <row r="18" spans="1:11">
      <c r="B18" t="s">
        <v>504</v>
      </c>
      <c r="C18" s="101">
        <f>(4*'Main Page'!$B$29/30*PI())^2</f>
        <v>36.730945821854903</v>
      </c>
      <c r="D18" s="101">
        <v>0</v>
      </c>
      <c r="E18" s="101">
        <v>0</v>
      </c>
      <c r="G18" t="s">
        <v>505</v>
      </c>
      <c r="K18" s="380"/>
    </row>
    <row r="19" spans="1:11">
      <c r="B19" t="s">
        <v>506</v>
      </c>
      <c r="C19" s="101">
        <f>(4*'Main Page'!$B$29/30*PI())^2</f>
        <v>36.730945821854903</v>
      </c>
      <c r="D19" s="101">
        <f>2*0.8*(4*'Main Page'!$B$29/30*PI())</f>
        <v>9.6969696969696955</v>
      </c>
      <c r="E19" s="101">
        <v>1</v>
      </c>
      <c r="G19" t="s">
        <v>507</v>
      </c>
      <c r="K19" s="102"/>
    </row>
    <row r="21" spans="1:11">
      <c r="K21" s="381"/>
    </row>
    <row r="22" spans="1:11">
      <c r="K22" s="102"/>
    </row>
    <row r="23" spans="1:11">
      <c r="K23" s="102"/>
    </row>
    <row r="24" spans="1:11">
      <c r="K24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13" sqref="B13"/>
    </sheetView>
  </sheetViews>
  <sheetFormatPr defaultRowHeight="10"/>
  <cols>
    <col min="1" max="1" width="10.33203125" bestFit="1" customWidth="1"/>
    <col min="2" max="2" width="12.109375" customWidth="1"/>
    <col min="3" max="3" width="13.77734375" bestFit="1" customWidth="1"/>
    <col min="9" max="9" width="13.77734375" bestFit="1" customWidth="1"/>
  </cols>
  <sheetData>
    <row r="1" spans="1:13">
      <c r="A1" t="s">
        <v>438</v>
      </c>
      <c r="B1" t="s">
        <v>439</v>
      </c>
      <c r="C1" t="s">
        <v>440</v>
      </c>
    </row>
    <row r="3" spans="1:13">
      <c r="A3" t="s">
        <v>85</v>
      </c>
      <c r="B3" t="s">
        <v>453</v>
      </c>
      <c r="C3" s="381">
        <f>'Main Page'!B61</f>
        <v>-4.6500000000000004</v>
      </c>
    </row>
    <row r="4" spans="1:13">
      <c r="A4" t="s">
        <v>85</v>
      </c>
      <c r="B4" t="s">
        <v>454</v>
      </c>
      <c r="C4" s="381">
        <f>('Main Page'!B5*'Main Page'!E5+'Main Page'!B6*'Main Page'!E6+'Main Page'!B7*'Main Page'!E7)/C13</f>
        <v>-0.22569690025426056</v>
      </c>
      <c r="I4" s="102"/>
    </row>
    <row r="5" spans="1:13">
      <c r="A5" t="s">
        <v>85</v>
      </c>
      <c r="B5" t="s">
        <v>455</v>
      </c>
      <c r="C5" s="381">
        <f>('Main Page'!C5*'Main Page'!E5+'Main Page'!C6*'Main Page'!E6+'Main Page'!C7*'Main Page'!E7)/C13</f>
        <v>0</v>
      </c>
    </row>
    <row r="6" spans="1:13">
      <c r="A6" t="s">
        <v>85</v>
      </c>
      <c r="B6" t="s">
        <v>456</v>
      </c>
      <c r="C6" s="381">
        <f>('Main Page'!D5*'Main Page'!E5+'Main Page'!D6*'Main Page'!E6+'Main Page'!D7*'Main Page'!E7)/C13+'Main Page'!B46</f>
        <v>1.86090852211677</v>
      </c>
      <c r="I6" s="103"/>
      <c r="J6" s="103"/>
      <c r="K6" s="103"/>
    </row>
    <row r="7" spans="1:13">
      <c r="A7" t="s">
        <v>85</v>
      </c>
      <c r="B7" t="s">
        <v>457</v>
      </c>
      <c r="C7" s="381">
        <f>'Main Page'!B9-'Main Page'!B46</f>
        <v>116.73099999999999</v>
      </c>
      <c r="I7" s="103"/>
      <c r="J7" s="103"/>
      <c r="K7" s="103"/>
    </row>
    <row r="8" spans="1:13">
      <c r="A8" t="s">
        <v>85</v>
      </c>
      <c r="B8" t="s">
        <v>458</v>
      </c>
      <c r="C8" s="381">
        <f>'Main Page'!B46</f>
        <v>2.2690000000000001</v>
      </c>
      <c r="I8" s="103"/>
      <c r="J8" s="103"/>
      <c r="K8" s="103"/>
    </row>
    <row r="9" spans="1:13">
      <c r="A9" t="s">
        <v>459</v>
      </c>
      <c r="B9" t="s">
        <v>460</v>
      </c>
      <c r="C9" s="381">
        <f>-'Main Page'!B11</f>
        <v>-5</v>
      </c>
      <c r="I9" s="103"/>
    </row>
    <row r="10" spans="1:13">
      <c r="A10" t="s">
        <v>459</v>
      </c>
      <c r="B10" t="s">
        <v>522</v>
      </c>
      <c r="C10" s="381">
        <f>-'Main Page'!B18</f>
        <v>0</v>
      </c>
      <c r="I10" s="103"/>
    </row>
    <row r="11" spans="1:13">
      <c r="A11" t="s">
        <v>459</v>
      </c>
      <c r="B11" t="s">
        <v>523</v>
      </c>
      <c r="C11" s="381">
        <f>-'Main Page'!B18</f>
        <v>0</v>
      </c>
      <c r="I11" s="103"/>
    </row>
    <row r="12" spans="1:13">
      <c r="A12" t="s">
        <v>459</v>
      </c>
      <c r="B12" t="s">
        <v>524</v>
      </c>
      <c r="C12" s="381">
        <f>-'Main Page'!B18</f>
        <v>0</v>
      </c>
      <c r="I12" s="103"/>
      <c r="M12" s="371"/>
    </row>
    <row r="13" spans="1:13">
      <c r="A13" t="s">
        <v>117</v>
      </c>
      <c r="B13" t="s">
        <v>461</v>
      </c>
      <c r="C13" s="381">
        <f>SUM('Main Page'!E5+'Main Page'!E6+'Main Page'!E7)</f>
        <v>132597.74759930788</v>
      </c>
      <c r="I13" s="103"/>
      <c r="M13" s="371"/>
    </row>
    <row r="14" spans="1:13">
      <c r="A14" t="s">
        <v>117</v>
      </c>
      <c r="B14" t="s">
        <v>462</v>
      </c>
      <c r="C14" s="381">
        <f>'Main Page'!E8</f>
        <v>61670.62692812828</v>
      </c>
      <c r="I14" s="103"/>
      <c r="M14" s="371"/>
    </row>
    <row r="15" spans="1:13">
      <c r="A15" t="s">
        <v>463</v>
      </c>
      <c r="B15" t="s">
        <v>464</v>
      </c>
      <c r="C15" s="381">
        <f>SUM('Main Page'!H5:H7)</f>
        <v>211744.31626438437</v>
      </c>
      <c r="I15" s="103"/>
    </row>
    <row r="16" spans="1:13">
      <c r="A16" t="s">
        <v>463</v>
      </c>
      <c r="B16" t="s">
        <v>465</v>
      </c>
      <c r="C16" s="381">
        <f>SUM(GECdrivetrain!M11:'GECdrivetrain'!M12)/('Main Page'!$B$88)^2</f>
        <v>177.88478074011505</v>
      </c>
      <c r="I16" s="103"/>
    </row>
    <row r="17" spans="1:13">
      <c r="A17" t="s">
        <v>463</v>
      </c>
      <c r="B17" t="s">
        <v>466</v>
      </c>
      <c r="C17" s="381">
        <f>GECdrivetrain!M5</f>
        <v>197987.08806417006</v>
      </c>
    </row>
    <row r="18" spans="1:13">
      <c r="A18" t="s">
        <v>444</v>
      </c>
      <c r="B18" t="s">
        <v>467</v>
      </c>
      <c r="C18" s="388">
        <f>'Main Page'!B19*100</f>
        <v>95</v>
      </c>
    </row>
    <row r="19" spans="1:13">
      <c r="A19" t="s">
        <v>444</v>
      </c>
      <c r="B19" t="s">
        <v>468</v>
      </c>
      <c r="C19">
        <f>'Main Page'!$B$88</f>
        <v>124.40706908215581</v>
      </c>
    </row>
    <row r="20" spans="1:13">
      <c r="A20" t="s">
        <v>469</v>
      </c>
      <c r="B20" t="s">
        <v>470</v>
      </c>
      <c r="C20" s="382">
        <f>'Main Page'!B14</f>
        <v>1039402035.9271445</v>
      </c>
      <c r="I20" s="103"/>
    </row>
    <row r="21" spans="1:13">
      <c r="A21" t="s">
        <v>471</v>
      </c>
      <c r="B21" t="s">
        <v>472</v>
      </c>
      <c r="C21" s="382">
        <f>2*'Main Page'!B15/100*SQRT(C20*'Main Page'!B16*C16*C19^2/('Main Page'!B16+C16*C19^2))</f>
        <v>4992005.4231970394</v>
      </c>
      <c r="I21" s="103"/>
    </row>
    <row r="22" spans="1:13">
      <c r="A22" t="s">
        <v>473</v>
      </c>
      <c r="B22" t="s">
        <v>474</v>
      </c>
      <c r="C22" s="335">
        <f>'Main Page'!B92*1000</f>
        <v>3000000</v>
      </c>
      <c r="M22" s="371"/>
    </row>
    <row r="23" spans="1:13">
      <c r="A23" t="s">
        <v>85</v>
      </c>
      <c r="B23" t="s">
        <v>427</v>
      </c>
      <c r="C23" s="18">
        <f>'Main Page'!B13/2</f>
        <v>49.5</v>
      </c>
      <c r="I23" s="103"/>
      <c r="M23" s="371"/>
    </row>
    <row r="24" spans="1:13">
      <c r="A24" t="s">
        <v>85</v>
      </c>
      <c r="B24" t="s">
        <v>428</v>
      </c>
      <c r="C24" s="18">
        <f>'Main Page'!B56/2</f>
        <v>2.4750000000000001</v>
      </c>
      <c r="I24" s="103"/>
      <c r="M24" s="3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18" sqref="I18"/>
    </sheetView>
  </sheetViews>
  <sheetFormatPr defaultRowHeight="10"/>
  <cols>
    <col min="2" max="2" width="13.6640625" bestFit="1" customWidth="1"/>
    <col min="3" max="8" width="15.77734375" customWidth="1"/>
  </cols>
  <sheetData>
    <row r="1" spans="1:14">
      <c r="A1" t="s">
        <v>438</v>
      </c>
      <c r="B1" t="s">
        <v>439</v>
      </c>
      <c r="C1" t="s">
        <v>440</v>
      </c>
    </row>
    <row r="3" spans="1:14">
      <c r="A3" t="s">
        <v>387</v>
      </c>
      <c r="B3" t="s">
        <v>518</v>
      </c>
      <c r="C3" s="103">
        <f>'Main Page'!B154*100</f>
        <v>3.4350000000000001</v>
      </c>
    </row>
    <row r="4" spans="1:14">
      <c r="B4" t="s">
        <v>519</v>
      </c>
      <c r="C4" s="103">
        <f>'Main Page'!B155*100</f>
        <v>3.4350000000000001</v>
      </c>
      <c r="D4" s="103"/>
      <c r="E4" s="103"/>
      <c r="F4" s="103"/>
    </row>
    <row r="5" spans="1:14">
      <c r="B5" t="s">
        <v>520</v>
      </c>
      <c r="C5" s="103">
        <f>'Main Page'!B156*100</f>
        <v>3.4350000000000001</v>
      </c>
      <c r="D5" s="103"/>
      <c r="E5" s="103"/>
      <c r="F5" s="103"/>
    </row>
    <row r="6" spans="1:14">
      <c r="B6" t="s">
        <v>521</v>
      </c>
      <c r="C6" s="103">
        <f>'Main Page'!B157*100</f>
        <v>3.4350000000000001</v>
      </c>
      <c r="D6" s="103"/>
      <c r="E6" s="103"/>
      <c r="F6" s="103"/>
    </row>
    <row r="7" spans="1:14">
      <c r="B7" t="s">
        <v>475</v>
      </c>
      <c r="C7" t="s">
        <v>476</v>
      </c>
      <c r="D7" t="s">
        <v>477</v>
      </c>
      <c r="E7" t="s">
        <v>478</v>
      </c>
      <c r="F7" t="s">
        <v>479</v>
      </c>
      <c r="G7" t="s">
        <v>480</v>
      </c>
      <c r="H7" t="s">
        <v>481</v>
      </c>
    </row>
    <row r="8" spans="1:14">
      <c r="C8" s="380">
        <f>GECtwrdata!$B15/9</f>
        <v>0</v>
      </c>
      <c r="D8">
        <f>GECtwrdata!$G15</f>
        <v>5176.3620621529581</v>
      </c>
      <c r="E8" s="383">
        <f>GECtwrdata!$N15</f>
        <v>1050330627972.325</v>
      </c>
      <c r="F8" s="383">
        <f>GECtwrdata!$N15</f>
        <v>1050330627972.325</v>
      </c>
      <c r="G8" s="383">
        <f>GECtwrdata!$K15</f>
        <v>807946636901.78833</v>
      </c>
      <c r="H8" s="383">
        <f>GECtwrdata!$H15</f>
        <v>131225707441.21327</v>
      </c>
      <c r="N8" s="371"/>
    </row>
    <row r="9" spans="1:14">
      <c r="C9" s="380">
        <f>GECtwrdata!$B16/9</f>
        <v>0.1111111111111111</v>
      </c>
      <c r="D9">
        <f>GECtwrdata!$G16</f>
        <v>4572.9262969216697</v>
      </c>
      <c r="E9" s="383">
        <f>GECtwrdata!$N16</f>
        <v>820344112793.62048</v>
      </c>
      <c r="F9" s="383">
        <f>GECtwrdata!$N16</f>
        <v>820344112793.62048</v>
      </c>
      <c r="G9" s="383">
        <f>GECtwrdata!$K16</f>
        <v>631033932918.16956</v>
      </c>
      <c r="H9" s="383">
        <f>GECtwrdata!$H16</f>
        <v>115928036173.82312</v>
      </c>
      <c r="N9" s="371"/>
    </row>
    <row r="10" spans="1:14">
      <c r="C10" s="380">
        <f>GECtwrdata!$B17/9</f>
        <v>0.22222222222222221</v>
      </c>
      <c r="D10">
        <f>GECtwrdata!$G17</f>
        <v>4006.8748373094522</v>
      </c>
      <c r="E10" s="383">
        <f>GECtwrdata!$N17</f>
        <v>630369721363.07703</v>
      </c>
      <c r="F10" s="383">
        <f>GECtwrdata!$N17</f>
        <v>630369721363.07703</v>
      </c>
      <c r="G10" s="383">
        <f>GECtwrdata!$K17</f>
        <v>484899785663.9054</v>
      </c>
      <c r="H10" s="383">
        <f>GECtwrdata!$H17</f>
        <v>101578092652.8999</v>
      </c>
      <c r="N10" s="371"/>
    </row>
    <row r="11" spans="1:14">
      <c r="C11" s="380">
        <f>GECtwrdata!$B18/9</f>
        <v>0.33333333333333331</v>
      </c>
      <c r="D11">
        <f>GECtwrdata!$G18</f>
        <v>3478.2076833163073</v>
      </c>
      <c r="E11" s="383">
        <f>GECtwrdata!$N18</f>
        <v>475473249816.18439</v>
      </c>
      <c r="F11" s="383">
        <f>GECtwrdata!$N18</f>
        <v>475473249816.18439</v>
      </c>
      <c r="G11" s="383">
        <f>GECtwrdata!$K18</f>
        <v>365748653704.7572</v>
      </c>
      <c r="H11" s="383">
        <f>GECtwrdata!$H18</f>
        <v>88175876878.443649</v>
      </c>
      <c r="N11" s="371"/>
    </row>
    <row r="12" spans="1:14">
      <c r="C12" s="380">
        <f>GECtwrdata!$B19/9</f>
        <v>0.44444444444444442</v>
      </c>
      <c r="D12">
        <f>GECtwrdata!$G19</f>
        <v>2986.9248349422332</v>
      </c>
      <c r="E12" s="383">
        <f>GECtwrdata!$N19</f>
        <v>351045305228.06683</v>
      </c>
      <c r="F12" s="383">
        <f>GECtwrdata!$N19</f>
        <v>351045305228.06683</v>
      </c>
      <c r="G12" s="383">
        <f>GECtwrdata!$K19</f>
        <v>270034850175.436</v>
      </c>
      <c r="H12" s="383">
        <f>GECtwrdata!$H19</f>
        <v>75721388850.454315</v>
      </c>
      <c r="N12" s="371"/>
    </row>
    <row r="13" spans="1:14">
      <c r="C13" s="380">
        <f>GECtwrdata!$B20/9</f>
        <v>0.55555555555555558</v>
      </c>
      <c r="D13">
        <f>GECtwrdata!$G20</f>
        <v>2533.0262921872304</v>
      </c>
      <c r="E13" s="383">
        <f>GECtwrdata!$N20</f>
        <v>252801305613.48541</v>
      </c>
      <c r="F13" s="383">
        <f>GECtwrdata!$N20</f>
        <v>252801305613.48541</v>
      </c>
      <c r="G13" s="383">
        <f>GECtwrdata!$K20</f>
        <v>194462542779.60416</v>
      </c>
      <c r="H13" s="383">
        <f>GECtwrdata!$H20</f>
        <v>64214628568.931923</v>
      </c>
      <c r="N13" s="371"/>
    </row>
    <row r="14" spans="1:14">
      <c r="C14" s="380">
        <f>GECtwrdata!$B21/9</f>
        <v>0.66666666666666663</v>
      </c>
      <c r="D14">
        <f>GECtwrdata!$G21</f>
        <v>2116.5120550512988</v>
      </c>
      <c r="E14" s="383">
        <f>GECtwrdata!$N21</f>
        <v>176781479926.83633</v>
      </c>
      <c r="F14" s="383">
        <f>GECtwrdata!$N21</f>
        <v>176781479926.83633</v>
      </c>
      <c r="G14" s="383">
        <f>GECtwrdata!$K21</f>
        <v>135985753789.87408</v>
      </c>
      <c r="H14" s="383">
        <f>GECtwrdata!$H21</f>
        <v>53655596033.876465</v>
      </c>
      <c r="N14" s="371"/>
    </row>
    <row r="15" spans="1:14">
      <c r="C15" s="380">
        <f>GECtwrdata!$B22/9</f>
        <v>0.77777777777777779</v>
      </c>
      <c r="D15">
        <f>GECtwrdata!$G22</f>
        <v>1737.3821235344394</v>
      </c>
      <c r="E15" s="383">
        <f>GECtwrdata!$N22</f>
        <v>119350868062.15134</v>
      </c>
      <c r="F15" s="383">
        <f>GECtwrdata!$N22</f>
        <v>119350868062.15134</v>
      </c>
      <c r="G15" s="383">
        <f>GECtwrdata!$K22</f>
        <v>91808360047.808716</v>
      </c>
      <c r="H15" s="383">
        <f>GECtwrdata!$H22</f>
        <v>44044291245.287949</v>
      </c>
      <c r="N15" s="371"/>
    </row>
    <row r="16" spans="1:14">
      <c r="C16" s="380">
        <f>GECtwrdata!$B23/9</f>
        <v>0.88888888888888884</v>
      </c>
      <c r="D16">
        <f>GECtwrdata!$G23</f>
        <v>1395.6364976366508</v>
      </c>
      <c r="E16" s="383">
        <f>GECtwrdata!$N23</f>
        <v>77199320853.097961</v>
      </c>
      <c r="F16" s="383">
        <f>GECtwrdata!$N23</f>
        <v>77199320853.097961</v>
      </c>
      <c r="G16" s="383">
        <f>GECtwrdata!$K23</f>
        <v>59384092963.921509</v>
      </c>
      <c r="H16" s="383">
        <f>GECtwrdata!$H23</f>
        <v>35380714203.166359</v>
      </c>
      <c r="N16" s="371"/>
    </row>
    <row r="17" spans="3:14">
      <c r="C17" s="380">
        <f>GECtwrdata!$B24/9</f>
        <v>1</v>
      </c>
      <c r="D17">
        <f>GECtwrdata!$G24</f>
        <v>1091.2751773579341</v>
      </c>
      <c r="E17" s="383">
        <f>GECtwrdata!$N24</f>
        <v>47341500072.979439</v>
      </c>
      <c r="F17" s="383">
        <f>GECtwrdata!$N24</f>
        <v>47341500072.979439</v>
      </c>
      <c r="G17" s="383">
        <f>GECtwrdata!$K24</f>
        <v>36416538517.676491</v>
      </c>
      <c r="H17" s="383">
        <f>GECtwrdata!$H24</f>
        <v>27664864907.511723</v>
      </c>
      <c r="I17" s="372"/>
      <c r="J17" s="372"/>
      <c r="K17" s="372"/>
      <c r="L17" s="372"/>
      <c r="N17" s="371"/>
    </row>
    <row r="18" spans="3:14">
      <c r="N18" s="3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0"/>
  <cols>
    <col min="1" max="1" width="15.109375" style="17" customWidth="1"/>
    <col min="2" max="2" width="13.10937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09375" customWidth="1"/>
    <col min="8" max="8" width="11.6640625" customWidth="1"/>
    <col min="9" max="9" width="12" customWidth="1"/>
    <col min="10" max="11" width="12.44140625" customWidth="1"/>
  </cols>
  <sheetData>
    <row r="1" spans="1:11" ht="13.5" thickBot="1">
      <c r="A1" s="55" t="s">
        <v>55</v>
      </c>
    </row>
    <row r="2" spans="1:11" ht="11" thickBot="1">
      <c r="A2" s="403" t="s">
        <v>84</v>
      </c>
      <c r="B2" s="404"/>
      <c r="C2" s="404"/>
      <c r="D2" s="405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1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5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0.5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0.5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0.5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0.5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0.5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0.5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0.5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0.5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0.5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0.5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0"/>
  <cols>
    <col min="1" max="1" width="9.77734375" customWidth="1"/>
    <col min="2" max="2" width="10.44140625" customWidth="1"/>
    <col min="3" max="3" width="11.33203125" customWidth="1"/>
    <col min="4" max="4" width="8" customWidth="1"/>
    <col min="5" max="5" width="7.44140625" customWidth="1"/>
    <col min="6" max="6" width="10.44140625" customWidth="1"/>
    <col min="7" max="7" width="10.109375" customWidth="1"/>
    <col min="8" max="8" width="10.33203125" customWidth="1"/>
    <col min="9" max="9" width="10.109375" customWidth="1"/>
    <col min="11" max="11" width="11" customWidth="1"/>
    <col min="12" max="12" width="11.44140625" customWidth="1"/>
    <col min="13" max="13" width="12.33203125" customWidth="1"/>
    <col min="14" max="14" width="11.6640625" customWidth="1"/>
    <col min="15" max="15" width="7.33203125" customWidth="1"/>
    <col min="16" max="16" width="10.44140625" customWidth="1"/>
    <col min="17" max="17" width="15.44140625" customWidth="1"/>
  </cols>
  <sheetData>
    <row r="1" spans="1:20" ht="15.65" customHeight="1" thickBot="1">
      <c r="A1" s="55" t="s">
        <v>64</v>
      </c>
      <c r="B1" s="57"/>
    </row>
    <row r="2" spans="1:20" ht="20.5" thickBot="1">
      <c r="A2" s="96" t="s">
        <v>56</v>
      </c>
      <c r="B2" s="97">
        <f>GECbladedata!D12-B3</f>
        <v>47.024999999999999</v>
      </c>
      <c r="D2" s="389" t="s">
        <v>84</v>
      </c>
      <c r="E2" s="391"/>
      <c r="F2" s="392"/>
    </row>
    <row r="3" spans="1:20" ht="20.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1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 ht="10.5">
      <c r="A5" s="2"/>
      <c r="B5" s="3"/>
      <c r="F5" s="4"/>
      <c r="G5" s="1"/>
      <c r="H5" s="1"/>
      <c r="I5" s="1"/>
      <c r="J5" s="1"/>
      <c r="K5" s="1"/>
    </row>
    <row r="6" spans="1:20" ht="13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 ht="10.5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 ht="10.5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0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396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 ht="10.5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0"/>
  <cols>
    <col min="3" max="3" width="10.6640625" customWidth="1"/>
    <col min="4" max="4" width="11" customWidth="1"/>
    <col min="5" max="5" width="12.109375" customWidth="1"/>
    <col min="6" max="6" width="14.33203125" customWidth="1"/>
    <col min="7" max="7" width="11.109375" customWidth="1"/>
    <col min="8" max="8" width="13" customWidth="1"/>
    <col min="9" max="9" width="12.6640625" customWidth="1"/>
    <col min="10" max="10" width="11.44140625" customWidth="1"/>
    <col min="11" max="11" width="11.6640625" customWidth="1"/>
    <col min="12" max="12" width="10.77734375" customWidth="1"/>
    <col min="13" max="13" width="10.33203125" customWidth="1"/>
    <col min="14" max="14" width="12.33203125" customWidth="1"/>
    <col min="15" max="16" width="9.44140625" bestFit="1" customWidth="1"/>
    <col min="17" max="17" width="12.44140625" bestFit="1" customWidth="1"/>
    <col min="18" max="18" width="14.4414062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4414062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Page'!A124</f>
        <v>0.05</v>
      </c>
      <c r="C5" s="201">
        <f>'Main Page'!B124</f>
        <v>2.6729794259588524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2514.2728793945694</v>
      </c>
      <c r="J5" s="205">
        <f>'Main Page'!I124</f>
        <v>25915847780.81815</v>
      </c>
      <c r="K5" s="205">
        <f>'Main Page'!J124</f>
        <v>25915847780.81815</v>
      </c>
      <c r="L5" s="205">
        <f>'Main Page'!K124</f>
        <v>28944438488.483387</v>
      </c>
      <c r="M5" s="205">
        <f>'Main Page'!L124</f>
        <v>8966505090.0080204</v>
      </c>
      <c r="N5" s="206">
        <f>'Main Page'!M124</f>
        <v>4490.9882032550131</v>
      </c>
    </row>
    <row r="6" spans="2:21">
      <c r="B6" s="207">
        <f>'Main Page'!A125</f>
        <v>7.0000000000000007E-2</v>
      </c>
      <c r="C6" s="208">
        <f>'Main Page'!B125</f>
        <v>2.6729794259588524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378.46476436784059</v>
      </c>
      <c r="J6" s="211">
        <f>'Main Page'!I125</f>
        <v>4995749732.6391211</v>
      </c>
      <c r="K6" s="211">
        <f>'Main Page'!J125</f>
        <v>4995749732.6391211</v>
      </c>
      <c r="L6" s="211">
        <f>'Main Page'!K125</f>
        <v>5635228554.6241884</v>
      </c>
      <c r="M6" s="211">
        <f>'Main Page'!L125</f>
        <v>1745703465.4624267</v>
      </c>
      <c r="N6" s="212">
        <f>'Main Page'!M125</f>
        <v>676.01285685941104</v>
      </c>
    </row>
    <row r="7" spans="2:21">
      <c r="B7" s="197">
        <f>'Main Page'!A126</f>
        <v>0.25</v>
      </c>
      <c r="C7" s="208">
        <f>'Main Page'!B126</f>
        <v>3.9601219202438407</v>
      </c>
      <c r="D7" s="209">
        <f>'Main Page'!C126</f>
        <v>0.33</v>
      </c>
      <c r="E7" s="209">
        <f>'Main Page'!D126</f>
        <v>4.2105075887228658</v>
      </c>
      <c r="F7" s="203">
        <f>'Main Page'!E126</f>
        <v>0.34</v>
      </c>
      <c r="G7" s="208">
        <f>'Main Page'!F126</f>
        <v>0.40616627838474717</v>
      </c>
      <c r="H7" s="208">
        <f>'Main Page'!G126</f>
        <v>0.32779911806110856</v>
      </c>
      <c r="I7" s="210">
        <f>'Main Page'!H126</f>
        <v>405.46483412508888</v>
      </c>
      <c r="J7" s="211">
        <f>'Main Page'!I126</f>
        <v>1456208344.9209256</v>
      </c>
      <c r="K7" s="211">
        <f>'Main Page'!J126</f>
        <v>3906180885.0486031</v>
      </c>
      <c r="L7" s="198">
        <f>'Main Page'!K126</f>
        <v>5337777876.7804203</v>
      </c>
      <c r="M7" s="198">
        <f>'Main Page'!L126</f>
        <v>63313292.734555714</v>
      </c>
      <c r="N7" s="213">
        <f>'Main Page'!M126</f>
        <v>354.86371029702843</v>
      </c>
    </row>
    <row r="8" spans="2:21">
      <c r="B8" s="197">
        <f>'Main Page'!A127</f>
        <v>0.5</v>
      </c>
      <c r="C8" s="208">
        <f>'Main Page'!B127</f>
        <v>3.0363220726441456</v>
      </c>
      <c r="D8" s="214">
        <f>'Main Page'!C127</f>
        <v>0.24</v>
      </c>
      <c r="E8" s="209">
        <f>'Main Page'!D127</f>
        <v>8.8087131153173708</v>
      </c>
      <c r="F8" s="203">
        <f>'Main Page'!E127</f>
        <v>0.31</v>
      </c>
      <c r="G8" s="208">
        <f>'Main Page'!F127</f>
        <v>0.37631882650896054</v>
      </c>
      <c r="H8" s="208">
        <f>'Main Page'!G127</f>
        <v>0.32332040963124214</v>
      </c>
      <c r="I8" s="210">
        <f>'Main Page'!H127</f>
        <v>319.61717485509803</v>
      </c>
      <c r="J8" s="211">
        <f>'Main Page'!I127</f>
        <v>362359217.52206236</v>
      </c>
      <c r="K8" s="211">
        <f>'Main Page'!J127</f>
        <v>988006806.05798388</v>
      </c>
      <c r="L8" s="198">
        <f>'Main Page'!K127</f>
        <v>4226064069.1209292</v>
      </c>
      <c r="M8" s="198">
        <f>'Main Page'!L127</f>
        <v>25481782.397363089</v>
      </c>
      <c r="N8" s="213">
        <f>'Main Page'!M127</f>
        <v>117.08485674451724</v>
      </c>
    </row>
    <row r="9" spans="2:21">
      <c r="B9" s="197">
        <f>'Main Page'!A128</f>
        <v>0.75</v>
      </c>
      <c r="C9" s="208">
        <f>'Main Page'!B128</f>
        <v>2.1125222250444504</v>
      </c>
      <c r="D9" s="214">
        <f>'Main Page'!C128</f>
        <v>0.21</v>
      </c>
      <c r="E9" s="209">
        <f>'Main Page'!D128</f>
        <v>8.3824243344618559</v>
      </c>
      <c r="F9" s="203">
        <f>'Main Page'!E128</f>
        <v>0.28000000000000003</v>
      </c>
      <c r="G9" s="208">
        <f>'Main Page'!F128</f>
        <v>0.38906004871333283</v>
      </c>
      <c r="H9" s="208">
        <f>'Main Page'!G128</f>
        <v>0.32617688943581796</v>
      </c>
      <c r="I9" s="210">
        <f>'Main Page'!H128</f>
        <v>139.35911643347461</v>
      </c>
      <c r="J9" s="211">
        <f>'Main Page'!I128</f>
        <v>55876712.03553623</v>
      </c>
      <c r="K9" s="211">
        <f>'Main Page'!J128</f>
        <v>242833001.70445472</v>
      </c>
      <c r="L9" s="198">
        <f>'Main Page'!K128</f>
        <v>1782574562.629951</v>
      </c>
      <c r="M9" s="198">
        <f>'Main Page'!L128</f>
        <v>5108455.3661101973</v>
      </c>
      <c r="N9" s="213">
        <f>'Main Page'!M128</f>
        <v>25.985344618591107</v>
      </c>
    </row>
    <row r="10" spans="2:21">
      <c r="B10" s="215">
        <f>'Main Page'!A129</f>
        <v>1</v>
      </c>
      <c r="C10" s="216">
        <f>'Main Page'!B129</f>
        <v>1.2811785623571248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16.681593270259139</v>
      </c>
      <c r="J10" s="219">
        <f>'Main Page'!I129</f>
        <v>691951.30059363274</v>
      </c>
      <c r="K10" s="219">
        <f>'Main Page'!J129</f>
        <v>23689722.908686247</v>
      </c>
      <c r="L10" s="220">
        <f>'Main Page'!K129</f>
        <v>175855044.44087556</v>
      </c>
      <c r="M10" s="220">
        <f>'Main Page'!L129</f>
        <v>543766.85724921024</v>
      </c>
      <c r="N10" s="221">
        <f>'Main Page'!M129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Page'!B56/2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Page'!C$131/('Main Page'!C$131+1)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Page'!B136-'Main Page'!B$141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Page'!D136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Page'!C$131/('Main Page'!C$131+1)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Page'!B137-'Main Page'!B$141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Page'!D137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Page'!C$131/('Main Page'!C$131+1)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Page'!B138-'Main Page'!B$141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Page'!D138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Page'!C$131/('Main Page'!C$131+1)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Page'!B139-'Main Page'!B$141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Page'!C$131/('Main Page'!C$131+1)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Page'!B140-'Main Page'!B$141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Page'!D140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Page'!C$131/('Main Page'!C$131+1)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Page'!B141-'Main Page'!B$141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Page'!D141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381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2016-05-16T13:40:57Z</dcterms:modified>
</cp:coreProperties>
</file>