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wlteth003_myuct_ac_za/Documents/UCT/3rd Year/CSC3002F/Practicals/OS 2 Prac/SUBMIT/output/"/>
    </mc:Choice>
  </mc:AlternateContent>
  <xr:revisionPtr revIDLastSave="526" documentId="8_{93A35FC1-BED6-4254-AD81-EB23681497C4}" xr6:coauthVersionLast="47" xr6:coauthVersionMax="47" xr10:uidLastSave="{5AE11852-1357-4DFD-B63B-E94AE4FE372A}"/>
  <bookViews>
    <workbookView xWindow="-120" yWindow="-120" windowWidth="29040" windowHeight="15720" firstSheet="1" activeTab="3" xr2:uid="{870D199F-FF0A-4AE6-8492-85320BB52FAE}"/>
  </bookViews>
  <sheets>
    <sheet name="average_metrics (20 patrons) (4" sheetId="2" r:id="rId1"/>
    <sheet name="average_metrics (50 patrons) (4" sheetId="3" r:id="rId2"/>
    <sheet name="average_metrics (100 patrons) (" sheetId="4" r:id="rId3"/>
    <sheet name="Overview" sheetId="1" r:id="rId4"/>
  </sheets>
  <definedNames>
    <definedName name="ExternalData_1" localSheetId="2" hidden="1">'average_metrics (100 patrons) ('!$A$1:$B$12</definedName>
    <definedName name="ExternalData_1" localSheetId="0" hidden="1">'average_metrics (20 patrons) (4'!$A$1:$B$12</definedName>
    <definedName name="ExternalData_1" localSheetId="1" hidden="1">'average_metrics (50 patrons) (4'!$A$1:$B$12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N42" i="1"/>
  <c r="N41" i="1"/>
  <c r="N38" i="1"/>
  <c r="N37" i="1"/>
  <c r="N36" i="1"/>
  <c r="M26" i="1"/>
  <c r="H26" i="1"/>
  <c r="C26" i="1"/>
  <c r="C25" i="1"/>
  <c r="H25" i="1"/>
  <c r="M25" i="1"/>
  <c r="N23" i="1"/>
  <c r="N22" i="1"/>
  <c r="N21" i="1"/>
  <c r="N20" i="1"/>
  <c r="N19" i="1"/>
  <c r="N15" i="1"/>
  <c r="N14" i="1"/>
  <c r="N13" i="1"/>
  <c r="N12" i="1"/>
  <c r="N11" i="1"/>
  <c r="N7" i="1"/>
  <c r="N6" i="1"/>
  <c r="N5" i="1"/>
  <c r="N4" i="1"/>
  <c r="N3" i="1"/>
  <c r="I23" i="1"/>
  <c r="I22" i="1"/>
  <c r="I21" i="1"/>
  <c r="I20" i="1"/>
  <c r="I19" i="1"/>
  <c r="I15" i="1"/>
  <c r="I14" i="1"/>
  <c r="I13" i="1"/>
  <c r="I12" i="1"/>
  <c r="I11" i="1"/>
  <c r="I7" i="1"/>
  <c r="I6" i="1"/>
  <c r="I5" i="1"/>
  <c r="I4" i="1"/>
  <c r="I3" i="1"/>
  <c r="D23" i="1"/>
  <c r="D22" i="1"/>
  <c r="D21" i="1"/>
  <c r="D20" i="1"/>
  <c r="D19" i="1"/>
  <c r="D15" i="1"/>
  <c r="D14" i="1"/>
  <c r="D13" i="1"/>
  <c r="D12" i="1"/>
  <c r="D11" i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25FF8-0DDE-43A2-B2F9-CEBE45E3C029}" keepAlive="1" name="Query - average_metrics (100 patrons)" description="Connection to the 'average_metrics (100 patrons)' query in the workbook." type="5" refreshedVersion="0" background="1" saveData="1">
    <dbPr connection="Provider=Microsoft.Mashup.OleDb.1;Data Source=$Workbook$;Location=&quot;average_metrics (100 patrons)&quot;;Extended Properties=&quot;&quot;" command="SELECT * FROM [average_metrics (100 patrons)]"/>
  </connection>
  <connection id="2" xr16:uid="{78F4012D-27BB-4B14-825A-DCC8105034D7}" keepAlive="1" name="Query - average_metrics (100 patrons) (2)" description="Connection to the 'average_metrics (100 patrons) (2)' query in the workbook." type="5" refreshedVersion="0" background="1" saveData="1">
    <dbPr connection="Provider=Microsoft.Mashup.OleDb.1;Data Source=$Workbook$;Location=&quot;average_metrics (100 patrons) (2)&quot;;Extended Properties=&quot;&quot;" command="SELECT * FROM [average_metrics (100 patrons) (2)]"/>
  </connection>
  <connection id="3" xr16:uid="{CA023420-D8ED-47C7-A6CE-93B81E464448}" keepAlive="1" name="Query - average_metrics (100 patrons) (3)" description="Connection to the 'average_metrics (100 patrons) (3)' query in the workbook." type="5" refreshedVersion="0" background="1" saveData="1">
    <dbPr connection="Provider=Microsoft.Mashup.OleDb.1;Data Source=$Workbook$;Location=&quot;average_metrics (100 patrons) (3)&quot;;Extended Properties=&quot;&quot;" command="SELECT * FROM [average_metrics (100 patrons) (3)]"/>
  </connection>
  <connection id="4" xr16:uid="{4742D3F0-3A88-4BB6-996C-9503F3470B42}" keepAlive="1" name="Query - average_metrics (100 patrons) (4)" description="Connection to the 'average_metrics (100 patrons) (4)' query in the workbook." type="5" refreshedVersion="8" background="1" saveData="1">
    <dbPr connection="Provider=Microsoft.Mashup.OleDb.1;Data Source=$Workbook$;Location=&quot;average_metrics (100 patrons) (4)&quot;;Extended Properties=&quot;&quot;" command="SELECT * FROM [average_metrics (100 patrons) (4)]"/>
  </connection>
  <connection id="5" xr16:uid="{28EF9694-B6B7-4B1D-88D6-2E848D298B56}" keepAlive="1" name="Query - average_metrics (20 patrons)" description="Connection to the 'average_metrics (20 patrons)' query in the workbook." type="5" refreshedVersion="0" background="1">
    <dbPr connection="Provider=Microsoft.Mashup.OleDb.1;Data Source=$Workbook$;Location=&quot;average_metrics (20 patrons)&quot;;Extended Properties=&quot;&quot;" command="SELECT * FROM [average_metrics (20 patrons)]"/>
  </connection>
  <connection id="6" xr16:uid="{10E126D7-0FFC-4967-9ABC-EC164B2299A2}" keepAlive="1" name="Query - average_metrics (20 patrons) (2)" description="Connection to the 'average_metrics (20 patrons) (2)' query in the workbook." type="5" refreshedVersion="0" background="1" saveData="1">
    <dbPr connection="Provider=Microsoft.Mashup.OleDb.1;Data Source=$Workbook$;Location=&quot;average_metrics (20 patrons) (2)&quot;;Extended Properties=&quot;&quot;" command="SELECT * FROM [average_metrics (20 patrons) (2)]"/>
  </connection>
  <connection id="7" xr16:uid="{BC5137AA-3796-4BAA-98C6-6FFD64A45055}" keepAlive="1" name="Query - average_metrics (20 patrons) (3)" description="Connection to the 'average_metrics (20 patrons) (3)' query in the workbook." type="5" refreshedVersion="0" background="1" saveData="1">
    <dbPr connection="Provider=Microsoft.Mashup.OleDb.1;Data Source=$Workbook$;Location=&quot;average_metrics (20 patrons) (3)&quot;;Extended Properties=&quot;&quot;" command="SELECT * FROM [average_metrics (20 patrons) (3)]"/>
  </connection>
  <connection id="8" xr16:uid="{9B82B868-0C63-44E7-BB60-ABB6F09AAB49}" keepAlive="1" name="Query - average_metrics (20 patrons) (4)" description="Connection to the 'average_metrics (20 patrons) (4)' query in the workbook." type="5" refreshedVersion="8" background="1" saveData="1">
    <dbPr connection="Provider=Microsoft.Mashup.OleDb.1;Data Source=$Workbook$;Location=&quot;average_metrics (20 patrons) (4)&quot;;Extended Properties=&quot;&quot;" command="SELECT * FROM [average_metrics (20 patrons) (4)]"/>
  </connection>
  <connection id="9" xr16:uid="{458E9D7F-7B4E-4D49-BE8A-B360CCBF755F}" keepAlive="1" name="Query - average_metrics (50 patrons)" description="Connection to the 'average_metrics (50 patrons)' query in the workbook." type="5" refreshedVersion="0" background="1" saveData="1">
    <dbPr connection="Provider=Microsoft.Mashup.OleDb.1;Data Source=$Workbook$;Location=&quot;average_metrics (50 patrons)&quot;;Extended Properties=&quot;&quot;" command="SELECT * FROM [average_metrics (50 patrons)]"/>
  </connection>
  <connection id="10" xr16:uid="{B3211514-64A1-4CF0-B1C4-2FA890BC47A9}" keepAlive="1" name="Query - average_metrics (50 patrons) (2)" description="Connection to the 'average_metrics (50 patrons) (2)' query in the workbook." type="5" refreshedVersion="0" background="1" saveData="1">
    <dbPr connection="Provider=Microsoft.Mashup.OleDb.1;Data Source=$Workbook$;Location=&quot;average_metrics (50 patrons) (2)&quot;;Extended Properties=&quot;&quot;" command="SELECT * FROM [average_metrics (50 patrons) (2)]"/>
  </connection>
  <connection id="11" xr16:uid="{EB3A1931-F029-4F1E-B9EE-002AA36F8A8F}" keepAlive="1" name="Query - average_metrics (50 patrons) (3)" description="Connection to the 'average_metrics (50 patrons) (3)' query in the workbook." type="5" refreshedVersion="0" background="1" saveData="1">
    <dbPr connection="Provider=Microsoft.Mashup.OleDb.1;Data Source=$Workbook$;Location=&quot;average_metrics (50 patrons) (3)&quot;;Extended Properties=&quot;&quot;" command="SELECT * FROM [average_metrics (50 patrons) (3)]"/>
  </connection>
  <connection id="12" xr16:uid="{25F0295F-FF21-481F-BCBC-D716AB7859C3}" keepAlive="1" name="Query - average_metrics (50 patrons) (4)" description="Connection to the 'average_metrics (50 patrons) (4)' query in the workbook." type="5" refreshedVersion="8" background="1" saveData="1">
    <dbPr connection="Provider=Microsoft.Mashup.OleDb.1;Data Source=$Workbook$;Location=&quot;average_metrics (50 patrons) (4)&quot;;Extended Properties=&quot;&quot;" command="SELECT * FROM [average_metrics (50 patrons) (4)]"/>
  </connection>
</connections>
</file>

<file path=xl/sharedStrings.xml><?xml version="1.0" encoding="utf-8"?>
<sst xmlns="http://schemas.openxmlformats.org/spreadsheetml/2006/main" count="148" uniqueCount="25">
  <si>
    <t>FCFS</t>
  </si>
  <si>
    <t>(20 Patrons)</t>
  </si>
  <si>
    <t>Metric</t>
  </si>
  <si>
    <t>Value</t>
  </si>
  <si>
    <t>(50 Patrons)</t>
  </si>
  <si>
    <t>(100 Patrons)</t>
  </si>
  <si>
    <t>SJF</t>
  </si>
  <si>
    <t>RR</t>
  </si>
  <si>
    <t>AvgTotalTime</t>
  </si>
  <si>
    <t>AvgThroughput</t>
  </si>
  <si>
    <t>AvgTurnaroundTime</t>
  </si>
  <si>
    <t>AvgWaitTime</t>
  </si>
  <si>
    <t>AvgResponseTime</t>
  </si>
  <si>
    <t>Predictability</t>
  </si>
  <si>
    <t>Throughput</t>
  </si>
  <si>
    <t>Average Throughput:</t>
  </si>
  <si>
    <t>Column1</t>
  </si>
  <si>
    <t>Column2</t>
  </si>
  <si>
    <t>Predictability_TotalTime</t>
  </si>
  <si>
    <t>Predictability_Throughput</t>
  </si>
  <si>
    <t>Predictability_TurnaroundTime</t>
  </si>
  <si>
    <t>Predictability_WaitTime</t>
  </si>
  <si>
    <t>Predictability_ResponseTime</t>
  </si>
  <si>
    <t>Average Predictability: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</si>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</sst>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0" fontId="0" fillId="3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0" fontId="4" fillId="5" borderId="0" xfId="0" applyNumberFormat="1" applyFont="1" applyFill="1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4" borderId="0" xfId="0" applyNumberFormat="1" applyFill="1" applyAlignment="1">
      <alignment horizontal="right"/>
    </xf>
    <xf numFmtId="10" fontId="0" fillId="4" borderId="0" xfId="0" applyNumberFormat="1" applyFill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Scheduling Algorithm Metrics</a:t>
            </a:r>
            <a:br>
              <a:rPr lang="en-ZA"/>
            </a:br>
            <a:r>
              <a:rPr lang="en-ZA"/>
              <a:t>(over 135 total simulations)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Overview!$B$21</c:f>
              <c:strCache>
                <c:ptCount val="1"/>
                <c:pt idx="0">
                  <c:v>AvgTurnaroundTime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(Overview!$C$21,Overview!$G$21:$H$21,Overview!$L$21:$M$21)</c15:sqref>
                  </c15:fullRef>
                </c:ext>
              </c:extLst>
              <c:f>(Overview!$C$21,Overview!$H$21,Overview!$M$21)</c:f>
              <c:numCache>
                <c:formatCode>General</c:formatCode>
                <c:ptCount val="3"/>
                <c:pt idx="0" formatCode="0">
                  <c:v>15800.476000000001</c:v>
                </c:pt>
                <c:pt idx="1" formatCode="0">
                  <c:v>13215.5973333333</c:v>
                </c:pt>
                <c:pt idx="2" formatCode="0">
                  <c:v>20404.741999999998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D-4853-86DC-E63A1D22D028}"/>
            </c:ext>
          </c:extLst>
        </c:ser>
        <c:ser>
          <c:idx val="3"/>
          <c:order val="3"/>
          <c:tx>
            <c:strRef>
              <c:f>Overview!$B$22</c:f>
              <c:strCache>
                <c:ptCount val="1"/>
                <c:pt idx="0">
                  <c:v>AvgWaitTime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(Overview!$C$22,Overview!$G$22:$H$22,Overview!$L$22:$M$22)</c15:sqref>
                  </c15:fullRef>
                </c:ext>
              </c:extLst>
              <c:f>(Overview!$C$22,Overview!$H$22,Overview!$M$22)</c:f>
              <c:numCache>
                <c:formatCode>General</c:formatCode>
                <c:ptCount val="3"/>
                <c:pt idx="0" formatCode="0">
                  <c:v>15394.9026666666</c:v>
                </c:pt>
                <c:pt idx="1" formatCode="0">
                  <c:v>12808.163999999901</c:v>
                </c:pt>
                <c:pt idx="2" formatCode="0">
                  <c:v>20222.939999999999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D-4853-86DC-E63A1D22D028}"/>
            </c:ext>
          </c:extLst>
        </c:ser>
        <c:ser>
          <c:idx val="4"/>
          <c:order val="4"/>
          <c:tx>
            <c:strRef>
              <c:f>Overview!$B$23</c:f>
              <c:strCache>
                <c:ptCount val="1"/>
                <c:pt idx="0">
                  <c:v>AvgResponseTime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(Overview!$C$23,Overview!$G$23:$H$23,Overview!$L$23:$M$23)</c15:sqref>
                  </c15:fullRef>
                </c:ext>
              </c:extLst>
              <c:f>(Overview!$C$23,Overview!$H$23,Overview!$M$23)</c:f>
              <c:numCache>
                <c:formatCode>General</c:formatCode>
                <c:ptCount val="3"/>
                <c:pt idx="0" formatCode="0">
                  <c:v>15527.305333333299</c:v>
                </c:pt>
                <c:pt idx="1" formatCode="0">
                  <c:v>5938.0233333333299</c:v>
                </c:pt>
                <c:pt idx="2" formatCode="0">
                  <c:v>13450.585999999999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D-4853-86DC-E63A1D22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05112351"/>
        <c:axId val="210511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Overview!$B$19</c15:sqref>
                        </c15:formulaRef>
                      </c:ext>
                    </c:extLst>
                    <c:strCache>
                      <c:ptCount val="1"/>
                      <c:pt idx="0">
                        <c:v>AvgTotalTime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(Overview!$C$19,Overview!$G$19:$H$19,Overview!$L$19:$M$19)</c15:sqref>
                        </c15:fullRef>
                        <c15:formulaRef>
                          <c15:sqref>(Overview!$C$19,Overview!$H$19,Overview!$M$19)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">
                        <c:v>40789</c:v>
                      </c:pt>
                      <c:pt idx="1" formatCode="0">
                        <c:v>40984.800000000003</c:v>
                      </c:pt>
                      <c:pt idx="2" formatCode="0">
                        <c:v>41033.0666666666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0D-4853-86DC-E63A1D22D0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Overview!$B$20</c15:sqref>
                        </c15:formulaRef>
                      </c:ext>
                    </c:extLst>
                    <c:strCache>
                      <c:ptCount val="1"/>
                      <c:pt idx="0">
                        <c:v>AvgThroughput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(Overview!$C$20,Overview!$G$20:$H$20,Overview!$L$20:$M$20)</c15:sqref>
                        </c15:fullRef>
                        <c15:formulaRef>
                          <c15:sqref>(Overview!$C$20,Overview!$H$20,Overview!$M$20)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00">
                        <c:v>2.4701134466666602E-3</c:v>
                      </c:pt>
                      <c:pt idx="1" formatCode="0.00000">
                        <c:v>2.4572711333333301E-3</c:v>
                      </c:pt>
                      <c:pt idx="2" formatCode="0.00000">
                        <c:v>2.45466532E-3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0D-4853-86DC-E63A1D22D028}"/>
                  </c:ext>
                </c:extLst>
              </c15:ser>
            </c15:filteredBarSeries>
          </c:ext>
        </c:extLst>
      </c:barChart>
      <c:catAx>
        <c:axId val="210511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2831"/>
        <c:crosses val="autoZero"/>
        <c:auto val="1"/>
        <c:lblAlgn val="ctr"/>
        <c:lblOffset val="100"/>
        <c:noMultiLvlLbl val="0"/>
      </c:catAx>
      <c:valAx>
        <c:axId val="21051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23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Throughput (patrons/sec)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Overview!$N$35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Overview!$M$36:$M$38</c:f>
              <c:strCache>
                <c:ptCount val="3"/>
                <c:pt idx="0">
                  <c:v>FCFS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Overview!$N$36:$N$38</c:f>
              <c:numCache>
                <c:formatCode>0.00</c:formatCode>
                <c:ptCount val="3"/>
                <c:pt idx="0">
                  <c:v>2.4863731622222165</c:v>
                </c:pt>
                <c:pt idx="1">
                  <c:v>2.4998515199999933</c:v>
                </c:pt>
                <c:pt idx="2">
                  <c:v>2.5154901444444433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E-49C0-B82F-DB77297A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375520"/>
        <c:axId val="2057377920"/>
      </c:barChart>
      <c:catAx>
        <c:axId val="2057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77920"/>
        <c:crosses val="autoZero"/>
        <c:auto val="1"/>
        <c:lblAlgn val="ctr"/>
        <c:lblOffset val="100"/>
        <c:noMultiLvlLbl val="0"/>
      </c:catAx>
      <c:valAx>
        <c:axId val="2057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Predictability</a:t>
            </a:r>
            <a:r>
              <a:rPr lang="en-US" baseline="0"/>
              <a:t> (</a:t>
            </a:r>
            <a:r>
              <a:rPr lang="en-US"/>
              <a:t>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Overview!$N$40</c:f>
              <c:strCache>
                <c:ptCount val="1"/>
                <c:pt idx="0">
                  <c:v>Predictability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Overview!$M$41:$M$43</c:f>
              <c:strCache>
                <c:ptCount val="3"/>
                <c:pt idx="0">
                  <c:v>FCFS</c:v>
                </c:pt>
                <c:pt idx="1">
                  <c:v>SJF</c:v>
                </c:pt>
                <c:pt idx="2">
                  <c:v>RR</c:v>
                </c:pt>
              </c:strCache>
            </c:strRef>
          </c:cat>
          <c:val>
            <c:numRef>
              <c:f>Overview!$N$41:$N$43</c:f>
              <c:numCache>
                <c:formatCode>0.00</c:formatCode>
                <c:ptCount val="3"/>
                <c:pt idx="0">
                  <c:v>16.594536689144952</c:v>
                </c:pt>
                <c:pt idx="1">
                  <c:v>17.887201116813916</c:v>
                </c:pt>
                <c:pt idx="2">
                  <c:v>18.22823301458298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AF9-9C18-9BD990E5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001072"/>
        <c:axId val="2051004432"/>
      </c:barChart>
      <c:catAx>
        <c:axId val="20510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04432"/>
        <c:crosses val="autoZero"/>
        <c:auto val="1"/>
        <c:lblAlgn val="ctr"/>
        <c:lblOffset val="100"/>
        <c:noMultiLvlLbl val="0"/>
      </c:catAx>
      <c:valAx>
        <c:axId val="20510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Co-efficient of Variation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28</xdr:row>
      <xdr:rowOff>33336</xdr:rowOff>
    </xdr:from>
    <xdr:to>
      <xdr:col>11</xdr:col>
      <xdr:colOff>533400</xdr:colOff>
      <xdr:row>47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03A2B-0E1D-3B68-0DE9-3D338B933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388452</xdr:colOff>
      <xdr:row>44</xdr:row>
      <xdr:rowOff>59868</xdr:rowOff>
    </xdr:from>
    <xdr:ext cx="480392" cy="2210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AC14289-0130-DD7C-B69C-36BC48BC1EF3}"/>
            </a:ext>
          </a:extLst>
        </xdr:cNvPr>
        <xdr:cNvSpPr txBox="1"/>
      </xdr:nvSpPr>
      <xdr:spPr>
        <a:xfrm>
          <a:off x="6208227" y="8927643"/>
          <a:ext cx="480392" cy="22100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ZA" sz="1100"/>
            <a:t>SJF</a:t>
          </a:r>
        </a:p>
      </xdr:txBody>
    </xdr:sp>
    <xdr:clientData/>
  </xdr:oneCellAnchor>
  <xdr:oneCellAnchor>
    <xdr:from>
      <xdr:col>8</xdr:col>
      <xdr:colOff>1250117</xdr:colOff>
      <xdr:row>44</xdr:row>
      <xdr:rowOff>59868</xdr:rowOff>
    </xdr:from>
    <xdr:ext cx="48039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BB8E9E3-03E6-B6FD-AC03-51D0D470463A}"/>
            </a:ext>
          </a:extLst>
        </xdr:cNvPr>
        <xdr:cNvSpPr txBox="1"/>
      </xdr:nvSpPr>
      <xdr:spPr>
        <a:xfrm>
          <a:off x="7946192" y="8927643"/>
          <a:ext cx="48039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1100"/>
            <a:t>RR</a:t>
          </a:r>
        </a:p>
      </xdr:txBody>
    </xdr:sp>
    <xdr:clientData/>
  </xdr:oneCellAnchor>
  <xdr:oneCellAnchor>
    <xdr:from>
      <xdr:col>6</xdr:col>
      <xdr:colOff>75184</xdr:colOff>
      <xdr:row>44</xdr:row>
      <xdr:rowOff>61253</xdr:rowOff>
    </xdr:from>
    <xdr:ext cx="48039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49AB8C-10A5-A859-9B32-3F83DCCBCD6A}"/>
            </a:ext>
          </a:extLst>
        </xdr:cNvPr>
        <xdr:cNvSpPr txBox="1"/>
      </xdr:nvSpPr>
      <xdr:spPr>
        <a:xfrm>
          <a:off x="4418584" y="8929028"/>
          <a:ext cx="48039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1100"/>
            <a:t>FCFS</a:t>
          </a:r>
        </a:p>
      </xdr:txBody>
    </xdr:sp>
    <xdr:clientData/>
  </xdr:oneCellAnchor>
  <xdr:twoCellAnchor>
    <xdr:from>
      <xdr:col>3</xdr:col>
      <xdr:colOff>542925</xdr:colOff>
      <xdr:row>48</xdr:row>
      <xdr:rowOff>80961</xdr:rowOff>
    </xdr:from>
    <xdr:to>
      <xdr:col>11</xdr:col>
      <xdr:colOff>533400</xdr:colOff>
      <xdr:row>67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FC344-B595-F1A8-7916-2971E94C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538161</xdr:colOff>
      <xdr:row>68</xdr:row>
      <xdr:rowOff>61912</xdr:rowOff>
    </xdr:from>
    <xdr:to>
      <xdr:col>11</xdr:col>
      <xdr:colOff>552449</xdr:colOff>
      <xdr:row>86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F0995-83C7-C114-275D-FE7E3439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72B79F-B52B-4FF9-94D1-D5CE715DB6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7A3F809E-49DB-4A2F-86E8-014E04061F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30F508-28E2-473B-9205-1BC04EF8F5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45CE5-D2F0-4E8C-8836-22D1C72FD6B7}" name="average_metrics__20_patrons___4" displayName="average_metrics__20_patrons___4" ref="A1:B12" tableType="queryTable" totalsRowShown="0">
  <autoFilter ref="A1:B12" xr:uid="{43345CE5-D2F0-4E8C-8836-22D1C72FD6B7}"/>
  <tableColumns count="2">
    <tableColumn id="1" xr3:uid="{7CE6BB1A-39C1-46FC-BF3A-93D083D0463D}" uniqueName="1" name="Column1" queryTableFieldId="1" dataDxfId="18"/>
    <tableColumn id="2" xr3:uid="{A59DA8CE-EB3B-460D-B248-1BE23AF4F7E1}" uniqueName="2" name="Column2" queryTableFieldId="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1881F-9923-4640-A3C8-D6F38E1151CF}" name="average_metrics__50_patrons___4" displayName="average_metrics__50_patrons___4" ref="A1:B12" tableType="queryTable" totalsRowShown="0">
  <autoFilter ref="A1:B12" xr:uid="{6811881F-9923-4640-A3C8-D6F38E1151CF}"/>
  <tableColumns count="2">
    <tableColumn id="1" xr3:uid="{AE8360F2-A6F8-49EB-BCCD-AB08ADFCB18B}" uniqueName="1" name="Column1" queryTableFieldId="1" dataDxfId="16"/>
    <tableColumn id="2" xr3:uid="{E61EF6EA-6F20-493F-A7AD-5B0DA2F79539}" uniqueName="2" name="Column2" queryTableFieldId="2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4F3F29-19D1-4B46-9B8A-A09C13ADA483}" name="average_metrics__100_patrons___4" displayName="average_metrics__100_patrons___4" ref="A1:B12" tableType="queryTable" totalsRowShown="0">
  <autoFilter ref="A1:B12" xr:uid="{D84F3F29-19D1-4B46-9B8A-A09C13ADA483}"/>
  <tableColumns count="2">
    <tableColumn id="1" xr3:uid="{31FEC3ED-1DF4-4EDF-AEFC-6A316A157699}" uniqueName="1" name="Column1" queryTableFieldId="1" dataDxfId="14"/>
    <tableColumn id="2" xr3:uid="{8D8A9B87-AFE9-4222-A763-9EC24EA054DD}" uniqueName="2" name="Column2" queryTableFieldId="2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E6E9-89AF-4D57-93AD-894AD3C3E1D1}">
  <dimension ref="A1:B12"/>
  <sheetViews>
    <sheetView workbookViewId="0">
      <selection activeCell="A3" sqref="A3:B12"/>
    </sheetView>
  </sheetViews>
  <sheetFormatPr defaultRowHeight="15" x14ac:dyDescent="0.25"/>
  <cols>
    <col min="1" max="1" width="28.7109375" bestFit="1" customWidth="1"/>
    <col min="2" max="2" width="22.710937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</v>
      </c>
      <c r="B2" t="s">
        <v>3</v>
      </c>
    </row>
    <row r="3" spans="1:2" x14ac:dyDescent="0.25">
      <c r="A3" t="s">
        <v>8</v>
      </c>
      <c r="B3">
        <v>7850.8666666666604</v>
      </c>
    </row>
    <row r="4" spans="1:2" x14ac:dyDescent="0.25">
      <c r="A4" t="s">
        <v>9</v>
      </c>
      <c r="B4">
        <v>2.62003646E-3</v>
      </c>
    </row>
    <row r="5" spans="1:2" x14ac:dyDescent="0.25">
      <c r="A5" t="s">
        <v>10</v>
      </c>
      <c r="B5">
        <v>3799.1699999999901</v>
      </c>
    </row>
    <row r="6" spans="1:2" x14ac:dyDescent="0.25">
      <c r="A6" t="s">
        <v>11</v>
      </c>
      <c r="B6">
        <v>3620.3133333333299</v>
      </c>
    </row>
    <row r="7" spans="1:2" x14ac:dyDescent="0.25">
      <c r="A7" t="s">
        <v>12</v>
      </c>
      <c r="B7">
        <v>2366.55666666666</v>
      </c>
    </row>
    <row r="8" spans="1:2" x14ac:dyDescent="0.25">
      <c r="A8" t="s">
        <v>18</v>
      </c>
      <c r="B8">
        <v>1868141.44888888</v>
      </c>
    </row>
    <row r="9" spans="1:2" x14ac:dyDescent="0.25">
      <c r="A9" t="s">
        <v>19</v>
      </c>
      <c r="B9" s="11">
        <v>1.7795545150997699E-7</v>
      </c>
    </row>
    <row r="10" spans="1:2" x14ac:dyDescent="0.25">
      <c r="A10" t="s">
        <v>20</v>
      </c>
      <c r="B10">
        <v>1822773.1272666601</v>
      </c>
    </row>
    <row r="11" spans="1:2" x14ac:dyDescent="0.25">
      <c r="A11" t="s">
        <v>21</v>
      </c>
      <c r="B11">
        <v>1790248.2734888799</v>
      </c>
    </row>
    <row r="12" spans="1:2" x14ac:dyDescent="0.25">
      <c r="A12" t="s">
        <v>22</v>
      </c>
      <c r="B12">
        <v>429421.73995555501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9D28-05D9-467A-A5C2-16CDD4B6F979}">
  <dimension ref="A1:B12"/>
  <sheetViews>
    <sheetView workbookViewId="0">
      <selection activeCell="B12" sqref="A3:B12"/>
    </sheetView>
  </sheetViews>
  <sheetFormatPr defaultRowHeight="15" x14ac:dyDescent="0.25"/>
  <cols>
    <col min="1" max="1" width="28.7109375" bestFit="1" customWidth="1"/>
    <col min="2" max="2" width="20.8554687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</v>
      </c>
      <c r="B2" t="s">
        <v>3</v>
      </c>
    </row>
    <row r="3" spans="1:2" x14ac:dyDescent="0.25">
      <c r="A3" t="s">
        <v>8</v>
      </c>
      <c r="B3">
        <v>20415.266666666601</v>
      </c>
    </row>
    <row r="4" spans="1:2" x14ac:dyDescent="0.25">
      <c r="A4" t="s">
        <v>9</v>
      </c>
      <c r="B4">
        <v>2.4717686533333302E-3</v>
      </c>
    </row>
    <row r="5" spans="1:2" x14ac:dyDescent="0.25">
      <c r="A5" t="s">
        <v>10</v>
      </c>
      <c r="B5">
        <v>10016.898666666601</v>
      </c>
    </row>
    <row r="6" spans="1:2" x14ac:dyDescent="0.25">
      <c r="A6" t="s">
        <v>11</v>
      </c>
      <c r="B6">
        <v>9840.3466666666609</v>
      </c>
    </row>
    <row r="7" spans="1:2" x14ac:dyDescent="0.25">
      <c r="A7" t="s">
        <v>12</v>
      </c>
      <c r="B7">
        <v>6766.0919999999996</v>
      </c>
    </row>
    <row r="8" spans="1:2" x14ac:dyDescent="0.25">
      <c r="A8" t="s">
        <v>18</v>
      </c>
      <c r="B8">
        <v>3538181.6622222201</v>
      </c>
    </row>
    <row r="9" spans="1:2" x14ac:dyDescent="0.25">
      <c r="A9" t="s">
        <v>19</v>
      </c>
      <c r="B9" s="11">
        <v>6.1340394478226496E-8</v>
      </c>
    </row>
    <row r="10" spans="1:2" x14ac:dyDescent="0.25">
      <c r="A10" t="s">
        <v>20</v>
      </c>
      <c r="B10">
        <v>3857606.2254115501</v>
      </c>
    </row>
    <row r="11" spans="1:2" x14ac:dyDescent="0.25">
      <c r="A11" t="s">
        <v>21</v>
      </c>
      <c r="B11">
        <v>3847205.2101688799</v>
      </c>
    </row>
    <row r="12" spans="1:2" x14ac:dyDescent="0.25">
      <c r="A12" t="s">
        <v>22</v>
      </c>
      <c r="B12">
        <v>1405168.28628266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549-D1C5-43B5-8517-7545C3AA7785}">
  <dimension ref="A1:B12"/>
  <sheetViews>
    <sheetView workbookViewId="0">
      <selection activeCell="A3" sqref="A3:B12"/>
    </sheetView>
  </sheetViews>
  <sheetFormatPr defaultRowHeight="15" x14ac:dyDescent="0.25"/>
  <cols>
    <col min="1" max="1" width="28.7109375" bestFit="1" customWidth="1"/>
    <col min="2" max="2" width="21.710937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</v>
      </c>
      <c r="B2" t="s">
        <v>3</v>
      </c>
    </row>
    <row r="3" spans="1:2" x14ac:dyDescent="0.25">
      <c r="A3" t="s">
        <v>8</v>
      </c>
      <c r="B3">
        <v>41033.0666666666</v>
      </c>
    </row>
    <row r="4" spans="1:2" x14ac:dyDescent="0.25">
      <c r="A4" t="s">
        <v>9</v>
      </c>
      <c r="B4">
        <v>2.45466532E-3</v>
      </c>
    </row>
    <row r="5" spans="1:2" x14ac:dyDescent="0.25">
      <c r="A5" t="s">
        <v>10</v>
      </c>
      <c r="B5">
        <v>20404.741999999998</v>
      </c>
    </row>
    <row r="6" spans="1:2" x14ac:dyDescent="0.25">
      <c r="A6" t="s">
        <v>11</v>
      </c>
      <c r="B6">
        <v>20222.939999999999</v>
      </c>
    </row>
    <row r="7" spans="1:2" x14ac:dyDescent="0.25">
      <c r="A7" t="s">
        <v>12</v>
      </c>
      <c r="B7">
        <v>13450.585999999999</v>
      </c>
    </row>
    <row r="8" spans="1:2" x14ac:dyDescent="0.25">
      <c r="A8" t="s">
        <v>18</v>
      </c>
      <c r="B8">
        <v>11884218.3288888</v>
      </c>
    </row>
    <row r="9" spans="1:2" x14ac:dyDescent="0.25">
      <c r="A9" t="s">
        <v>19</v>
      </c>
      <c r="B9" s="11">
        <v>4.4294850004122899E-8</v>
      </c>
    </row>
    <row r="10" spans="1:2" x14ac:dyDescent="0.25">
      <c r="A10" t="s">
        <v>20</v>
      </c>
      <c r="B10">
        <v>10881591.914576</v>
      </c>
    </row>
    <row r="11" spans="1:2" x14ac:dyDescent="0.25">
      <c r="A11" t="s">
        <v>21</v>
      </c>
      <c r="B11">
        <v>10825888.1028933</v>
      </c>
    </row>
    <row r="12" spans="1:2" x14ac:dyDescent="0.25">
      <c r="A12" t="s">
        <v>22</v>
      </c>
      <c r="B12">
        <v>3525134.4863439999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B1DA-7273-4E7D-AADD-F88BDF74F341}">
  <dimension ref="A1:S43"/>
  <sheetViews>
    <sheetView showGridLines="0" tabSelected="1" zoomScaleNormal="100" workbookViewId="0">
      <selection activeCell="S10" sqref="S10"/>
    </sheetView>
  </sheetViews>
  <sheetFormatPr defaultRowHeight="15" x14ac:dyDescent="0.25"/>
  <cols>
    <col min="1" max="1" width="2.28515625" style="3" customWidth="1"/>
    <col min="2" max="2" width="22.140625" style="3" customWidth="1"/>
    <col min="3" max="3" width="13.140625" style="3" customWidth="1"/>
    <col min="4" max="4" width="24" style="3" customWidth="1"/>
    <col min="5" max="5" width="2.140625" style="3" customWidth="1"/>
    <col min="6" max="6" width="1.42578125" style="3" customWidth="1"/>
    <col min="7" max="7" width="22.140625" style="3" customWidth="1"/>
    <col min="8" max="8" width="13.140625" style="3" customWidth="1"/>
    <col min="9" max="9" width="24" style="3" customWidth="1"/>
    <col min="10" max="10" width="2.28515625" style="3" customWidth="1"/>
    <col min="11" max="11" width="2.140625" style="3" customWidth="1"/>
    <col min="12" max="12" width="22.140625" style="3" customWidth="1"/>
    <col min="13" max="13" width="13.140625" style="3" customWidth="1"/>
    <col min="14" max="14" width="24" style="3" customWidth="1"/>
    <col min="15" max="15" width="6.7109375" style="3" customWidth="1"/>
    <col min="16" max="16" width="9.7109375" style="3" customWidth="1"/>
    <col min="17" max="17" width="6.85546875" style="3" customWidth="1"/>
    <col min="18" max="18" width="16.28515625" style="3" customWidth="1"/>
    <col min="19" max="19" width="18.28515625" style="3" customWidth="1"/>
    <col min="20" max="16384" width="9.140625" style="3"/>
  </cols>
  <sheetData>
    <row r="1" spans="1:19" s="7" customFormat="1" x14ac:dyDescent="0.25">
      <c r="A1" s="5"/>
      <c r="B1" s="5" t="s">
        <v>0</v>
      </c>
      <c r="C1" s="5" t="s">
        <v>1</v>
      </c>
      <c r="D1" s="5"/>
      <c r="E1" s="6"/>
      <c r="F1" s="5"/>
      <c r="G1" s="5" t="s">
        <v>6</v>
      </c>
      <c r="H1" s="5" t="s">
        <v>1</v>
      </c>
      <c r="I1" s="5"/>
      <c r="K1" s="5"/>
      <c r="L1" s="5" t="s">
        <v>7</v>
      </c>
      <c r="M1" s="5" t="s">
        <v>1</v>
      </c>
      <c r="N1" s="5"/>
      <c r="P1" s="6"/>
      <c r="Q1" s="6"/>
      <c r="R1" s="6"/>
      <c r="S1" s="6"/>
    </row>
    <row r="2" spans="1:19" x14ac:dyDescent="0.25">
      <c r="A2" s="2"/>
      <c r="B2" s="1" t="s">
        <v>2</v>
      </c>
      <c r="C2" s="1" t="s">
        <v>3</v>
      </c>
      <c r="D2" s="1" t="s">
        <v>13</v>
      </c>
      <c r="F2" s="2"/>
      <c r="G2" s="1" t="s">
        <v>2</v>
      </c>
      <c r="H2" s="1" t="s">
        <v>3</v>
      </c>
      <c r="I2" s="1" t="s">
        <v>13</v>
      </c>
      <c r="K2" s="2"/>
      <c r="L2" s="1" t="s">
        <v>2</v>
      </c>
      <c r="M2" s="1" t="s">
        <v>3</v>
      </c>
      <c r="N2" s="1" t="s">
        <v>13</v>
      </c>
      <c r="Q2" s="12"/>
      <c r="R2" s="12"/>
      <c r="S2" s="12"/>
    </row>
    <row r="3" spans="1:19" x14ac:dyDescent="0.25">
      <c r="A3" s="2"/>
      <c r="B3" s="2" t="s">
        <v>8</v>
      </c>
      <c r="C3" s="8">
        <v>7979.8666666666604</v>
      </c>
      <c r="D3" s="4">
        <f>SQRT(1365705.18222222)/C3</f>
        <v>0.14644779725457113</v>
      </c>
      <c r="F3" s="2"/>
      <c r="G3" s="2" t="s">
        <v>8</v>
      </c>
      <c r="H3" s="8">
        <v>7744.1333333333296</v>
      </c>
      <c r="I3" s="4">
        <f>SQRT(1790089.0488)/H3</f>
        <v>0.17276847351687233</v>
      </c>
      <c r="K3" s="2"/>
      <c r="L3" s="2" t="s">
        <v>8</v>
      </c>
      <c r="M3" s="8">
        <v>7850.8666666666604</v>
      </c>
      <c r="N3" s="4">
        <f>SQRT(1868141.4488)/M3</f>
        <v>0.17409539208810834</v>
      </c>
      <c r="R3" s="13"/>
      <c r="S3" s="14"/>
    </row>
    <row r="4" spans="1:19" x14ac:dyDescent="0.25">
      <c r="A4" s="2"/>
      <c r="B4" s="2" t="s">
        <v>9</v>
      </c>
      <c r="C4" s="9">
        <v>2.5600500066666602E-3</v>
      </c>
      <c r="D4" s="4">
        <f>SQRT(0.000000137)/C4</f>
        <v>0.14458120329781105</v>
      </c>
      <c r="F4" s="2"/>
      <c r="G4" s="2" t="s">
        <v>9</v>
      </c>
      <c r="H4" s="9">
        <v>2.66035108666666E-3</v>
      </c>
      <c r="I4" s="4">
        <f>SQRT(0.000000205)/H4</f>
        <v>0.17019154320498994</v>
      </c>
      <c r="K4" s="2"/>
      <c r="L4" s="2" t="s">
        <v>9</v>
      </c>
      <c r="M4" s="9">
        <v>2.62003646E-3</v>
      </c>
      <c r="N4" s="4">
        <f>SQRT(0.00000018)/M4</f>
        <v>0.16193059722227243</v>
      </c>
      <c r="R4" s="15"/>
      <c r="S4" s="14"/>
    </row>
    <row r="5" spans="1:19" x14ac:dyDescent="0.25">
      <c r="A5" s="2"/>
      <c r="B5" s="2" t="s">
        <v>10</v>
      </c>
      <c r="C5" s="8">
        <v>3215.32666666666</v>
      </c>
      <c r="D5" s="4">
        <f>SQRT(633206.3356)/C5</f>
        <v>0.24748422602217382</v>
      </c>
      <c r="F5" s="2"/>
      <c r="G5" s="2" t="s">
        <v>10</v>
      </c>
      <c r="H5" s="8">
        <v>2449.7600000000002</v>
      </c>
      <c r="I5" s="4">
        <f>SQRT(646798.3107)/H5</f>
        <v>0.32829245324719053</v>
      </c>
      <c r="K5" s="2"/>
      <c r="L5" s="2" t="s">
        <v>10</v>
      </c>
      <c r="M5" s="8">
        <v>3799.1699999999901</v>
      </c>
      <c r="N5" s="4">
        <f>SQRT(1822773.1272)/M5</f>
        <v>0.35536739720320881</v>
      </c>
      <c r="R5" s="13"/>
      <c r="S5" s="14"/>
    </row>
    <row r="6" spans="1:19" x14ac:dyDescent="0.25">
      <c r="A6" s="2"/>
      <c r="B6" s="2" t="s">
        <v>11</v>
      </c>
      <c r="C6" s="8">
        <v>2826.57666666666</v>
      </c>
      <c r="D6" s="4">
        <f>SQRT(550906.9056)/C6</f>
        <v>0.26259009396382282</v>
      </c>
      <c r="F6" s="2"/>
      <c r="G6" s="2" t="s">
        <v>11</v>
      </c>
      <c r="H6" s="8">
        <v>2071.92</v>
      </c>
      <c r="I6" s="10">
        <f>SQRT(548727.3906)/H6</f>
        <v>0.357524112291221</v>
      </c>
      <c r="K6" s="2"/>
      <c r="L6" s="2" t="s">
        <v>11</v>
      </c>
      <c r="M6" s="8">
        <v>3620.3133333333299</v>
      </c>
      <c r="N6" s="4">
        <f>SQRT(1790248.2734)/M6</f>
        <v>0.36958171123349542</v>
      </c>
      <c r="R6" s="13"/>
      <c r="S6" s="14"/>
    </row>
    <row r="7" spans="1:19" x14ac:dyDescent="0.25">
      <c r="A7" s="2"/>
      <c r="B7" s="2" t="s">
        <v>12</v>
      </c>
      <c r="C7" s="8">
        <v>2961.9766666666601</v>
      </c>
      <c r="D7" s="4">
        <f>SQRT(577266.5606)/C7</f>
        <v>0.25651133881488469</v>
      </c>
      <c r="F7" s="2"/>
      <c r="G7" s="2" t="s">
        <v>12</v>
      </c>
      <c r="H7" s="8">
        <v>1220.44333333333</v>
      </c>
      <c r="I7" s="4">
        <f>SQRT(111703.4126)/H7</f>
        <v>0.27385180086824279</v>
      </c>
      <c r="K7" s="2"/>
      <c r="L7" s="2" t="s">
        <v>12</v>
      </c>
      <c r="M7" s="8">
        <v>2366.55666666666</v>
      </c>
      <c r="N7" s="4">
        <f>SQRT(429421.7399)/M7</f>
        <v>0.27690137072642534</v>
      </c>
      <c r="R7" s="13"/>
      <c r="S7" s="14"/>
    </row>
    <row r="9" spans="1:19" s="7" customFormat="1" x14ac:dyDescent="0.25">
      <c r="A9" s="5"/>
      <c r="B9" s="5" t="s">
        <v>0</v>
      </c>
      <c r="C9" s="5" t="s">
        <v>4</v>
      </c>
      <c r="D9" s="5"/>
      <c r="F9" s="5"/>
      <c r="G9" s="5" t="s">
        <v>6</v>
      </c>
      <c r="H9" s="5" t="s">
        <v>4</v>
      </c>
      <c r="I9" s="5"/>
      <c r="K9" s="5"/>
      <c r="L9" s="5" t="s">
        <v>7</v>
      </c>
      <c r="M9" s="5" t="s">
        <v>4</v>
      </c>
      <c r="N9" s="5"/>
      <c r="P9" s="6"/>
      <c r="Q9" s="6"/>
      <c r="R9" s="6"/>
      <c r="S9" s="6"/>
    </row>
    <row r="10" spans="1:19" x14ac:dyDescent="0.25">
      <c r="A10" s="2"/>
      <c r="B10" s="1" t="s">
        <v>2</v>
      </c>
      <c r="C10" s="1" t="s">
        <v>3</v>
      </c>
      <c r="D10" s="1" t="s">
        <v>13</v>
      </c>
      <c r="F10" s="2"/>
      <c r="G10" s="1" t="s">
        <v>2</v>
      </c>
      <c r="H10" s="1" t="s">
        <v>3</v>
      </c>
      <c r="I10" s="1" t="s">
        <v>13</v>
      </c>
      <c r="K10" s="2"/>
      <c r="L10" s="1" t="s">
        <v>2</v>
      </c>
      <c r="M10" s="1" t="s">
        <v>3</v>
      </c>
      <c r="N10" s="1" t="s">
        <v>13</v>
      </c>
      <c r="Q10" s="12"/>
      <c r="R10" s="12"/>
      <c r="S10" s="12"/>
    </row>
    <row r="11" spans="1:19" x14ac:dyDescent="0.25">
      <c r="A11" s="2"/>
      <c r="B11" s="2" t="s">
        <v>8</v>
      </c>
      <c r="C11" s="8">
        <v>20906.400000000001</v>
      </c>
      <c r="D11" s="4">
        <f>SQRT(6555481.1733)/C11</f>
        <v>0.12246811456289597</v>
      </c>
      <c r="F11" s="2"/>
      <c r="G11" s="2" t="s">
        <v>8</v>
      </c>
      <c r="H11" s="8">
        <v>21168.333333333299</v>
      </c>
      <c r="I11" s="4">
        <f>SQRT(3779295.1555)/H11</f>
        <v>9.1837222327010901E-2</v>
      </c>
      <c r="K11" s="2"/>
      <c r="L11" s="2" t="s">
        <v>8</v>
      </c>
      <c r="M11" s="8">
        <v>20415.266666666601</v>
      </c>
      <c r="N11" s="4">
        <f>SQRT(3538181.6622)/M11</f>
        <v>9.2137199236673462E-2</v>
      </c>
      <c r="R11" s="13"/>
      <c r="S11" s="14"/>
    </row>
    <row r="12" spans="1:19" x14ac:dyDescent="0.25">
      <c r="A12" s="2"/>
      <c r="B12" s="2" t="s">
        <v>9</v>
      </c>
      <c r="C12" s="9">
        <v>2.4289560333333299E-3</v>
      </c>
      <c r="D12" s="4">
        <f>SQRT(0.0000000947)/C12</f>
        <v>0.12669379224879179</v>
      </c>
      <c r="F12" s="2"/>
      <c r="G12" s="2" t="s">
        <v>9</v>
      </c>
      <c r="H12" s="9">
        <v>2.3819323399999902E-3</v>
      </c>
      <c r="I12" s="4">
        <f>SQRT(0.0000000473)/H12</f>
        <v>9.1306385180242505E-2</v>
      </c>
      <c r="K12" s="2"/>
      <c r="L12" s="2" t="s">
        <v>9</v>
      </c>
      <c r="M12" s="9">
        <v>2.4717686533333302E-3</v>
      </c>
      <c r="N12" s="4">
        <f>SQRT(0.000000061)/M12</f>
        <v>9.9921074883565428E-2</v>
      </c>
      <c r="R12" s="15"/>
      <c r="S12" s="14"/>
    </row>
    <row r="13" spans="1:19" ht="15" customHeight="1" x14ac:dyDescent="0.25">
      <c r="A13" s="2"/>
      <c r="B13" s="2" t="s">
        <v>10</v>
      </c>
      <c r="C13" s="8">
        <v>7885.9960000000001</v>
      </c>
      <c r="D13" s="4">
        <f>SQRT(2389424.1703)/C13</f>
        <v>0.19601534613009228</v>
      </c>
      <c r="F13" s="2"/>
      <c r="G13" s="2" t="s">
        <v>10</v>
      </c>
      <c r="H13" s="8">
        <v>6962.88533333333</v>
      </c>
      <c r="I13" s="4">
        <f>SQRT(1147876.1279)/H13</f>
        <v>0.15387152883840777</v>
      </c>
      <c r="K13" s="2"/>
      <c r="L13" s="2" t="s">
        <v>10</v>
      </c>
      <c r="M13" s="8">
        <v>10016.898666666601</v>
      </c>
      <c r="N13" s="4">
        <f>SQRT(3857606.2254)/M13</f>
        <v>0.19607655440312641</v>
      </c>
      <c r="R13" s="13"/>
      <c r="S13" s="14"/>
    </row>
    <row r="14" spans="1:19" x14ac:dyDescent="0.25">
      <c r="A14" s="2"/>
      <c r="B14" s="2" t="s">
        <v>11</v>
      </c>
      <c r="C14" s="8">
        <v>7471.6506666666601</v>
      </c>
      <c r="D14" s="4">
        <f>SQRT(2251909.6858)/C14</f>
        <v>0.20084402950141403</v>
      </c>
      <c r="F14" s="2"/>
      <c r="G14" s="2" t="s">
        <v>11</v>
      </c>
      <c r="H14" s="8">
        <v>6543.1666666666597</v>
      </c>
      <c r="I14" s="4">
        <f>SQRT(1070404.0899)/H14</f>
        <v>0.15811966923253556</v>
      </c>
      <c r="K14" s="2"/>
      <c r="L14" s="2" t="s">
        <v>11</v>
      </c>
      <c r="M14" s="8">
        <v>9840.3466666666609</v>
      </c>
      <c r="N14" s="4">
        <f>SQRT(3847205.2101)/M14</f>
        <v>0.19932523169884489</v>
      </c>
      <c r="R14" s="13"/>
      <c r="S14" s="14"/>
    </row>
    <row r="15" spans="1:19" x14ac:dyDescent="0.25">
      <c r="A15" s="2"/>
      <c r="B15" s="2" t="s">
        <v>12</v>
      </c>
      <c r="C15" s="8">
        <v>7604.1253333333298</v>
      </c>
      <c r="D15" s="4">
        <f>SQRT(2282935.0344)/C15</f>
        <v>0.19869983663518015</v>
      </c>
      <c r="F15" s="2"/>
      <c r="G15" s="2" t="s">
        <v>12</v>
      </c>
      <c r="H15" s="8">
        <v>3172.3359999999998</v>
      </c>
      <c r="I15" s="4">
        <f>SQRT(664385.8714)/H15</f>
        <v>0.25693958273504741</v>
      </c>
      <c r="K15" s="2"/>
      <c r="L15" s="2" t="s">
        <v>12</v>
      </c>
      <c r="M15" s="8">
        <v>6766.0919999999996</v>
      </c>
      <c r="N15" s="4">
        <f>SQRT(1405168.2862)/M15</f>
        <v>0.17519684098833554</v>
      </c>
      <c r="R15" s="13"/>
      <c r="S15" s="14"/>
    </row>
    <row r="17" spans="1:19" s="7" customFormat="1" x14ac:dyDescent="0.25">
      <c r="A17" s="5"/>
      <c r="B17" s="5" t="s">
        <v>0</v>
      </c>
      <c r="C17" s="5" t="s">
        <v>5</v>
      </c>
      <c r="D17" s="5"/>
      <c r="F17" s="5"/>
      <c r="G17" s="5" t="s">
        <v>6</v>
      </c>
      <c r="H17" s="5" t="s">
        <v>5</v>
      </c>
      <c r="I17" s="5"/>
      <c r="K17" s="5"/>
      <c r="L17" s="5" t="s">
        <v>7</v>
      </c>
      <c r="M17" s="5" t="s">
        <v>5</v>
      </c>
      <c r="N17" s="5"/>
      <c r="P17" s="6"/>
      <c r="Q17" s="6"/>
      <c r="R17" s="6"/>
      <c r="S17" s="6"/>
    </row>
    <row r="18" spans="1:19" x14ac:dyDescent="0.25">
      <c r="A18" s="2"/>
      <c r="B18" s="1" t="s">
        <v>2</v>
      </c>
      <c r="C18" s="1" t="s">
        <v>3</v>
      </c>
      <c r="D18" s="1" t="s">
        <v>13</v>
      </c>
      <c r="F18" s="2"/>
      <c r="G18" s="1" t="s">
        <v>2</v>
      </c>
      <c r="H18" s="1" t="s">
        <v>3</v>
      </c>
      <c r="I18" s="1" t="s">
        <v>13</v>
      </c>
      <c r="K18" s="2"/>
      <c r="L18" s="1" t="s">
        <v>2</v>
      </c>
      <c r="M18" s="1" t="s">
        <v>3</v>
      </c>
      <c r="N18" s="1" t="s">
        <v>13</v>
      </c>
      <c r="Q18" s="12"/>
      <c r="R18" s="12"/>
      <c r="S18" s="12"/>
    </row>
    <row r="19" spans="1:19" x14ac:dyDescent="0.25">
      <c r="A19" s="2"/>
      <c r="B19" s="2" t="s">
        <v>8</v>
      </c>
      <c r="C19" s="8">
        <v>40789</v>
      </c>
      <c r="D19" s="4">
        <f>SQRT(12476807.4666)/C19</f>
        <v>8.6598162828184805E-2</v>
      </c>
      <c r="F19" s="2"/>
      <c r="G19" s="2" t="s">
        <v>8</v>
      </c>
      <c r="H19" s="8">
        <v>40984.800000000003</v>
      </c>
      <c r="I19" s="4">
        <f>SQRT(11594518.8266)/H19</f>
        <v>8.3081350016276576E-2</v>
      </c>
      <c r="K19" s="2"/>
      <c r="L19" s="2" t="s">
        <v>8</v>
      </c>
      <c r="M19" s="8">
        <v>41033.0666666666</v>
      </c>
      <c r="N19" s="4">
        <f>SQRT(11884218.3288)/M19</f>
        <v>8.4013936669034894E-2</v>
      </c>
      <c r="R19" s="13"/>
      <c r="S19" s="14"/>
    </row>
    <row r="20" spans="1:19" x14ac:dyDescent="0.25">
      <c r="A20" s="2"/>
      <c r="B20" s="2" t="s">
        <v>9</v>
      </c>
      <c r="C20" s="9">
        <v>2.4701134466666602E-3</v>
      </c>
      <c r="D20" s="4">
        <f>SQRT(0.0000000416)/C20</f>
        <v>8.257142230408486E-2</v>
      </c>
      <c r="F20" s="2"/>
      <c r="G20" s="2" t="s">
        <v>9</v>
      </c>
      <c r="H20" s="9">
        <v>2.4572711333333301E-3</v>
      </c>
      <c r="I20" s="4">
        <f>SQRT(0.0000000441)/H20</f>
        <v>8.5460654769150934E-2</v>
      </c>
      <c r="K20" s="2"/>
      <c r="L20" s="2" t="s">
        <v>9</v>
      </c>
      <c r="M20" s="9">
        <v>2.45466532E-3</v>
      </c>
      <c r="N20" s="4">
        <f>SQRT(0.00000004429)/M20</f>
        <v>8.5735474007844453E-2</v>
      </c>
      <c r="R20" s="15"/>
      <c r="S20" s="14"/>
    </row>
    <row r="21" spans="1:19" x14ac:dyDescent="0.25">
      <c r="A21" s="2"/>
      <c r="B21" s="2" t="s">
        <v>10</v>
      </c>
      <c r="C21" s="8">
        <v>15800.476000000001</v>
      </c>
      <c r="D21" s="4">
        <f>SQRT(4783035.9222)/C21</f>
        <v>0.13841451991360776</v>
      </c>
      <c r="F21" s="2"/>
      <c r="G21" s="2" t="s">
        <v>10</v>
      </c>
      <c r="H21" s="8">
        <v>13215.5973333333</v>
      </c>
      <c r="I21" s="4">
        <f>SQRT(3743762.6272)/H21</f>
        <v>0.1464088585126043</v>
      </c>
      <c r="K21" s="2"/>
      <c r="L21" s="2" t="s">
        <v>10</v>
      </c>
      <c r="M21" s="8">
        <v>20404.741999999998</v>
      </c>
      <c r="N21" s="4">
        <f>SQRT(10881591.9145)/M21</f>
        <v>0.16166466606901131</v>
      </c>
      <c r="R21" s="13"/>
      <c r="S21" s="14"/>
    </row>
    <row r="22" spans="1:19" x14ac:dyDescent="0.25">
      <c r="A22" s="2"/>
      <c r="B22" s="2" t="s">
        <v>11</v>
      </c>
      <c r="C22" s="8">
        <v>15394.9026666666</v>
      </c>
      <c r="D22" s="4">
        <f>SQRT(4651577.7736)/C22</f>
        <v>0.14009518075230698</v>
      </c>
      <c r="F22" s="2"/>
      <c r="G22" s="2" t="s">
        <v>11</v>
      </c>
      <c r="H22" s="8">
        <v>12808.163999999901</v>
      </c>
      <c r="I22" s="4">
        <f>SQRT(3620772.9829)/H22</f>
        <v>0.14856406301461481</v>
      </c>
      <c r="K22" s="2"/>
      <c r="L22" s="2" t="s">
        <v>11</v>
      </c>
      <c r="M22" s="8">
        <v>20222.939999999999</v>
      </c>
      <c r="N22" s="4">
        <f>SQRT(10825888.1028)/M22</f>
        <v>0.16269997027750996</v>
      </c>
      <c r="R22" s="13"/>
      <c r="S22" s="14"/>
    </row>
    <row r="23" spans="1:19" x14ac:dyDescent="0.25">
      <c r="A23" s="2"/>
      <c r="B23" s="2" t="s">
        <v>12</v>
      </c>
      <c r="C23" s="8">
        <v>15527.305333333299</v>
      </c>
      <c r="D23" s="4">
        <f>SQRT(4669334.3735)/C23</f>
        <v>0.13916543914192014</v>
      </c>
      <c r="F23" s="2"/>
      <c r="G23" s="2" t="s">
        <v>12</v>
      </c>
      <c r="H23" s="8">
        <v>5938.0233333333299</v>
      </c>
      <c r="I23" s="4">
        <f>SQRT(958357.1843)/H23</f>
        <v>0.16486246976768085</v>
      </c>
      <c r="K23" s="2"/>
      <c r="L23" s="2" t="s">
        <v>12</v>
      </c>
      <c r="M23" s="8">
        <v>13450.585999999999</v>
      </c>
      <c r="N23" s="4">
        <f>SQRT(3525134.4863)/M23</f>
        <v>0.13958753547999045</v>
      </c>
      <c r="R23" s="13"/>
      <c r="S23" s="14"/>
    </row>
    <row r="25" spans="1:19" x14ac:dyDescent="0.25">
      <c r="B25" s="2" t="s">
        <v>15</v>
      </c>
      <c r="C25" s="16">
        <f>AVERAGE(C4,C12,C20)*1000</f>
        <v>2.4863731622222165</v>
      </c>
      <c r="G25" s="2" t="s">
        <v>15</v>
      </c>
      <c r="H25" s="16">
        <f>AVERAGE(H4,H12,H20)*1000</f>
        <v>2.4998515199999933</v>
      </c>
      <c r="L25" s="2" t="s">
        <v>15</v>
      </c>
      <c r="M25" s="16">
        <f>AVERAGE(M4,M12,M20)*1000</f>
        <v>2.5154901444444433</v>
      </c>
    </row>
    <row r="26" spans="1:19" ht="16.5" customHeight="1" x14ac:dyDescent="0.25">
      <c r="B26" s="2" t="s">
        <v>23</v>
      </c>
      <c r="C26" s="17">
        <f>AVERAGE(D3:D7,D11:D15,D19:D23)</f>
        <v>0.16594536689144951</v>
      </c>
      <c r="G26" s="2" t="s">
        <v>23</v>
      </c>
      <c r="H26" s="17">
        <f>AVERAGE(I3:I7,I11:I15,I19:I23)</f>
        <v>0.17887201116813917</v>
      </c>
      <c r="L26" s="2" t="s">
        <v>23</v>
      </c>
      <c r="M26" s="17">
        <f>AVERAGE(N3:N7,N11:N15,N19:N23)</f>
        <v>0.18228233014582981</v>
      </c>
    </row>
    <row r="28" spans="1:19" x14ac:dyDescent="0.25">
      <c r="N28" s="19"/>
      <c r="O28" s="19"/>
      <c r="P28" s="19"/>
      <c r="Q28" s="19"/>
    </row>
    <row r="29" spans="1:19" x14ac:dyDescent="0.25">
      <c r="N29" s="19"/>
      <c r="O29" s="19"/>
      <c r="P29" s="19"/>
      <c r="Q29" s="19"/>
    </row>
    <row r="30" spans="1:19" x14ac:dyDescent="0.25">
      <c r="N30" s="19"/>
      <c r="O30" s="19"/>
      <c r="P30" s="19"/>
      <c r="Q30" s="19"/>
    </row>
    <row r="31" spans="1:19" x14ac:dyDescent="0.25">
      <c r="N31" s="19"/>
      <c r="O31" s="19"/>
      <c r="P31" s="19"/>
      <c r="Q31" s="19"/>
    </row>
    <row r="32" spans="1:19" ht="51.75" customHeight="1" x14ac:dyDescent="0.25"/>
    <row r="35" spans="13:14" x14ac:dyDescent="0.25">
      <c r="M35" s="3" t="s">
        <v>24</v>
      </c>
      <c r="N35" s="3" t="s">
        <v>14</v>
      </c>
    </row>
    <row r="36" spans="13:14" x14ac:dyDescent="0.25">
      <c r="M36" s="3" t="s">
        <v>0</v>
      </c>
      <c r="N36" s="18">
        <f>C25</f>
        <v>2.4863731622222165</v>
      </c>
    </row>
    <row r="37" spans="13:14" x14ac:dyDescent="0.25">
      <c r="M37" s="3" t="s">
        <v>6</v>
      </c>
      <c r="N37" s="18">
        <f>H25</f>
        <v>2.4998515199999933</v>
      </c>
    </row>
    <row r="38" spans="13:14" x14ac:dyDescent="0.25">
      <c r="M38" s="3" t="s">
        <v>7</v>
      </c>
      <c r="N38" s="18">
        <f>M25</f>
        <v>2.5154901444444433</v>
      </c>
    </row>
    <row r="40" spans="13:14" x14ac:dyDescent="0.25">
      <c r="M40" s="3" t="s">
        <v>24</v>
      </c>
      <c r="N40" s="3" t="s">
        <v>13</v>
      </c>
    </row>
    <row r="41" spans="13:14" x14ac:dyDescent="0.25">
      <c r="M41" s="3" t="s">
        <v>0</v>
      </c>
      <c r="N41" s="18">
        <f>C26*100</f>
        <v>16.594536689144952</v>
      </c>
    </row>
    <row r="42" spans="13:14" x14ac:dyDescent="0.25">
      <c r="M42" s="3" t="s">
        <v>6</v>
      </c>
      <c r="N42" s="18">
        <f>H26*100</f>
        <v>17.887201116813916</v>
      </c>
    </row>
    <row r="43" spans="13:14" x14ac:dyDescent="0.25">
      <c r="M43" s="3" t="s">
        <v>7</v>
      </c>
      <c r="N43" s="18">
        <f>M26*100</f>
        <v>18.22823301458298</v>
      </c>
    </row>
  </sheetData>
  <conditionalFormatting sqref="D3:D7 I3:I7 D11:D15 I11:I15 D19:D23 I19:I23">
    <cfRule type="cellIs" dxfId="12" priority="14" operator="greaterThan">
      <formula>0.2</formula>
    </cfRule>
    <cfRule type="cellIs" dxfId="11" priority="15" operator="between">
      <formula>0.1</formula>
      <formula>0.2</formula>
    </cfRule>
    <cfRule type="cellIs" dxfId="10" priority="16" operator="lessThan">
      <formula>0.1</formula>
    </cfRule>
  </conditionalFormatting>
  <conditionalFormatting sqref="D3:D7 I3:I7 N3:N7 D11:D15 I11:I15">
    <cfRule type="cellIs" dxfId="9" priority="1" operator="greaterThan">
      <formula>0.3</formula>
    </cfRule>
  </conditionalFormatting>
  <conditionalFormatting sqref="N3:N7">
    <cfRule type="cellIs" dxfId="8" priority="8" operator="greaterThan">
      <formula>0.2</formula>
    </cfRule>
    <cfRule type="cellIs" dxfId="7" priority="9" operator="between">
      <formula>0.1</formula>
      <formula>0.2</formula>
    </cfRule>
    <cfRule type="cellIs" dxfId="6" priority="10" operator="lessThan">
      <formula>0.1</formula>
    </cfRule>
  </conditionalFormatting>
  <conditionalFormatting sqref="N11:N15">
    <cfRule type="cellIs" dxfId="5" priority="5" operator="greaterThan">
      <formula>0.2</formula>
    </cfRule>
    <cfRule type="cellIs" dxfId="4" priority="6" operator="between">
      <formula>0.1</formula>
      <formula>0.2</formula>
    </cfRule>
    <cfRule type="cellIs" dxfId="3" priority="7" operator="lessThan">
      <formula>0.1</formula>
    </cfRule>
  </conditionalFormatting>
  <conditionalFormatting sqref="N19:N23">
    <cfRule type="cellIs" dxfId="2" priority="2" operator="greaterThan">
      <formula>0.2</formula>
    </cfRule>
    <cfRule type="cellIs" dxfId="1" priority="3" operator="between">
      <formula>0.1</formula>
      <formula>0.2</formula>
    </cfRule>
    <cfRule type="cellIs" dxfId="0" priority="4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g l G m W O / B Z p u l A A A A 9 g A A A B I A H A B D b 2 5 m a W c v U G F j a 2 F n Z S 5 4 b W w g o h g A K K A U A A A A A A A A A A A A A A A A A A A A A A A A A A A A h Y 9 B C s I w F E S v U r J v k k a E U n 5 T x K 0 F Q R B x F 2 J s g + 2 v t K n p 3 V x 4 J K 9 g R a v u X M 6 b t 5 i 5 X 2 + Q D X U V X E z b 2 Q Z T E l F O A o O 6 O V g s U t K 7 Y x i T T M J a 6 Z M q T D D K 2 C V D d 0 h J 6 d w 5 Y c x 7 T / 2 M N m 3 B B O c R 2 + W r j S 5 N r c h H t v / l 0 G L n F G p D J G x f Y 6 S g k Y i p m A v K g U 0 Q c o t f Q Y x 7 n + 0 P h G V f u b 4 1 0 m C 4 X w C b I r D 3 B / k A U E s D B B Q A A g A I A I J R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U a Z Y 0 A c m 7 J U B A A A W F Q A A E w A c A E Z v c m 1 1 b G F z L 1 N l Y 3 R p b 2 4 x L m 0 g o h g A K K A U A A A A A A A A A A A A A A A A A A A A A A A A A A A A 7 Z T N S 8 M w F M D v g / 0 P j + 7 S Q h 1 t 5 y 5 K L 2 Y W F P x s d x A j E r v n D L T J S N L p k P 3 v Z p S h g h / X R Z t L 8 l 5 C k v d + 8 N N Y G i 4 F 5 O 0 c H / Z 7 / Z 5 + Y g p n M P D Y E h W b 4 3 2 N R v F S g 5 9 E s G B G S a E D D 1 K o 0 P R 7 Y E c u G 1 W i z R C 9 H E 5 k 2 d Q o j J / x C o d E C m M D 7 X v k g E 4 1 K k 2 P z R M T 9 E L g R P E l w h 5 M h Z 2 V 5 m Y F 8 h E I W y A U 8 l n Q K S n o S M 3 g B p m i J C e j K E o y e q m Y / W z J K k 0 v c k h g E 9 N 8 e n R 2 U l D Z m E V j a A R + R r I 8 o D 9 V M C z 1 0 g v C 2 w l W v O Y G V e q F X g h E V k 0 t d J q E c C x K O e N i n s b J 2 I Z X j T S Y m 1 W F 6 f t y e C 4 F 3 g V h 2 4 i B R 2 x t c 9 u 9 Y r X A T Y 8 K 9 m A P F Y o J / S h V 3 d 6 + 2 d R + 2 7 X w 9 d V r s 7 F 9 3 d g d M P h i 1 i F s 8 8 m n / D r o 9 7 j 4 8 r l f 6 I 2 d p z f + x / T i y H l 8 H 0 v 4 d / w + m M c G u 4 0 w B j 8 / z T p 9 f i c f d w F 2 B n W d Y C f R L c H R b h N M w L + + 7 h z 6 v U M d 5 d c p 1 H G A n U G 3 A P f d B N g Z 1 G 1 + n U E d B / j H D f o G U E s B A i 0 A F A A C A A g A g l G m W O / B Z p u l A A A A 9 g A A A B I A A A A A A A A A A A A A A A A A A A A A A E N v b m Z p Z y 9 Q Y W N r Y W d l L n h t b F B L A Q I t A B Q A A g A I A I J R p l g P y u m r p A A A A O k A A A A T A A A A A A A A A A A A A A A A A P E A A A B b Q 2 9 u d G V u d F 9 U e X B l c 1 0 u e G 1 s U E s B A i 0 A F A A C A A g A g l G m W N A H J u y V A Q A A F h U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V 8 A A A A A A A B H X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U 3 M j Q w Y 2 I t M j E x O S 0 0 M T Z j L W I w N 2 I t O G E x N T U 1 M G Y x M z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1 O j M 1 O j Q 3 L j E 1 N T Q x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X 2 1 l d H J p Y 3 M g K D I w I H B h d H J v b n M p L 0 F 1 d G 9 S Z W 1 v d m V k Q 2 9 s d W 1 u c z E u e 0 N v b H V t b j E s M H 0 m c X V v d D s s J n F 1 b 3 Q 7 U 2 V j d G l v b j E v Y X Z l c m F n Z V 9 t Z X R y a W N z I C g y M C B w Y X R y b 2 5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Z X J h Z 2 V f b W V 0 c m l j c y A o M j A g c G F 0 c m 9 u c y k v Q X V 0 b 1 J l b W 9 2 Z W R D b 2 x 1 b W 5 z M S 5 7 Q 2 9 s d W 1 u M S w w f S Z x d W 9 0 O y w m c X V v d D t T Z W N 0 a W 9 u M S 9 h d m V y Y W d l X 2 1 l d H J p Y 3 M g K D I w I H B h d H J v b n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W I 5 Y j E x Y S 0 x N z N m L T Q 0 Y 2 Q t O W E 3 N C 1 m N z A x N m J j Y j J h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U 6 N D U 6 M j Q u N j Y 0 N T k w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b W V 0 c m l j c y A o N T A g c G F 0 c m 9 u c y k v Q X V 0 b 1 J l b W 9 2 Z W R D b 2 x 1 b W 5 z M S 5 7 Q 2 9 s d W 1 u M S w w f S Z x d W 9 0 O y w m c X V v d D t T Z W N 0 a W 9 u M S 9 h d m V y Y W d l X 2 1 l d H J p Y 3 M g K D U w I H B h d H J v b n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Z l c m F n Z V 9 t Z X R y a W N z I C g 1 M C B w Y X R y b 2 5 z K S 9 B d X R v U m V t b 3 Z l Z E N v b H V t b n M x L n t D b 2 x 1 b W 4 x L D B 9 J n F 1 b 3 Q 7 L C Z x d W 9 0 O 1 N l Y 3 R p b 2 4 x L 2 F 2 Z X J h Z 2 V f b W V 0 c m l j c y A o N T A g c G F 0 c m 9 u c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X 2 1 l d H J p Y 3 M l M j A o M T A w J T I w c G F 0 c m 9 u c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G N k Z W J h O S 1 m N m M y L T Q w N T E t O G N i Z i 0 0 N T E y Z W F k N j F m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U 6 N D Y 6 M T I u N j g 5 N z E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b W V 0 c m l j c y A o M T A w I H B h d H J v b n M p L 0 F 1 d G 9 S Z W 1 v d m V k Q 2 9 s d W 1 u c z E u e 0 N v b H V t b j E s M H 0 m c X V v d D s s J n F 1 b 3 Q 7 U 2 V j d G l v b j E v Y X Z l c m F n Z V 9 t Z X R y a W N z I C g x M D A g c G F 0 c m 9 u c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m V y Y W d l X 2 1 l d H J p Y 3 M g K D E w M C B w Y X R y b 2 5 z K S 9 B d X R v U m V t b 3 Z l Z E N v b H V t b n M x L n t D b 2 x 1 b W 4 x L D B 9 J n F 1 b 3 Q 7 L C Z x d W 9 0 O 1 N l Y 3 R p b 2 4 x L 2 F 2 Z X J h Z 2 V f b W V 0 c m l j c y A o M T A w I H B h d H J v b n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f b W V 0 c m l j c y U y M C g x M D A l M j B w Y X R y b 2 5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X 2 1 l d H J p Y 3 M l M j A o M T A w J T I w c G F 0 c m 9 u c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X 2 1 l d H J p Y 3 M l M j A o M j A l M j B w Y X R y b 2 5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j O D d k O W V h L T Y z Z m M t N G Q z M i 0 5 Z W M y L W R m Y 2 Q 4 O D k y Y T J j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x N T o 0 N z o w M i 4 3 N T k y M z Q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V 9 t Z X R y a W N z I C g y M C B w Y X R y b 2 5 z K S A o M i k v Q X V 0 b 1 J l b W 9 2 Z W R D b 2 x 1 b W 5 z M S 5 7 Q 2 9 s d W 1 u M S w w f S Z x d W 9 0 O y w m c X V v d D t T Z W N 0 a W 9 u M S 9 h d m V y Y W d l X 2 1 l d H J p Y 3 M g K D I w I H B h d H J v b n M p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Z X J h Z 2 V f b W V 0 c m l j c y A o M j A g c G F 0 c m 9 u c y k g K D I p L 0 F 1 d G 9 S Z W 1 v d m V k Q 2 9 s d W 1 u c z E u e 0 N v b H V t b j E s M H 0 m c X V v d D s s J n F 1 b 3 Q 7 U 2 V j d G l v b j E v Y X Z l c m F n Z V 9 t Z X R y a W N z I C g y M C B w Y X R y b 2 5 z K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V 9 t Z X R y a W N z J T I w K D I w J T I w c G F 0 c m 9 u c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I w J T I w c G F 0 c m 9 u c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X 2 1 l d H J p Y 3 M l M j A o N T A l M j B w Y X R y b 2 5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z M W N h O T M 0 L W M w M 2 M t N D l h Z i 0 4 N z U 0 L T k 3 O D c x N D U x N D k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x N T o 0 N z o 1 N i 4 5 N z M 1 M T c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V 9 t Z X R y a W N z I C g 1 M C B w Y X R y b 2 5 z K S A o M i k v Q X V 0 b 1 J l b W 9 2 Z W R D b 2 x 1 b W 5 z M S 5 7 Q 2 9 s d W 1 u M S w w f S Z x d W 9 0 O y w m c X V v d D t T Z W N 0 a W 9 u M S 9 h d m V y Y W d l X 2 1 l d H J p Y 3 M g K D U w I H B h d H J v b n M p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Z X J h Z 2 V f b W V 0 c m l j c y A o N T A g c G F 0 c m 9 u c y k g K D I p L 0 F 1 d G 9 S Z W 1 v d m V k Q 2 9 s d W 1 u c z E u e 0 N v b H V t b j E s M H 0 m c X V v d D s s J n F 1 b 3 Q 7 U 2 V j d G l v b j E v Y X Z l c m F n Z V 9 t Z X R y a W N z I C g 1 M C B w Y X R y b 2 5 z K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X 2 1 l d H J p Y 3 M l M j A o M T A w J T I w c G F 0 c m 9 u c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Y y Y 2 U 5 N S 1 j Y z Y 3 L T R k M D M t Y j J j Z S 0 y N T Q x M 2 Q 4 M 2 I y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U 6 N D g 6 M j Q u O T k 5 M j M w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b W V 0 c m l j c y A o M T A w I H B h d H J v b n M p I C g y K S 9 B d X R v U m V t b 3 Z l Z E N v b H V t b n M x L n t D b 2 x 1 b W 4 x L D B 9 J n F 1 b 3 Q 7 L C Z x d W 9 0 O 1 N l Y 3 R p b 2 4 x L 2 F 2 Z X J h Z 2 V f b W V 0 c m l j c y A o M T A w I H B h d H J v b n M p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Z X J h Z 2 V f b W V 0 c m l j c y A o M T A w I H B h d H J v b n M p I C g y K S 9 B d X R v U m V t b 3 Z l Z E N v b H V t b n M x L n t D b 2 x 1 b W 4 x L D B 9 J n F 1 b 3 Q 7 L C Z x d W 9 0 O 1 N l Y 3 R p b 2 4 x L 2 F 2 Z X J h Z 2 V f b W V 0 c m l j c y A o M T A w I H B h d H J v b n M p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X 2 1 l d H J p Y 3 M l M j A o M T A w J T I w c G F 0 c m 9 u c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E w M C U y M H B h d H J v b n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I w J T I w c G F 0 c m 9 u c y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D E y M G F j Z S 1 i N D k y L T R l M m Y t Y T h j Y y 1 m Y T g x Y j h h M 2 Y w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U 6 N D g 6 N D k u O D E w O T Q 2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b W V 0 c m l j c y A o M j A g c G F 0 c m 9 u c y k g K D M p L 0 F 1 d G 9 S Z W 1 v d m V k Q 2 9 s d W 1 u c z E u e 0 N v b H V t b j E s M H 0 m c X V v d D s s J n F 1 b 3 Q 7 U 2 V j d G l v b j E v Y X Z l c m F n Z V 9 t Z X R y a W N z I C g y M C B w Y X R y b 2 5 z K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m V y Y W d l X 2 1 l d H J p Y 3 M g K D I w I H B h d H J v b n M p I C g z K S 9 B d X R v U m V t b 3 Z l Z E N v b H V t b n M x L n t D b 2 x 1 b W 4 x L D B 9 J n F 1 b 3 Q 7 L C Z x d W 9 0 O 1 N l Y 3 R p b 2 4 x L 2 F 2 Z X J h Z 2 V f b W V 0 c m l j c y A o M j A g c G F 0 c m 9 u c y k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m Q 5 M T l j Y S 0 2 M T l i L T Q y O D g t O W Y z Z S 0 y M z I 0 Z G Y 5 Y m Q x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U 6 N D k 6 M z E u M j Y 4 N j c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b W V 0 c m l j c y A o N T A g c G F 0 c m 9 u c y k g K D M p L 0 F 1 d G 9 S Z W 1 v d m V k Q 2 9 s d W 1 u c z E u e 0 N v b H V t b j E s M H 0 m c X V v d D s s J n F 1 b 3 Q 7 U 2 V j d G l v b j E v Y X Z l c m F n Z V 9 t Z X R y a W N z I C g 1 M C B w Y X R y b 2 5 z K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m V y Y W d l X 2 1 l d H J p Y 3 M g K D U w I H B h d H J v b n M p I C g z K S 9 B d X R v U m V t b 3 Z l Z E N v b H V t b n M x L n t D b 2 x 1 b W 4 x L D B 9 J n F 1 b 3 Q 7 L C Z x d W 9 0 O 1 N l Y 3 R p b 2 4 x L 2 F 2 Z X J h Z 2 V f b W V 0 c m l j c y A o N T A g c G F 0 c m 9 u c y k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f b W V 0 c m l j c y U y M C g 1 M C U y M H B h d H J v b n M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b W V 0 c m l j c y U y M C g 1 M C U y M H B h d H J v b n M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E w M C U y M H B h d H J v b n M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h N T R k M D c t M z V m M y 0 0 Z j F h L W I 4 N z Q t O D d i M 2 Q x Z G Y 4 Z G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1 O j Q 5 O j U 5 L j Q 0 M T Y x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X 2 1 l d H J p Y 3 M g K D E w M C B w Y X R y b 2 5 z K S A o M y k v Q X V 0 b 1 J l b W 9 2 Z W R D b 2 x 1 b W 5 z M S 5 7 Q 2 9 s d W 1 u M S w w f S Z x d W 9 0 O y w m c X V v d D t T Z W N 0 a W 9 u M S 9 h d m V y Y W d l X 2 1 l d H J p Y 3 M g K D E w M C B w Y X R y b 2 5 z K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m V y Y W d l X 2 1 l d H J p Y 3 M g K D E w M C B w Y X R y b 2 5 z K S A o M y k v Q X V 0 b 1 J l b W 9 2 Z W R D b 2 x 1 b W 5 z M S 5 7 Q 2 9 s d W 1 u M S w w f S Z x d W 9 0 O y w m c X V v d D t T Z W N 0 a W 9 u M S 9 h d m V y Y W d l X 2 1 l d H J p Y 3 M g K D E w M C B w Y X R y b 2 5 z K S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V 9 t Z X R y a W N z J T I w K D E w M C U y M H B h d H J v b n M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b W V 0 c m l j c y U y M C g x M D A l M j B w Y X R y b 2 5 z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g 1 N G I 0 N 2 Y t M 2 I z Y y 0 0 N D Z m L T l h Z D c t M D Y 1 Z j M 5 N j J k N z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2 Z X J h Z 2 V f b W V 0 c m l j c 1 9 f M j B f c G F 0 c m 9 u c 1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D g 6 M D Y 6 N D M u M j Q 5 N z A w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b W V 0 c m l j c y A o M j A g c G F 0 c m 9 u c y k g K D Q p L 0 F 1 d G 9 S Z W 1 v d m V k Q 2 9 s d W 1 u c z E u e 0 N v b H V t b j E s M H 0 m c X V v d D s s J n F 1 b 3 Q 7 U 2 V j d G l v b j E v Y X Z l c m F n Z V 9 t Z X R y a W N z I C g y M C B w Y X R y b 2 5 z K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m V y Y W d l X 2 1 l d H J p Y 3 M g K D I w I H B h d H J v b n M p I C g 0 K S 9 B d X R v U m V t b 3 Z l Z E N v b H V t b n M x L n t D b 2 x 1 b W 4 x L D B 9 J n F 1 b 3 Q 7 L C Z x d W 9 0 O 1 N l Y 3 R p b 2 4 x L 2 F 2 Z X J h Z 2 V f b W V 0 c m l j c y A o M j A g c G F 0 c m 9 u c y k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f b W V 0 c m l j c y U y M C g y M C U y M H B h d H J v b n M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D R h N j I 1 N S 1 i Y z E 3 L T R i Y m M t O W Q 1 Y y 0 4 N D Z m N T M y M D l k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Z l c m F n Z V 9 t Z X R y a W N z X 1 8 1 M F 9 w Y X R y b 2 5 z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w O D o x M D o y N S 4 w N z c 4 M j c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V 9 t Z X R y a W N z I C g 1 M C B w Y X R y b 2 5 z K S A o N C k v Q X V 0 b 1 J l b W 9 2 Z W R D b 2 x 1 b W 5 z M S 5 7 Q 2 9 s d W 1 u M S w w f S Z x d W 9 0 O y w m c X V v d D t T Z W N 0 a W 9 u M S 9 h d m V y Y W d l X 2 1 l d H J p Y 3 M g K D U w I H B h d H J v b n M p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Z X J h Z 2 V f b W V 0 c m l j c y A o N T A g c G F 0 c m 9 u c y k g K D Q p L 0 F 1 d G 9 S Z W 1 v d m V k Q 2 9 s d W 1 u c z E u e 0 N v b H V t b j E s M H 0 m c X V v d D s s J n F 1 b 3 Q 7 U 2 V j d G l v b j E v Y X Z l c m F n Z V 9 t Z X R y a W N z I C g 1 M C B w Y X R y b 2 5 z K S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U w J T I w c G F 0 c m 9 u c y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X 2 1 l d H J p Y 3 M l M j A o M T A w J T I w c G F 0 c m 9 u c y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W Q w Y T k 4 O C 1 l Z j M 2 L T Q w M z g t O D h j Z S 1 l N T c 4 Y W R i M j M 5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Z l c m F n Z V 9 t Z X R y a W N z X 1 8 x M D B f c G F 0 c m 9 u c 1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D g 6 M T I 6 M D Q u N j M z N z k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V f b W V 0 c m l j c y A o M T A w I H B h d H J v b n M p I C g 0 K S 9 B d X R v U m V t b 3 Z l Z E N v b H V t b n M x L n t D b 2 x 1 b W 4 x L D B 9 J n F 1 b 3 Q 7 L C Z x d W 9 0 O 1 N l Y 3 R p b 2 4 x L 2 F 2 Z X J h Z 2 V f b W V 0 c m l j c y A o M T A w I H B h d H J v b n M p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Z X J h Z 2 V f b W V 0 c m l j c y A o M T A w I H B h d H J v b n M p I C g 0 K S 9 B d X R v U m V t b 3 Z l Z E N v b H V t b n M x L n t D b 2 x 1 b W 4 x L D B 9 J n F 1 b 3 Q 7 L C Z x d W 9 0 O 1 N l Y 3 R p b 2 4 x L 2 F 2 Z X J h Z 2 V f b W V 0 c m l j c y A o M T A w I H B h d H J v b n M p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X 2 1 l d H J p Y 3 M l M j A o M T A w J T I w c G F 0 c m 9 u c y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V 9 t Z X R y a W N z J T I w K D E w M C U y M H B h d H J v b n M p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E D h G 9 r G x F j z f W h v f C u R s A A A A A A g A A A A A A E G Y A A A A B A A A g A A A A K D o Y H Y t 4 r P d J F g D A a Q L y L M I z q P h o 0 P 6 i e f X U 2 v 1 g P c Y A A A A A D o A A A A A C A A A g A A A A V 1 k + Q i j r M 5 7 Q n Y A a f 4 H I x M x r S L m M z s F k 0 B G g l 9 M M L 4 N Q A A A A E t 2 1 f l l b y t Q 3 j x 9 n D p g m Z 3 D 0 a 2 4 c E M 0 u q E Q X g k i 7 0 U C Q Q I j P l 7 G Z E v 5 M A b 2 J S r D k E G L 6 E F y E f k C u S Y S 9 O k b x w C a 5 m z 2 v e o X + 3 u I U 2 2 R T v 2 h A A A A A B d z V j t u h 5 E 8 x s F t R Y E P e g N u P m 2 W T C a c x T P N k v f h O x Z H G L K W l 0 g D R S J 1 C U b y L 0 G I D 7 O b M n N 0 3 2 8 F v T t F J q L Q A P A = = < / D a t a M a s h u p > 
</file>

<file path=customXml/itemProps1.xml><?xml version="1.0" encoding="utf-8"?>
<ds:datastoreItem xmlns:ds="http://schemas.openxmlformats.org/officeDocument/2006/customXml" ds:itemID="{166A0396-AC4F-4196-8A5A-59B4DC67BD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average_metrics (20 patrons) (4</vt:lpstr>
      <vt:lpstr>average_metrics (50 patrons) (4</vt:lpstr>
      <vt:lpstr>average_metrics (100 patrons) (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Walton</dc:creator>
  <cp:lastModifiedBy>Ethan Walton</cp:lastModifiedBy>
  <dcterms:created xsi:type="dcterms:W3CDTF">2024-05-05T15:14:08Z</dcterms:created>
  <dcterms:modified xsi:type="dcterms:W3CDTF">2024-05-06T16:50:53Z</dcterms:modified>
</cp:coreProperties>
</file>