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drawings/drawing480.xml" ContentType="application/vnd.openxmlformats-officedocument.drawing+xml"/>
  <Override PartName="/xl/drawings/drawing481.xml" ContentType="application/vnd.openxmlformats-officedocument.drawing+xml"/>
  <Override PartName="/xl/drawings/drawing48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142712AE-67D9-4E1D-8F1C-E3EEED891B42}" xr6:coauthVersionLast="47" xr6:coauthVersionMax="47" xr10:uidLastSave="{00000000-0000-0000-0000-000000000000}"/>
  <bookViews>
    <workbookView xWindow="-108" yWindow="-108" windowWidth="23256" windowHeight="12456" firstSheet="384" activeTab="389" xr2:uid="{91F0FA68-AA23-4E54-8C78-A25ED3FC3053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  <sheet name="c-497" sheetId="571" r:id="rId388"/>
    <sheet name="c-498" sheetId="572" r:id="rId389"/>
    <sheet name="c-499" sheetId="573" r:id="rId390"/>
    <sheet name="c-500" sheetId="574" r:id="rId391"/>
    <sheet name="c-501" sheetId="575" r:id="rId392"/>
    <sheet name="tabla 3" sheetId="577" r:id="rId393"/>
    <sheet name="tabla 4" sheetId="578" r:id="rId394"/>
    <sheet name="c-502" sheetId="576" r:id="rId395"/>
    <sheet name="c-503" sheetId="579" r:id="rId396"/>
    <sheet name="c-504" sheetId="580" r:id="rId397"/>
    <sheet name="c-505" sheetId="581" r:id="rId398"/>
    <sheet name="Tabla_5" sheetId="582" r:id="rId399"/>
    <sheet name="Tabla_6" sheetId="583" r:id="rId400"/>
    <sheet name="c-506" sheetId="584" r:id="rId401"/>
  </sheets>
  <externalReferences>
    <externalReference r:id="rId402"/>
    <externalReference r:id="rId403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" i="573" l="1"/>
  <c r="C8" i="573"/>
  <c r="C7" i="573"/>
  <c r="B9" i="573"/>
  <c r="B10" i="573" s="1"/>
  <c r="B8" i="573"/>
  <c r="B7" i="573"/>
  <c r="D10" i="573"/>
  <c r="E10" i="573"/>
  <c r="F10" i="573"/>
  <c r="G10" i="573"/>
  <c r="H10" i="573"/>
  <c r="I10" i="573"/>
  <c r="J10" i="573"/>
  <c r="K10" i="573"/>
  <c r="M10" i="573"/>
  <c r="N10" i="573"/>
  <c r="O10" i="573"/>
  <c r="P10" i="573"/>
  <c r="Q10" i="573"/>
  <c r="R10" i="573"/>
  <c r="C10" i="573" l="1"/>
  <c r="B22" i="572"/>
  <c r="B21" i="572"/>
  <c r="B20" i="572"/>
  <c r="B19" i="572"/>
  <c r="B18" i="572"/>
  <c r="B17" i="572"/>
  <c r="B15" i="572"/>
  <c r="B14" i="572"/>
  <c r="B13" i="572"/>
  <c r="B12" i="572"/>
  <c r="B11" i="572"/>
  <c r="B10" i="572"/>
  <c r="B9" i="572"/>
  <c r="B8" i="572"/>
  <c r="B7" i="572"/>
  <c r="B6" i="572"/>
  <c r="D6" i="584"/>
  <c r="D7" i="584"/>
  <c r="D8" i="584"/>
  <c r="D9" i="584"/>
  <c r="D10" i="584"/>
  <c r="D11" i="584"/>
  <c r="D12" i="584"/>
  <c r="D13" i="584"/>
  <c r="D14" i="584"/>
  <c r="D15" i="584"/>
  <c r="D16" i="584"/>
  <c r="D17" i="584"/>
  <c r="D18" i="584"/>
  <c r="D19" i="584"/>
  <c r="D20" i="584"/>
  <c r="D21" i="584"/>
  <c r="D22" i="584"/>
  <c r="D5" i="584"/>
  <c r="F6" i="584"/>
  <c r="F7" i="584"/>
  <c r="F8" i="584"/>
  <c r="F9" i="584"/>
  <c r="F10" i="584"/>
  <c r="F11" i="584"/>
  <c r="F12" i="584"/>
  <c r="F13" i="584"/>
  <c r="F14" i="584"/>
  <c r="F15" i="584"/>
  <c r="F16" i="584"/>
  <c r="F17" i="584"/>
  <c r="F18" i="584"/>
  <c r="F19" i="584"/>
  <c r="F20" i="584"/>
  <c r="F21" i="584"/>
  <c r="F22" i="584"/>
  <c r="F5" i="584"/>
  <c r="E5" i="584"/>
  <c r="C22" i="584"/>
  <c r="C21" i="584"/>
  <c r="C20" i="584"/>
  <c r="C19" i="584"/>
  <c r="C18" i="584"/>
  <c r="C17" i="584"/>
  <c r="C16" i="584"/>
  <c r="C15" i="584"/>
  <c r="C14" i="584"/>
  <c r="C13" i="584"/>
  <c r="C12" i="584"/>
  <c r="C11" i="584"/>
  <c r="C10" i="584"/>
  <c r="C9" i="584"/>
  <c r="C8" i="584"/>
  <c r="C7" i="584"/>
  <c r="C6" i="584"/>
  <c r="C5" i="584"/>
  <c r="B22" i="584"/>
  <c r="B21" i="584"/>
  <c r="B20" i="584"/>
  <c r="B19" i="584"/>
  <c r="B18" i="584"/>
  <c r="B17" i="584"/>
  <c r="B16" i="584"/>
  <c r="B15" i="584"/>
  <c r="B14" i="584"/>
  <c r="B13" i="584"/>
  <c r="B12" i="584"/>
  <c r="B11" i="584"/>
  <c r="B10" i="584"/>
  <c r="B9" i="584"/>
  <c r="B8" i="584"/>
  <c r="B7" i="584"/>
  <c r="B6" i="584"/>
  <c r="B5" i="584"/>
  <c r="D42" i="583"/>
  <c r="D44" i="583"/>
  <c r="D45" i="583"/>
  <c r="D38" i="583"/>
  <c r="D41" i="583"/>
  <c r="C37" i="583"/>
  <c r="G8" i="583" s="1"/>
  <c r="H8" i="583" s="1"/>
  <c r="D37" i="583" s="1"/>
  <c r="C38" i="583"/>
  <c r="G10" i="583" s="1"/>
  <c r="H10" i="583" s="1"/>
  <c r="C39" i="583"/>
  <c r="G12" i="583" s="1"/>
  <c r="H12" i="583" s="1"/>
  <c r="D39" i="583" s="1"/>
  <c r="C40" i="583"/>
  <c r="G14" i="583" s="1"/>
  <c r="H14" i="583" s="1"/>
  <c r="D40" i="583" s="1"/>
  <c r="C41" i="583"/>
  <c r="G16" i="583" s="1"/>
  <c r="H16" i="583" s="1"/>
  <c r="C42" i="583"/>
  <c r="C43" i="583"/>
  <c r="G20" i="583" s="1"/>
  <c r="H20" i="583" s="1"/>
  <c r="D43" i="583" s="1"/>
  <c r="C44" i="583"/>
  <c r="G22" i="583" s="1"/>
  <c r="H22" i="583" s="1"/>
  <c r="C45" i="583"/>
  <c r="G24" i="583" s="1"/>
  <c r="H24" i="583" s="1"/>
  <c r="C46" i="583"/>
  <c r="C47" i="583"/>
  <c r="F47" i="583"/>
  <c r="F46" i="583"/>
  <c r="F45" i="583"/>
  <c r="F44" i="583"/>
  <c r="F43" i="583"/>
  <c r="F42" i="583"/>
  <c r="F41" i="583"/>
  <c r="F40" i="583"/>
  <c r="F39" i="583"/>
  <c r="F38" i="583"/>
  <c r="F37" i="583"/>
  <c r="E38" i="583"/>
  <c r="E39" i="583"/>
  <c r="E40" i="583"/>
  <c r="E41" i="583"/>
  <c r="E42" i="583"/>
  <c r="E43" i="583"/>
  <c r="E44" i="583"/>
  <c r="E45" i="583"/>
  <c r="E46" i="583"/>
  <c r="E47" i="583"/>
  <c r="E37" i="583"/>
  <c r="E36" i="583"/>
  <c r="G28" i="583"/>
  <c r="H28" i="583" s="1"/>
  <c r="D47" i="583" s="1"/>
  <c r="G26" i="583"/>
  <c r="H26" i="583" s="1"/>
  <c r="D46" i="583" s="1"/>
  <c r="G18" i="583"/>
  <c r="H18" i="583" s="1"/>
  <c r="F36" i="583"/>
  <c r="G33" i="583"/>
  <c r="F28" i="583"/>
  <c r="F26" i="583"/>
  <c r="F24" i="583"/>
  <c r="F22" i="583"/>
  <c r="F20" i="583"/>
  <c r="F18" i="583"/>
  <c r="F16" i="583"/>
  <c r="F14" i="583"/>
  <c r="F12" i="583"/>
  <c r="F10" i="583"/>
  <c r="F8" i="583"/>
  <c r="E29" i="583"/>
  <c r="E28" i="583"/>
  <c r="E27" i="583"/>
  <c r="E26" i="583"/>
  <c r="E25" i="583"/>
  <c r="E24" i="583"/>
  <c r="E23" i="583"/>
  <c r="E22" i="583"/>
  <c r="E21" i="583"/>
  <c r="E20" i="583"/>
  <c r="E19" i="583"/>
  <c r="E18" i="583"/>
  <c r="E17" i="583"/>
  <c r="E16" i="583"/>
  <c r="E15" i="583"/>
  <c r="E14" i="583"/>
  <c r="E13" i="583"/>
  <c r="E12" i="583"/>
  <c r="E11" i="583"/>
  <c r="E10" i="583"/>
  <c r="E9" i="583"/>
  <c r="E8" i="583"/>
  <c r="E7" i="583"/>
  <c r="E6" i="583"/>
  <c r="B8" i="583"/>
  <c r="B10" i="583"/>
  <c r="B12" i="583"/>
  <c r="B14" i="583"/>
  <c r="B16" i="583"/>
  <c r="B18" i="583"/>
  <c r="B20" i="583"/>
  <c r="B22" i="583"/>
  <c r="B24" i="583"/>
  <c r="B26" i="583"/>
  <c r="B28" i="583"/>
  <c r="B6" i="583"/>
  <c r="B12" i="582"/>
  <c r="F17" i="581"/>
  <c r="E8" i="581"/>
  <c r="E9" i="581"/>
  <c r="E10" i="581"/>
  <c r="E16" i="581"/>
  <c r="E17" i="581"/>
  <c r="E18" i="581"/>
  <c r="D6" i="581"/>
  <c r="D7" i="581"/>
  <c r="D8" i="581"/>
  <c r="D9" i="581"/>
  <c r="D10" i="581"/>
  <c r="D11" i="581"/>
  <c r="D12" i="581"/>
  <c r="D13" i="581"/>
  <c r="D14" i="581"/>
  <c r="D15" i="581"/>
  <c r="D16" i="581"/>
  <c r="D17" i="581"/>
  <c r="D18" i="581"/>
  <c r="D19" i="581"/>
  <c r="D20" i="581"/>
  <c r="D21" i="581"/>
  <c r="D22" i="581"/>
  <c r="D5" i="581"/>
  <c r="C6" i="581"/>
  <c r="D6" i="582" s="1"/>
  <c r="D12" i="582" s="1"/>
  <c r="C7" i="581"/>
  <c r="F7" i="581" s="1"/>
  <c r="C8" i="581"/>
  <c r="F8" i="581" s="1"/>
  <c r="C9" i="581"/>
  <c r="C10" i="581"/>
  <c r="F10" i="581" s="1"/>
  <c r="C11" i="581"/>
  <c r="C12" i="581"/>
  <c r="F12" i="581" s="1"/>
  <c r="C13" i="581"/>
  <c r="F13" i="581" s="1"/>
  <c r="C14" i="581"/>
  <c r="F14" i="581" s="1"/>
  <c r="C15" i="581"/>
  <c r="F15" i="581" s="1"/>
  <c r="C16" i="581"/>
  <c r="F16" i="581" s="1"/>
  <c r="C17" i="581"/>
  <c r="C18" i="581"/>
  <c r="F18" i="581" s="1"/>
  <c r="C19" i="581"/>
  <c r="C20" i="581"/>
  <c r="F20" i="581" s="1"/>
  <c r="C21" i="581"/>
  <c r="F21" i="581" s="1"/>
  <c r="C22" i="581"/>
  <c r="D7" i="582" s="1"/>
  <c r="C5" i="581"/>
  <c r="B6" i="581"/>
  <c r="C6" i="582" s="1"/>
  <c r="B7" i="581"/>
  <c r="B8" i="581"/>
  <c r="B9" i="581"/>
  <c r="B10" i="581"/>
  <c r="B11" i="581"/>
  <c r="E11" i="581" s="1"/>
  <c r="B12" i="581"/>
  <c r="E12" i="581" s="1"/>
  <c r="B13" i="581"/>
  <c r="E13" i="581" s="1"/>
  <c r="B14" i="581"/>
  <c r="E15" i="581" s="1"/>
  <c r="B15" i="581"/>
  <c r="B16" i="581"/>
  <c r="B17" i="581"/>
  <c r="B18" i="581"/>
  <c r="B19" i="581"/>
  <c r="E19" i="581" s="1"/>
  <c r="B20" i="581"/>
  <c r="E20" i="581" s="1"/>
  <c r="B21" i="581"/>
  <c r="E21" i="581" s="1"/>
  <c r="B22" i="581"/>
  <c r="C7" i="582" s="1"/>
  <c r="B5" i="581"/>
  <c r="D9" i="576"/>
  <c r="D7" i="576"/>
  <c r="D6" i="576"/>
  <c r="C17" i="579"/>
  <c r="C16" i="579"/>
  <c r="C15" i="579"/>
  <c r="C14" i="579"/>
  <c r="C13" i="579"/>
  <c r="C12" i="579"/>
  <c r="C11" i="579"/>
  <c r="C10" i="579"/>
  <c r="C9" i="579"/>
  <c r="C8" i="579"/>
  <c r="C7" i="579"/>
  <c r="C6" i="579"/>
  <c r="D6" i="579"/>
  <c r="D7" i="579"/>
  <c r="D8" i="579"/>
  <c r="D9" i="579"/>
  <c r="D10" i="579"/>
  <c r="D11" i="579"/>
  <c r="D12" i="579"/>
  <c r="D13" i="579"/>
  <c r="D14" i="579"/>
  <c r="D15" i="579"/>
  <c r="D16" i="579"/>
  <c r="D17" i="579"/>
  <c r="C12" i="582" l="1"/>
  <c r="E7" i="581"/>
  <c r="E22" i="581"/>
  <c r="E14" i="581"/>
  <c r="F22" i="581"/>
  <c r="F19" i="581"/>
  <c r="F11" i="581"/>
  <c r="F9" i="581"/>
  <c r="E12" i="582"/>
  <c r="G6" i="582" s="1"/>
  <c r="H6" i="582" s="1"/>
  <c r="C15" i="573"/>
  <c r="D15" i="573"/>
  <c r="E15" i="573"/>
  <c r="F15" i="573"/>
  <c r="G15" i="573"/>
  <c r="H15" i="573"/>
  <c r="I15" i="573"/>
  <c r="J15" i="573"/>
  <c r="K15" i="573"/>
  <c r="L15" i="573"/>
  <c r="M15" i="573"/>
  <c r="N15" i="573"/>
  <c r="O15" i="573"/>
  <c r="P15" i="573"/>
  <c r="Q15" i="573"/>
  <c r="R15" i="573"/>
  <c r="C16" i="573"/>
  <c r="D16" i="573"/>
  <c r="E16" i="573"/>
  <c r="F16" i="573"/>
  <c r="G16" i="573"/>
  <c r="H16" i="573"/>
  <c r="I16" i="573"/>
  <c r="J16" i="573"/>
  <c r="K16" i="573"/>
  <c r="L16" i="573"/>
  <c r="M16" i="573"/>
  <c r="N16" i="573"/>
  <c r="O16" i="573"/>
  <c r="P16" i="573"/>
  <c r="Q16" i="573"/>
  <c r="R16" i="573"/>
  <c r="C17" i="573"/>
  <c r="D17" i="573"/>
  <c r="E17" i="573"/>
  <c r="F17" i="573"/>
  <c r="G17" i="573"/>
  <c r="H17" i="573"/>
  <c r="I17" i="573"/>
  <c r="J17" i="573"/>
  <c r="K17" i="573"/>
  <c r="L17" i="573"/>
  <c r="M17" i="573"/>
  <c r="N17" i="573"/>
  <c r="O17" i="573"/>
  <c r="P17" i="573"/>
  <c r="Q17" i="573"/>
  <c r="R17" i="573"/>
  <c r="C18" i="573"/>
  <c r="D18" i="573"/>
  <c r="E18" i="573"/>
  <c r="F18" i="573"/>
  <c r="G18" i="573"/>
  <c r="H18" i="573"/>
  <c r="I18" i="573"/>
  <c r="J18" i="573"/>
  <c r="K18" i="573"/>
  <c r="L18" i="573"/>
  <c r="M18" i="573"/>
  <c r="N18" i="573"/>
  <c r="O18" i="573"/>
  <c r="P18" i="573"/>
  <c r="Q18" i="573"/>
  <c r="R18" i="573"/>
  <c r="C19" i="573"/>
  <c r="D19" i="573"/>
  <c r="E19" i="573"/>
  <c r="F19" i="573"/>
  <c r="G19" i="573"/>
  <c r="H19" i="573"/>
  <c r="I19" i="573"/>
  <c r="J19" i="573"/>
  <c r="K19" i="573"/>
  <c r="M19" i="573"/>
  <c r="N19" i="573"/>
  <c r="O19" i="573"/>
  <c r="P19" i="573"/>
  <c r="Q19" i="573"/>
  <c r="R19" i="573"/>
  <c r="B16" i="573"/>
  <c r="B17" i="573"/>
  <c r="B18" i="573"/>
  <c r="B19" i="573"/>
  <c r="B15" i="573"/>
  <c r="E6" i="572"/>
  <c r="F6" i="572" s="1"/>
  <c r="E6" i="584" s="1"/>
  <c r="E16" i="572"/>
  <c r="E17" i="572"/>
  <c r="E18" i="572"/>
  <c r="F18" i="572" s="1"/>
  <c r="E18" i="584" s="1"/>
  <c r="E19" i="572"/>
  <c r="E20" i="572"/>
  <c r="E21" i="572"/>
  <c r="F21" i="572" s="1"/>
  <c r="E21" i="584" s="1"/>
  <c r="E22" i="572"/>
  <c r="E15" i="572"/>
  <c r="E14" i="572"/>
  <c r="F14" i="572" s="1"/>
  <c r="E14" i="584" s="1"/>
  <c r="E13" i="572"/>
  <c r="F13" i="572" s="1"/>
  <c r="E13" i="584" s="1"/>
  <c r="E12" i="572"/>
  <c r="E11" i="572"/>
  <c r="F11" i="572" s="1"/>
  <c r="E11" i="584" s="1"/>
  <c r="E10" i="572"/>
  <c r="F10" i="572" s="1"/>
  <c r="E10" i="584" s="1"/>
  <c r="E9" i="572"/>
  <c r="F9" i="572" s="1"/>
  <c r="E9" i="584" s="1"/>
  <c r="E8" i="572"/>
  <c r="E7" i="572"/>
  <c r="F7" i="572"/>
  <c r="E7" i="584" s="1"/>
  <c r="F15" i="572"/>
  <c r="E15" i="584" s="1"/>
  <c r="F8" i="572"/>
  <c r="E8" i="584" s="1"/>
  <c r="F12" i="572"/>
  <c r="E12" i="584" s="1"/>
  <c r="F17" i="572"/>
  <c r="E17" i="584" s="1"/>
  <c r="F19" i="572"/>
  <c r="E19" i="584" s="1"/>
  <c r="F20" i="572"/>
  <c r="E20" i="584" s="1"/>
  <c r="F22" i="572"/>
  <c r="E22" i="584" s="1"/>
  <c r="C22" i="571"/>
  <c r="C21" i="571"/>
  <c r="C20" i="571"/>
  <c r="C19" i="571"/>
  <c r="C18" i="571"/>
  <c r="C17" i="571"/>
  <c r="C16" i="571"/>
  <c r="C15" i="571"/>
  <c r="C14" i="571"/>
  <c r="C13" i="571"/>
  <c r="C12" i="571"/>
  <c r="C11" i="571"/>
  <c r="C10" i="571"/>
  <c r="C9" i="571"/>
  <c r="C8" i="571"/>
  <c r="C7" i="571"/>
  <c r="E21" i="571"/>
  <c r="E22" i="571"/>
  <c r="F9" i="571"/>
  <c r="F10" i="571"/>
  <c r="F11" i="571"/>
  <c r="F15" i="571"/>
  <c r="F16" i="571"/>
  <c r="F17" i="571"/>
  <c r="F18" i="571"/>
  <c r="F19" i="571"/>
  <c r="E7" i="571"/>
  <c r="F7" i="571" s="1"/>
  <c r="E8" i="571"/>
  <c r="F8" i="571" s="1"/>
  <c r="E9" i="571"/>
  <c r="E10" i="571"/>
  <c r="E11" i="571"/>
  <c r="E12" i="571"/>
  <c r="F12" i="571" s="1"/>
  <c r="E13" i="571"/>
  <c r="F13" i="571" s="1"/>
  <c r="E14" i="571"/>
  <c r="E15" i="571"/>
  <c r="E16" i="571"/>
  <c r="E17" i="571"/>
  <c r="E18" i="571"/>
  <c r="E19" i="571"/>
  <c r="E20" i="571"/>
  <c r="F20" i="571" s="1"/>
  <c r="E6" i="571"/>
  <c r="E9" i="570"/>
  <c r="E16" i="570"/>
  <c r="E17" i="570"/>
  <c r="E18" i="570"/>
  <c r="E20" i="570"/>
  <c r="H7" i="570"/>
  <c r="I7" i="570" s="1"/>
  <c r="H8" i="570"/>
  <c r="I8" i="570" s="1"/>
  <c r="H9" i="570"/>
  <c r="I10" i="570" s="1"/>
  <c r="H10" i="570"/>
  <c r="H11" i="570"/>
  <c r="I11" i="570" s="1"/>
  <c r="H12" i="570"/>
  <c r="I12" i="570" s="1"/>
  <c r="H13" i="570"/>
  <c r="I13" i="570" s="1"/>
  <c r="H14" i="570"/>
  <c r="I14" i="570" s="1"/>
  <c r="H15" i="570"/>
  <c r="I15" i="570" s="1"/>
  <c r="H16" i="570"/>
  <c r="I16" i="570" s="1"/>
  <c r="H17" i="570"/>
  <c r="I18" i="570" s="1"/>
  <c r="H18" i="570"/>
  <c r="H19" i="570"/>
  <c r="I19" i="570" s="1"/>
  <c r="H20" i="570"/>
  <c r="I20" i="570" s="1"/>
  <c r="H21" i="570"/>
  <c r="I21" i="570" s="1"/>
  <c r="H22" i="570"/>
  <c r="I22" i="570" s="1"/>
  <c r="H6" i="570"/>
  <c r="D21" i="570"/>
  <c r="E21" i="570" s="1"/>
  <c r="D19" i="570"/>
  <c r="E19" i="570" s="1"/>
  <c r="D18" i="570"/>
  <c r="D17" i="570"/>
  <c r="D16" i="570"/>
  <c r="D14" i="570"/>
  <c r="E14" i="570" s="1"/>
  <c r="D13" i="570"/>
  <c r="E13" i="570" s="1"/>
  <c r="D12" i="570"/>
  <c r="E12" i="570" s="1"/>
  <c r="D11" i="570"/>
  <c r="E11" i="570" s="1"/>
  <c r="D10" i="570"/>
  <c r="E10" i="570" s="1"/>
  <c r="D9" i="570"/>
  <c r="D8" i="570"/>
  <c r="E8" i="570" s="1"/>
  <c r="D7" i="570"/>
  <c r="E7" i="570" s="1"/>
  <c r="D6" i="570"/>
  <c r="D15" i="570"/>
  <c r="E15" i="570" s="1"/>
  <c r="D20" i="570"/>
  <c r="D22" i="570"/>
  <c r="E22" i="570" s="1"/>
  <c r="E6" i="582" l="1"/>
  <c r="F6" i="583"/>
  <c r="F6" i="582"/>
  <c r="C36" i="583"/>
  <c r="G6" i="583" s="1"/>
  <c r="H6" i="583" s="1"/>
  <c r="D36" i="583" s="1"/>
  <c r="G21" i="572"/>
  <c r="G18" i="572"/>
  <c r="G19" i="572"/>
  <c r="G22" i="572"/>
  <c r="G15" i="572"/>
  <c r="G12" i="572"/>
  <c r="G9" i="572"/>
  <c r="G8" i="572"/>
  <c r="G13" i="572"/>
  <c r="G11" i="572"/>
  <c r="G14" i="572"/>
  <c r="G7" i="572"/>
  <c r="G20" i="572"/>
  <c r="G10" i="572"/>
  <c r="F14" i="571"/>
  <c r="F21" i="571"/>
  <c r="F22" i="571"/>
  <c r="I17" i="570"/>
  <c r="I9" i="570"/>
  <c r="D7" i="568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  <c r="L10" i="573"/>
  <c r="L19" i="573" s="1"/>
  <c r="B16" i="572" l="1"/>
  <c r="F16" i="572" s="1"/>
  <c r="E16" i="584" l="1"/>
  <c r="G16" i="572"/>
  <c r="G17" i="572"/>
</calcChain>
</file>

<file path=xl/sharedStrings.xml><?xml version="1.0" encoding="utf-8"?>
<sst xmlns="http://schemas.openxmlformats.org/spreadsheetml/2006/main" count="16885" uniqueCount="1015">
  <si>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</si>
  <si>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</si>
  <si>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</si>
  <si>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</si>
  <si>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</si>
  <si>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</si>
  <si>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</si>
  <si>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</si>
  <si>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</si>
  <si>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</si>
  <si>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</si>
  <si>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</si>
  <si>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</si>
  <si>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</si>
  <si>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</si>
  <si>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</si>
  <si>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</si>
  <si>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</si>
  <si>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</si>
  <si>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</si>
  <si>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</si>
  <si>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</si>
  <si>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</si>
  <si>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</si>
  <si>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</si>
  <si>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</si>
  <si>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</si>
  <si>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</si>
  <si>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</si>
  <si>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</si>
  <si>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</si>
  <si>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</si>
  <si>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</si>
  <si>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</si>
  <si>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</si>
  <si>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</si>
  <si>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</si>
  <si>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</si>
  <si>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</si>
  <si>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</si>
  <si>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</si>
  <si>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</si>
  <si>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</si>
  <si>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</si>
  <si>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</si>
  <si>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</si>
  <si>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</si>
  <si>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</si>
  <si>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</si>
  <si>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</si>
  <si>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</si>
  <si>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</si>
  <si>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</si>
  <si>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</si>
  <si>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</si>
  <si>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</si>
  <si>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</si>
  <si>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</si>
  <si>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</si>
  <si>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</si>
  <si>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</si>
  <si>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</si>
  <si>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</si>
  <si>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</si>
  <si>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</si>
  <si>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</si>
  <si>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</si>
  <si>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</si>
  <si>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</si>
  <si>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</si>
  <si>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</si>
  <si>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</si>
  <si>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</si>
  <si>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</si>
  <si>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</si>
  <si>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</si>
  <si>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</si>
  <si>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</si>
  <si>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</si>
  <si>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</si>
  <si>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</si>
  <si>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</si>
  <si>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</si>
  <si>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</si>
  <si>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</si>
  <si>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</si>
  <si>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</si>
  <si>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</si>
  <si>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</si>
  <si>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</si>
  <si>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</si>
  <si>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</si>
  <si>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</si>
  <si>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</si>
  <si>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</si>
  <si>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</si>
  <si>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</si>
  <si>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</si>
  <si>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</si>
  <si>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</si>
  <si>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</si>
  <si>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</si>
  <si>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</si>
  <si>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</si>
  <si>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</si>
  <si>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</si>
  <si>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</si>
  <si>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</si>
  <si>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</si>
  <si>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</si>
  <si>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</si>
  <si>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</si>
  <si>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</si>
  <si>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</si>
  <si>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</si>
  <si>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</si>
  <si>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</si>
  <si>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</si>
  <si>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</si>
  <si>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</si>
  <si>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</si>
  <si>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</si>
  <si>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</si>
  <si>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</si>
  <si>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</si>
  <si>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</si>
  <si>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</si>
  <si>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</si>
  <si>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</si>
  <si>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</si>
  <si>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</si>
  <si>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</si>
  <si>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</si>
  <si>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</si>
  <si>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</si>
  <si>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</si>
  <si>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</si>
  <si>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</si>
  <si>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</si>
  <si>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</si>
  <si>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</si>
  <si>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</si>
  <si>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</si>
  <si>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</si>
  <si>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</si>
  <si>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</si>
  <si>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</si>
  <si>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</si>
  <si>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</si>
  <si>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</si>
  <si>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</si>
  <si>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</si>
  <si>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</si>
  <si>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</si>
  <si>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</si>
  <si>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</si>
  <si>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</si>
  <si>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</si>
  <si>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</si>
  <si>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</si>
  <si>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</si>
  <si>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</si>
  <si>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</si>
  <si>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</si>
  <si>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</si>
  <si>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</si>
  <si>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</si>
  <si>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</si>
  <si>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</si>
  <si>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</si>
  <si>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</si>
  <si>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</si>
  <si>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</si>
  <si>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</si>
  <si>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</si>
  <si>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</si>
  <si>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</si>
  <si>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</si>
  <si>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</si>
  <si>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</si>
  <si>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</si>
  <si>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</si>
  <si>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</si>
  <si>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</si>
  <si>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</si>
  <si>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</si>
  <si>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</si>
  <si>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</si>
  <si>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</si>
  <si>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</si>
  <si>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</si>
  <si>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</si>
  <si>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</si>
  <si>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</si>
  <si>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</si>
  <si>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</si>
  <si>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</si>
  <si>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</si>
  <si>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</si>
  <si>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</si>
  <si>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</si>
  <si>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</si>
  <si>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</si>
  <si>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</si>
  <si>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</si>
  <si>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</si>
  <si>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</si>
  <si>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</si>
  <si>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</si>
  <si>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</si>
  <si>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</si>
  <si>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</si>
  <si>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</si>
  <si>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</si>
  <si>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</si>
  <si>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</si>
  <si>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</si>
  <si>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</si>
  <si>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</si>
  <si>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</si>
  <si>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</si>
  <si>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</si>
  <si>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</si>
  <si>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</si>
  <si>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</si>
  <si>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</si>
  <si>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</si>
  <si>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</si>
  <si>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</si>
  <si>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</si>
  <si>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</si>
  <si>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</si>
  <si>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</si>
  <si>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</si>
  <si>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</si>
  <si>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</si>
  <si>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</si>
  <si>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</si>
  <si>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</si>
  <si>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</si>
  <si>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</si>
  <si>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</si>
  <si>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</si>
  <si>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</si>
  <si>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</si>
  <si>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</si>
  <si>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</si>
  <si>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</si>
  <si>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</si>
  <si>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</si>
  <si>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</si>
  <si>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</si>
  <si>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</si>
  <si>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</si>
  <si>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</si>
  <si>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</si>
  <si>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</si>
  <si>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</si>
  <si>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</si>
  <si>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</si>
  <si>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</si>
  <si>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</si>
  <si>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</si>
  <si>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</si>
  <si>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</si>
  <si>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</si>
  <si>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</si>
  <si>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</si>
  <si>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</si>
  <si>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</si>
  <si>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</si>
  <si>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</si>
  <si>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</si>
  <si>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</si>
  <si>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</si>
  <si>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</si>
  <si>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</si>
  <si>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</si>
  <si>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</si>
  <si>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</si>
  <si>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</si>
  <si>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</si>
  <si>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</si>
  <si>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</si>
  <si>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</si>
  <si>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</si>
  <si>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</si>
  <si>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</si>
  <si>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</si>
  <si>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</si>
  <si>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</si>
  <si>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</si>
  <si>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</si>
  <si>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</si>
  <si>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</si>
  <si>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</si>
  <si>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</si>
  <si>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</si>
  <si>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</si>
  <si>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</si>
  <si>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</si>
  <si>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</si>
  <si>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</si>
  <si>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</si>
  <si>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</si>
  <si>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</si>
  <si>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</si>
  <si>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</si>
  <si>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</si>
  <si>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</si>
  <si>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</si>
  <si>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</si>
  <si>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</si>
  <si>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</si>
  <si>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</si>
  <si>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</si>
  <si>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</si>
  <si>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</si>
  <si>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</si>
  <si>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</si>
  <si>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</si>
  <si>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</si>
  <si>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</si>
  <si>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</si>
  <si>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</si>
  <si>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</si>
  <si>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</si>
  <si>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</si>
  <si>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</si>
  <si>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</si>
  <si>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</si>
  <si>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</si>
  <si>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</si>
  <si>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</si>
  <si>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</si>
  <si>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</si>
  <si>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</si>
  <si>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</si>
  <si>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</si>
  <si>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</si>
  <si>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</si>
  <si>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</si>
  <si>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</si>
  <si>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</si>
  <si>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</si>
  <si>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</si>
  <si>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</si>
  <si>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</si>
  <si>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</si>
  <si>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</si>
  <si>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</si>
  <si>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</si>
  <si>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</si>
  <si>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</si>
  <si>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</si>
  <si>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</si>
  <si>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</si>
  <si>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</si>
  <si>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</si>
  <si>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</si>
  <si>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</si>
  <si>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</si>
  <si>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</si>
  <si>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</si>
  <si>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</si>
  <si>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</si>
  <si>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</si>
  <si>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</si>
  <si>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</si>
  <si>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</si>
  <si>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</si>
  <si>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</si>
  <si>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</si>
  <si>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</si>
  <si>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</si>
  <si>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</si>
  <si>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</si>
  <si>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</si>
  <si>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</si>
  <si>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</si>
  <si>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</si>
  <si>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</si>
  <si>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</si>
  <si>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</si>
  <si>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</si>
  <si>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</si>
  <si>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</si>
  <si>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</si>
  <si>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</si>
  <si>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</si>
  <si>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</si>
  <si>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</si>
  <si>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</si>
  <si>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</si>
  <si>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</si>
  <si>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</si>
  <si>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</si>
  <si>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</si>
  <si>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</si>
  <si>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</si>
  <si>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</si>
  <si>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</si>
  <si>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</si>
  <si>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</si>
  <si>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</si>
  <si>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</si>
  <si>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</si>
  <si>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</si>
  <si>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</si>
  <si>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</si>
  <si>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</si>
  <si>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</si>
  <si>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</si>
  <si>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</si>
  <si>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</si>
  <si>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</si>
  <si>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</si>
  <si>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</si>
  <si>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</si>
  <si>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</si>
  <si>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</si>
  <si>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</si>
  <si>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</si>
  <si>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</si>
  <si>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</si>
  <si>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</si>
  <si>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</si>
  <si>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</si>
  <si>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</si>
  <si>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</si>
  <si>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</si>
  <si>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</si>
  <si>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</si>
  <si>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</si>
  <si>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</si>
  <si>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</si>
  <si>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</si>
  <si>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</si>
  <si>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</si>
  <si>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</si>
  <si>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</si>
  <si>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</si>
  <si>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</si>
  <si>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</si>
  <si>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</si>
  <si>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</si>
  <si>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</si>
  <si>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</si>
  <si>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</si>
  <si>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</si>
  <si>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</si>
  <si>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</si>
  <si>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</si>
  <si>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</si>
  <si>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</si>
  <si>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</si>
  <si>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</si>
  <si>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</si>
  <si>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</si>
  <si>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</si>
  <si>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</si>
  <si>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</si>
  <si>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</si>
  <si>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</si>
  <si>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</si>
  <si>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</si>
  <si>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</si>
  <si>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</si>
  <si>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</si>
  <si>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</si>
  <si>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</si>
  <si>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</si>
  <si>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</si>
  <si>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</si>
  <si>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</si>
  <si>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</si>
  <si>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</si>
  <si>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</si>
  <si>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</si>
  <si>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</si>
  <si>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</si>
  <si>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</si>
  <si>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</si>
  <si>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</si>
  <si>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</si>
  <si>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</si>
  <si>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</si>
  <si>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</si>
  <si>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</si>
  <si>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</si>
  <si>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</si>
  <si>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</si>
  <si>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</si>
  <si>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</si>
  <si>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</si>
  <si>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</si>
  <si>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</si>
  <si>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</si>
  <si>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</si>
  <si>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</si>
  <si>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</si>
  <si>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</si>
  <si>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</si>
  <si>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</si>
  <si>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</si>
  <si>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</si>
  <si>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</si>
  <si>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</si>
  <si>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</si>
  <si>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</si>
  <si>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</si>
  <si>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</si>
  <si>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</si>
  <si>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</si>
  <si>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</si>
  <si>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</si>
  <si>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</si>
  <si>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</si>
  <si>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</si>
  <si>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</si>
  <si>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</si>
  <si>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</si>
  <si>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</si>
  <si>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</si>
  <si>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</si>
  <si>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</si>
  <si>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</si>
  <si>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</si>
  <si>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</si>
  <si>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</si>
  <si>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</si>
  <si>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</si>
  <si>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</si>
  <si>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</si>
  <si>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</si>
  <si>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</si>
  <si>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</si>
  <si>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</si>
  <si>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</si>
  <si>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</si>
  <si>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</si>
  <si>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</si>
  <si>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</si>
  <si>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</si>
  <si>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</si>
  <si>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</si>
  <si>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</si>
  <si>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</si>
  <si>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</si>
  <si>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</si>
  <si>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</si>
  <si>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</si>
  <si>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</si>
  <si>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</si>
  <si>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</si>
  <si>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</si>
  <si>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</si>
  <si>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</si>
  <si>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</si>
  <si>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</si>
  <si>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</si>
  <si>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</si>
  <si>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</si>
  <si>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</si>
  <si>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</si>
  <si>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</si>
  <si>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</si>
  <si>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</si>
  <si>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</si>
  <si>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</si>
  <si>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</si>
  <si>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</si>
  <si>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</si>
  <si>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</si>
  <si>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</si>
  <si>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</si>
  <si>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</si>
  <si>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</si>
  <si>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</si>
  <si>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</si>
  <si>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</si>
  <si>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</si>
  <si>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</si>
  <si>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</si>
  <si>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</si>
  <si>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</si>
  <si>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</si>
  <si>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</si>
  <si>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</si>
  <si>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</si>
  <si>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</si>
  <si>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</si>
  <si>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</si>
  <si>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</si>
  <si>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</si>
  <si>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</si>
  <si>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</si>
  <si>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</si>
  <si>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</si>
  <si>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</si>
  <si>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</si>
  <si>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</si>
  <si>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</si>
  <si>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</si>
  <si>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</si>
  <si>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</si>
  <si>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</si>
  <si>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</si>
  <si>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</si>
  <si>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</si>
  <si>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</si>
  <si>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</si>
  <si>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</si>
  <si>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</si>
  <si>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</si>
  <si>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</si>
  <si>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</si>
  <si>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</si>
  <si>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</si>
  <si>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</si>
  <si>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</si>
  <si>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</si>
  <si>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</si>
  <si>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</si>
  <si>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</si>
  <si>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</si>
  <si>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</si>
  <si>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</si>
  <si>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</si>
  <si>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</si>
  <si>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</si>
  <si>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</si>
  <si>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</si>
  <si>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</si>
  <si>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</si>
  <si>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</si>
  <si>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</si>
  <si>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</si>
  <si>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</si>
  <si>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</si>
  <si>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</si>
  <si>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</si>
  <si>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</si>
  <si>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</si>
  <si>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</si>
  <si>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</si>
  <si>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</si>
  <si>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</si>
  <si>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</si>
  <si>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</si>
  <si>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</si>
  <si>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</si>
  <si>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</si>
  <si>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</si>
  <si>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</si>
  <si>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</si>
  <si>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</si>
  <si>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</si>
  <si>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</si>
  <si>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</si>
  <si>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</si>
  <si>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</si>
  <si>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</si>
  <si>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</si>
  <si>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</si>
  <si>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</si>
  <si>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</si>
  <si>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</si>
  <si>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</si>
  <si>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</si>
  <si>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</si>
  <si>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</si>
  <si>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</si>
  <si>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</si>
  <si>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</si>
  <si>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</si>
  <si>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</si>
  <si>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</si>
  <si>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</si>
  <si>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</si>
  <si>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</si>
  <si>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</si>
  <si>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</si>
  <si>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</si>
  <si>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</si>
  <si>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</si>
  <si>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</si>
  <si>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</si>
  <si>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</si>
  <si>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</si>
  <si>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</si>
  <si>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</si>
  <si>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</si>
  <si>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</si>
  <si>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</si>
  <si>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</si>
  <si>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</si>
  <si>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</si>
  <si>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</si>
  <si>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</si>
  <si>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</si>
  <si>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</si>
  <si>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</si>
  <si>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</si>
  <si>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</si>
  <si>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</si>
  <si>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</si>
  <si>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</si>
  <si>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</si>
  <si>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</si>
  <si>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</si>
  <si>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</si>
  <si>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</si>
  <si>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</si>
  <si>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</si>
  <si>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</si>
  <si>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</si>
  <si>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</si>
  <si>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</si>
  <si>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</si>
  <si>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</si>
  <si>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</si>
  <si>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</si>
  <si>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</si>
  <si>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</si>
  <si>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</si>
  <si>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</si>
  <si>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</si>
  <si>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</si>
  <si>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</si>
  <si>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</si>
  <si>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</si>
  <si>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</si>
  <si>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</si>
  <si>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</si>
  <si>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</si>
  <si>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</si>
  <si>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</si>
  <si>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</si>
  <si>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</si>
  <si>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</si>
  <si>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</si>
  <si>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</si>
  <si>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</si>
  <si>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</si>
  <si>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</si>
  <si>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</si>
  <si>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</si>
  <si>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</si>
  <si>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</si>
  <si>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</si>
  <si>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</si>
  <si>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</si>
  <si>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</si>
  <si>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</si>
  <si>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</si>
  <si>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</si>
  <si>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</si>
  <si>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</si>
  <si>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</si>
  <si>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</si>
  <si>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</si>
  <si>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</si>
  <si>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</si>
  <si>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</si>
  <si>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</si>
  <si>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</si>
  <si>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</si>
  <si>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</si>
  <si>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</si>
  <si>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</si>
  <si>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</si>
  <si>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</si>
  <si>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</si>
  <si>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</si>
  <si>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</si>
  <si>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</si>
  <si>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</si>
  <si>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</si>
  <si>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</si>
  <si>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</si>
  <si>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</si>
  <si>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</si>
  <si>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</si>
  <si>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</si>
  <si>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</si>
  <si>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</si>
  <si>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</si>
  <si>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</si>
  <si>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</si>
  <si>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</si>
  <si>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</si>
  <si>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</si>
  <si>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</si>
  <si>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</si>
  <si>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</si>
  <si>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</si>
  <si>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</si>
  <si>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</si>
  <si>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</si>
  <si>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</si>
  <si>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</si>
  <si>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</si>
  <si>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</si>
  <si>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</si>
  <si>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</si>
  <si>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</si>
  <si>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</si>
  <si>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</si>
  <si>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</si>
  <si>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</si>
  <si>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</si>
  <si>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</si>
  <si>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</si>
  <si>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</si>
  <si>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</si>
  <si>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</si>
  <si>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</si>
  <si>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</si>
  <si>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</si>
  <si>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</si>
  <si>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</si>
  <si>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</si>
  <si>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</si>
  <si>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</si>
  <si>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</si>
  <si>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</si>
  <si>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</si>
  <si>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</si>
  <si>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</si>
  <si>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</si>
  <si>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</si>
  <si>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</si>
  <si>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</si>
  <si>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</si>
  <si>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</si>
  <si>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</si>
  <si>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</si>
  <si>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</si>
  <si>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</si>
  <si>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</si>
  <si>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</si>
  <si>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</si>
  <si>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</si>
  <si>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</si>
  <si>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</si>
  <si>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</si>
  <si>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</si>
  <si>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</si>
  <si>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</si>
  <si>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</si>
  <si>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</si>
  <si>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</si>
  <si>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</si>
  <si>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</si>
  <si>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</si>
  <si>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</si>
  <si>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</si>
  <si>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crec_percapita_la_libertad</t>
  </si>
  <si>
    <t>Población, pbi real, pbi percapita y crecimiento percapita del peru y de la Libertad 2007-2023</t>
  </si>
  <si>
    <t>Cuadro Nº 497</t>
  </si>
  <si>
    <t>ingreso_trabajo_mensual</t>
  </si>
  <si>
    <t>Ingreso promedio mensual y anual proveniente del trabajo La Libertad</t>
  </si>
  <si>
    <t>ingreso_trabajo_anual</t>
  </si>
  <si>
    <t>crec_ingresos_trabajo</t>
  </si>
  <si>
    <t>saneamiento</t>
  </si>
  <si>
    <t>total_gasto</t>
  </si>
  <si>
    <t>salud</t>
  </si>
  <si>
    <t>educacion</t>
  </si>
  <si>
    <t>proteccion_social</t>
  </si>
  <si>
    <t>Cuadro Nº 498</t>
  </si>
  <si>
    <t>Cuadro Nº 499</t>
  </si>
  <si>
    <t>Evolución de los componentes del Gasto Social en La Libertad 2007-2023: valores a precios constantes de 2007</t>
  </si>
  <si>
    <t>Gasto Social devengado anual de La Libertad 2007-2023</t>
  </si>
  <si>
    <t>Consumo 
del 
Gobierno</t>
  </si>
  <si>
    <t>gasto_social_nominal</t>
  </si>
  <si>
    <t>deflactor</t>
  </si>
  <si>
    <t>gasto_social_real</t>
  </si>
  <si>
    <t>crec_gasto_social_real</t>
  </si>
  <si>
    <t>gasto_nominal</t>
  </si>
  <si>
    <t>gasto_real</t>
  </si>
  <si>
    <t>deflactor_por_año</t>
  </si>
  <si>
    <r>
      <t xml:space="preserve">PERÚ: PRODUCTO BRUTO INTERNO POR TIPO DE GASTO, 1994-2023
</t>
    </r>
    <r>
      <rPr>
        <sz val="10"/>
        <color rgb="FF0070C0"/>
        <rFont val="Calibri"/>
        <family val="2"/>
        <scheme val="minor"/>
      </rPr>
      <t>Valores a precios corrientes
(Millones de soles)</t>
    </r>
  </si>
  <si>
    <t xml:space="preserve">Producto 
Bruto 
Interno </t>
  </si>
  <si>
    <t>Consumo 
Final 
Privado</t>
  </si>
  <si>
    <t>Formación 
Bruta de 
Capital</t>
  </si>
  <si>
    <t>Exportaciones</t>
  </si>
  <si>
    <t>Importaciones</t>
  </si>
  <si>
    <t>2021P/</t>
  </si>
  <si>
    <t>2022P/</t>
  </si>
  <si>
    <t>2023E/</t>
  </si>
  <si>
    <t>Fuente: Instituto Nacional de Estadística e Informática.</t>
  </si>
  <si>
    <t>Cuadro Nº 500</t>
  </si>
  <si>
    <r>
      <t xml:space="preserve">PERÚ: PRODUCTO BRUTO INTERNO POR TIPO DE GASTO, 1950-2023
</t>
    </r>
    <r>
      <rPr>
        <sz val="10"/>
        <color rgb="FF0070C0"/>
        <rFont val="Calibri"/>
        <family val="2"/>
        <scheme val="minor"/>
      </rPr>
      <t>Valores a precios constantes de 2007
(Millones de soles)</t>
    </r>
  </si>
  <si>
    <t xml:space="preserve">Formación 
Bruta de 
Capital </t>
  </si>
  <si>
    <t>Cuadro Nº 501</t>
  </si>
  <si>
    <t>consumo_gobierno(corriente-Millones S/)</t>
  </si>
  <si>
    <t>consumo_gobierno(constante-Millones S/)</t>
  </si>
  <si>
    <t>PBI por tipo de gasto a precios corrientes en millones de soles</t>
  </si>
  <si>
    <t>PBI por tipo de gasto a precios constantes con valores de 2007 en millones de soles</t>
  </si>
  <si>
    <t>Cuadro Nº 502</t>
  </si>
  <si>
    <t>(Porcentaje respecto del total de población)</t>
  </si>
  <si>
    <t>Tabla N° 3: Intervalos de confianza de la tasa de pobreza, según grupos de departamentos con niveles de pobreza estadísticamente semejantes, 2023</t>
  </si>
  <si>
    <t>Grupo</t>
  </si>
  <si>
    <t>Intervalo de confianza al 95%</t>
  </si>
  <si>
    <t>Superior</t>
  </si>
  <si>
    <t>Inferior</t>
  </si>
  <si>
    <t>Grupo 1</t>
  </si>
  <si>
    <t>Grupo 2</t>
  </si>
  <si>
    <t>Grupo 3</t>
  </si>
  <si>
    <t>Grupo 4</t>
  </si>
  <si>
    <t>Grupo 5</t>
  </si>
  <si>
    <t>Ayacucho, Cajamarca, Huancavelica, Huánuco, Loreto, Pasco, Puno</t>
  </si>
  <si>
    <t>Arequipa, Lambayeque, Madre de Dios, Moquegua</t>
  </si>
  <si>
    <t>La Libertad, Piura, Tumbes</t>
  </si>
  <si>
    <t>Amazonas, Áncash, Apurímac, Cusco, Junín, Lima , San Martín, Tacna, Ucayali</t>
  </si>
  <si>
    <t>39,9</t>
  </si>
  <si>
    <t>43,8</t>
  </si>
  <si>
    <t>27,9</t>
  </si>
  <si>
    <t>31,4</t>
  </si>
  <si>
    <t>23,1</t>
  </si>
  <si>
    <t>25,8</t>
  </si>
  <si>
    <t>13,7</t>
  </si>
  <si>
    <t>17,6</t>
  </si>
  <si>
    <t>4,7</t>
  </si>
  <si>
    <t>9,2</t>
  </si>
  <si>
    <t>PERÚ: EVOLUCIÓN DE LA INCIDENCIA DE LA POBREZA TOTAL, POBREZA EXTREMA 2007-2023</t>
  </si>
  <si>
    <t>pobreza_total_peru</t>
  </si>
  <si>
    <t>pobreza_extrema_peru</t>
  </si>
  <si>
    <t>pobreza_total_la_libertad</t>
  </si>
  <si>
    <t>pobreza_extrema_la_libertad</t>
  </si>
  <si>
    <t>Tabla N° 4: Intervalos de confianza de la tasa de pobreza extrema, según grupos de departamentos con niveles de pobreza extrema estadísticamente semejantes, 2023</t>
  </si>
  <si>
    <t>Cajamarca, Huancavelica, Loreto, Puno</t>
  </si>
  <si>
    <t>Amazonas, Ayacucho, , Huánuco, La Libertad, , Pasco</t>
  </si>
  <si>
    <t>Áncash, Apurímac, Cusco, Junín, Lima , Piura, Ucayali</t>
  </si>
  <si>
    <t>Arequipa, Madre de Dios, Moquegua,  San Martín, Tacna,</t>
  </si>
  <si>
    <t>Ica, Lambayeque, Tumbes</t>
  </si>
  <si>
    <t>SANTIAGO DE CHUCO</t>
  </si>
  <si>
    <t>PATAZ</t>
  </si>
  <si>
    <t>PACASMAYO</t>
  </si>
  <si>
    <t>OTUZCO</t>
  </si>
  <si>
    <t>ASCOPE</t>
  </si>
  <si>
    <t>TRUJILLO</t>
  </si>
  <si>
    <t>Cuadro Nº 503</t>
  </si>
  <si>
    <t>PERÚ: POBLACIÓN Y CONDICIÓN DE POBREZA,  DEPARTAMENTO DE LA LIBERTAD Y PROVINCIAS, 2007 y 2018</t>
  </si>
  <si>
    <t>pobreza_2007</t>
  </si>
  <si>
    <t>pobreza_2018</t>
  </si>
  <si>
    <t>BOLIVAR</t>
  </si>
  <si>
    <t>JULCAN</t>
  </si>
  <si>
    <t>GRAN CHIMU</t>
  </si>
  <si>
    <t>VIRU</t>
  </si>
  <si>
    <t>CHEPEN</t>
  </si>
  <si>
    <t>Provincias_LL</t>
  </si>
  <si>
    <t>SANCHEZ CARRION</t>
  </si>
  <si>
    <t>pobreza_2013</t>
  </si>
  <si>
    <t>Cuadro Nº 504</t>
  </si>
  <si>
    <t>GRÁFICA N° 15 EVOLUCIÓN DE LAS CARENCIAS SOCIALES DE LA LIBERTAD 2007-2023</t>
  </si>
  <si>
    <t>porcentaje respecto al total de la población</t>
  </si>
  <si>
    <t>viviendas_inadecuadas</t>
  </si>
  <si>
    <t>viviendas_con_hacinamiento</t>
  </si>
  <si>
    <t>inasistencia_escolar_niños</t>
  </si>
  <si>
    <t>viviendas_sin_servicios_h</t>
  </si>
  <si>
    <t>alta_dependencia_económica</t>
  </si>
  <si>
    <t>Cuadro Nº 505</t>
  </si>
  <si>
    <t>precios constantes 2007 en nuevos soles - porcentaje respecto al total de la población</t>
  </si>
  <si>
    <t>PERÚ: EVOLUCIÓN DE LA INCIDENCIA DE LA POBREZA TOTAL, POBREZA EXTREMA</t>
  </si>
  <si>
    <t>GRÁFICA N° 16: PBI per cápita real y pobreza periodo 2007-2023</t>
  </si>
  <si>
    <t>Tabla N° 5: ELASTICIDAD POBREZA - CRECIMIENTO PROMEDIO ANUAL 2007-2023</t>
  </si>
  <si>
    <t>anual(x)</t>
  </si>
  <si>
    <t>Pobreza</t>
  </si>
  <si>
    <t>Var% pobreza</t>
  </si>
  <si>
    <t>anual(y)</t>
  </si>
  <si>
    <t>Elasticidad(Y/X)</t>
  </si>
  <si>
    <t>Tipo</t>
  </si>
  <si>
    <t>crec_pbi</t>
  </si>
  <si>
    <t>crec_pobreza_total</t>
  </si>
  <si>
    <t>CAGR PBI per</t>
  </si>
  <si>
    <t>CAGR pobreza</t>
  </si>
  <si>
    <t>CALCULO DE CAGR: tasa de crecimiento anual compuesta</t>
  </si>
  <si>
    <t>Elasticidad pobreza - crecimiento</t>
  </si>
  <si>
    <t>N° Años</t>
  </si>
  <si>
    <t>Tipo de crecimiento</t>
  </si>
  <si>
    <t>Interpretación</t>
  </si>
  <si>
    <t>Elasticidad (ε)</t>
  </si>
  <si>
    <t>Pro-pobre fuerte</t>
  </si>
  <si>
    <t>La pobreza cae más que proporcionalmente al crecimiento económico</t>
  </si>
  <si>
    <t>Pro-pobre débil</t>
  </si>
  <si>
    <t>Neutro</t>
  </si>
  <si>
    <t>Por goteo (Trickle-down)</t>
  </si>
  <si>
    <t>Empobrecedor</t>
  </si>
  <si>
    <t>pbi_per_cap</t>
  </si>
  <si>
    <t>Var% pbi_per_cap</t>
  </si>
  <si>
    <t>ε&lt;−1</t>
  </si>
  <si>
    <t>−1&lt;ε&lt;0</t>
  </si>
  <si>
    <t>ε=0</t>
  </si>
  <si>
    <t>ε&gt;0 y crecimiento económico</t>
  </si>
  <si>
    <t>ε&gt;0 y caída del ingreso</t>
  </si>
  <si>
    <t>La pobreza cae, pero menos que proporcionalmente al crecimiento</t>
  </si>
  <si>
    <t>La pobreza no cambia pese al crecimiento económico</t>
  </si>
  <si>
    <t>La pobreza aumenta a pesar del crecimiento económico</t>
  </si>
  <si>
    <t>El ingreso cae y la pobreza aumenta más que proporcionalmente</t>
  </si>
  <si>
    <t>Tabla N° 5: ELASTICIDAD POBREZA - CRECIMIENTO PROMEDIO ANUAL 2007-2018, POR PROVINCIAS.</t>
  </si>
  <si>
    <t>Clasificación del crecimiento según Wodon(2000)</t>
  </si>
  <si>
    <t>Provincia</t>
  </si>
  <si>
    <t>CALCULO DE CAGR: TASA DE CRECIMIENTO ANUAL COMPUESTA</t>
  </si>
  <si>
    <t>Años: 2007-2018</t>
  </si>
  <si>
    <t>Elasticidad pobreza - crecimiento (2007-2018)</t>
  </si>
  <si>
    <t>Cuadro Nº 506</t>
  </si>
  <si>
    <t>La Libertad: pbi per cápita, pobreza total, gasto social, ingreso proveniente del trabajo anual</t>
  </si>
  <si>
    <t xml:space="preserve"> La Libertad: Ingreso promedio mensual y anual proveniente del trabajo, pbi per cápita</t>
  </si>
  <si>
    <t>pbi_percapita</t>
  </si>
  <si>
    <t>crec_percapita</t>
  </si>
  <si>
    <t>LA LIBERTAD: PBI per cápita real y pobreza periodo 2007-2023</t>
  </si>
  <si>
    <t>Evolución de los componentes del Gasto Social en La Libertad 2007-2023</t>
  </si>
  <si>
    <t xml:space="preserve"> valores a precios corrientes(soles)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</si>
</sst>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  <numFmt numFmtId="169" formatCode="#\ ###\ ###\ ###\ \ "/>
    <numFmt numFmtId="170" formatCode="0.0000000"/>
    <numFmt numFmtId="171" formatCode="0.00000"/>
    <numFmt numFmtId="172" formatCode="_-[$S/-280A]\ * #,##0_-;\-[$S/-280A]\ * #,##0_-;_-[$S/-280A]\ * &quot;-&quot;??_-;_-@_-"/>
  </numFmts>
  <fonts count="9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Verdana"/>
      <family val="2"/>
    </font>
    <font>
      <b/>
      <sz val="11"/>
      <name val="Verdana"/>
      <family val="2"/>
    </font>
    <font>
      <sz val="10"/>
      <name val="Arial Narrow"/>
      <family val="2"/>
    </font>
  </fonts>
  <fills count="10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48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rgb="FF0070C0"/>
      </left>
      <right/>
      <top style="thin">
        <color rgb="FF0070C0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7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" fillId="0" borderId="0"/>
    <xf numFmtId="0" fontId="1" fillId="0" borderId="0"/>
  </cellStyleXfs>
  <cellXfs count="551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168" fontId="0" fillId="0" borderId="0" xfId="24" applyNumberFormat="1" applyFont="1"/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10" fontId="0" fillId="0" borderId="0" xfId="24" applyNumberFormat="1" applyFont="1" applyAlignment="1">
      <alignment horizontal="left"/>
    </xf>
    <xf numFmtId="168" fontId="0" fillId="0" borderId="0" xfId="24" applyNumberFormat="1" applyFont="1" applyAlignment="1">
      <alignment horizontal="left"/>
    </xf>
    <xf numFmtId="3" fontId="82" fillId="0" borderId="0" xfId="0" applyNumberFormat="1" applyFont="1" applyAlignment="1">
      <alignment horizontal="left"/>
    </xf>
    <xf numFmtId="2" fontId="0" fillId="0" borderId="9" xfId="0" applyNumberFormat="1" applyFont="1" applyBorder="1" applyAlignment="1">
      <alignment horizontal="left"/>
    </xf>
    <xf numFmtId="0" fontId="0" fillId="0" borderId="9" xfId="0" applyFont="1" applyBorder="1"/>
    <xf numFmtId="2" fontId="82" fillId="0" borderId="9" xfId="0" applyNumberFormat="1" applyFont="1" applyBorder="1" applyAlignment="1">
      <alignment horizontal="left"/>
    </xf>
    <xf numFmtId="3" fontId="0" fillId="0" borderId="0" xfId="0" applyNumberFormat="1" applyFill="1" applyBorder="1" applyAlignment="1">
      <alignment horizontal="left"/>
    </xf>
    <xf numFmtId="3" fontId="0" fillId="0" borderId="0" xfId="0" applyNumberFormat="1" applyAlignment="1">
      <alignment horizontal="right" vertical="center"/>
    </xf>
    <xf numFmtId="2" fontId="0" fillId="0" borderId="0" xfId="24" applyNumberFormat="1" applyFont="1"/>
    <xf numFmtId="0" fontId="0" fillId="0" borderId="8" xfId="0" applyFill="1" applyBorder="1" applyAlignment="1">
      <alignment horizontal="left"/>
    </xf>
    <xf numFmtId="1" fontId="0" fillId="0" borderId="0" xfId="24" applyNumberFormat="1" applyFont="1"/>
    <xf numFmtId="0" fontId="0" fillId="0" borderId="12" xfId="0" applyBorder="1"/>
    <xf numFmtId="0" fontId="0" fillId="0" borderId="0" xfId="0" applyAlignment="1">
      <alignment vertical="center"/>
    </xf>
    <xf numFmtId="1" fontId="78" fillId="0" borderId="0" xfId="0" applyNumberFormat="1" applyFont="1" applyAlignment="1">
      <alignment vertical="center"/>
    </xf>
    <xf numFmtId="169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vertical="center"/>
    </xf>
    <xf numFmtId="0" fontId="0" fillId="0" borderId="2" xfId="0" applyBorder="1" applyAlignment="1">
      <alignment horizontal="center"/>
    </xf>
    <xf numFmtId="169" fontId="82" fillId="0" borderId="0" xfId="0" applyNumberFormat="1" applyFont="1" applyAlignment="1">
      <alignment horizontal="right" vertical="center" wrapText="1"/>
    </xf>
    <xf numFmtId="169" fontId="0" fillId="0" borderId="0" xfId="0" applyNumberFormat="1" applyAlignment="1">
      <alignment horizontal="right" vertical="center" wrapText="1"/>
    </xf>
    <xf numFmtId="1" fontId="82" fillId="0" borderId="2" xfId="0" applyNumberFormat="1" applyFont="1" applyBorder="1" applyAlignment="1">
      <alignment horizontal="center" vertical="center" wrapText="1"/>
    </xf>
    <xf numFmtId="3" fontId="82" fillId="0" borderId="0" xfId="0" applyNumberFormat="1" applyFont="1" applyAlignment="1">
      <alignment horizontal="right" vertical="center"/>
    </xf>
    <xf numFmtId="0" fontId="82" fillId="0" borderId="2" xfId="0" applyFont="1" applyBorder="1" applyAlignment="1">
      <alignment horizontal="center" vertical="center"/>
    </xf>
    <xf numFmtId="0" fontId="34" fillId="0" borderId="2" xfId="25" applyFont="1" applyBorder="1" applyAlignment="1">
      <alignment horizontal="center" vertical="center"/>
    </xf>
    <xf numFmtId="0" fontId="84" fillId="0" borderId="3" xfId="0" applyFont="1" applyBorder="1" applyAlignment="1">
      <alignment horizontal="center" vertical="center"/>
    </xf>
    <xf numFmtId="3" fontId="84" fillId="0" borderId="5" xfId="0" applyNumberFormat="1" applyFont="1" applyBorder="1" applyAlignment="1">
      <alignment horizontal="right" vertical="center"/>
    </xf>
    <xf numFmtId="3" fontId="53" fillId="0" borderId="5" xfId="0" applyNumberFormat="1" applyFont="1" applyBorder="1" applyAlignment="1">
      <alignment horizontal="right" vertical="center"/>
    </xf>
    <xf numFmtId="0" fontId="85" fillId="0" borderId="6" xfId="0" applyFont="1" applyBorder="1" applyAlignment="1">
      <alignment horizontal="left" vertical="center"/>
    </xf>
    <xf numFmtId="169" fontId="86" fillId="0" borderId="6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87" fillId="0" borderId="0" xfId="0" applyFont="1" applyAlignment="1">
      <alignment vertical="center"/>
    </xf>
    <xf numFmtId="169" fontId="82" fillId="0" borderId="2" xfId="0" applyNumberFormat="1" applyFont="1" applyBorder="1" applyAlignment="1">
      <alignment horizontal="center" vertical="center" wrapText="1"/>
    </xf>
    <xf numFmtId="169" fontId="82" fillId="0" borderId="0" xfId="0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 wrapText="1"/>
    </xf>
    <xf numFmtId="169" fontId="63" fillId="0" borderId="0" xfId="0" applyNumberFormat="1" applyFont="1" applyAlignment="1">
      <alignment horizontal="center" vertical="center" wrapText="1"/>
    </xf>
    <xf numFmtId="3" fontId="6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vertical="center"/>
    </xf>
    <xf numFmtId="3" fontId="84" fillId="0" borderId="5" xfId="0" applyNumberFormat="1" applyFont="1" applyBorder="1" applyAlignment="1">
      <alignment horizontal="right" vertical="center" indent="1"/>
    </xf>
    <xf numFmtId="3" fontId="53" fillId="0" borderId="5" xfId="0" applyNumberFormat="1" applyFont="1" applyBorder="1" applyAlignment="1">
      <alignment horizontal="right" vertical="center" indent="1"/>
    </xf>
    <xf numFmtId="0" fontId="86" fillId="0" borderId="6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34" fillId="7" borderId="2" xfId="25" applyFont="1" applyFill="1" applyBorder="1" applyAlignment="1">
      <alignment horizontal="center" vertical="center"/>
    </xf>
    <xf numFmtId="3" fontId="0" fillId="7" borderId="0" xfId="0" applyNumberFormat="1" applyFill="1" applyAlignment="1">
      <alignment horizontal="right" vertical="center"/>
    </xf>
    <xf numFmtId="3" fontId="0" fillId="6" borderId="0" xfId="0" applyNumberFormat="1" applyFill="1" applyAlignment="1">
      <alignment horizontal="right" vertical="center"/>
    </xf>
    <xf numFmtId="0" fontId="0" fillId="0" borderId="13" xfId="0" applyBorder="1"/>
    <xf numFmtId="0" fontId="0" fillId="0" borderId="14" xfId="0" applyBorder="1"/>
    <xf numFmtId="0" fontId="0" fillId="0" borderId="0" xfId="0" applyAlignment="1"/>
    <xf numFmtId="0" fontId="89" fillId="0" borderId="8" xfId="0" applyFont="1" applyBorder="1" applyAlignment="1">
      <alignment horizontal="center" vertical="center" wrapText="1"/>
    </xf>
    <xf numFmtId="0" fontId="88" fillId="0" borderId="0" xfId="0" applyFont="1" applyAlignment="1">
      <alignment horizontal="center" vertical="center" wrapText="1"/>
    </xf>
    <xf numFmtId="0" fontId="90" fillId="0" borderId="0" xfId="0" applyFont="1" applyAlignment="1">
      <alignment horizontal="left" vertical="center" wrapText="1"/>
    </xf>
    <xf numFmtId="0" fontId="90" fillId="0" borderId="0" xfId="0" applyFont="1"/>
    <xf numFmtId="165" fontId="0" fillId="0" borderId="0" xfId="0" applyNumberFormat="1"/>
    <xf numFmtId="0" fontId="91" fillId="0" borderId="9" xfId="0" applyFont="1" applyBorder="1" applyAlignment="1">
      <alignment horizontal="left"/>
    </xf>
    <xf numFmtId="0" fontId="62" fillId="0" borderId="10" xfId="0" applyFont="1" applyBorder="1" applyAlignment="1">
      <alignment horizontal="left"/>
    </xf>
    <xf numFmtId="0" fontId="62" fillId="0" borderId="8" xfId="0" applyFont="1" applyBorder="1"/>
    <xf numFmtId="0" fontId="92" fillId="0" borderId="0" xfId="0" applyFont="1" applyAlignment="1">
      <alignment horizontal="left"/>
    </xf>
    <xf numFmtId="165" fontId="92" fillId="0" borderId="18" xfId="0" applyNumberFormat="1" applyFont="1" applyBorder="1" applyAlignment="1">
      <alignment horizontal="left"/>
    </xf>
    <xf numFmtId="0" fontId="92" fillId="0" borderId="9" xfId="0" applyFont="1" applyBorder="1"/>
    <xf numFmtId="165" fontId="92" fillId="0" borderId="0" xfId="0" applyNumberFormat="1" applyFont="1" applyAlignment="1">
      <alignment horizontal="left"/>
    </xf>
    <xf numFmtId="0" fontId="93" fillId="0" borderId="8" xfId="0" applyFont="1" applyBorder="1" applyAlignment="1">
      <alignment horizontal="left" vertical="center"/>
    </xf>
    <xf numFmtId="0" fontId="93" fillId="0" borderId="19" xfId="0" applyFont="1" applyBorder="1" applyAlignment="1">
      <alignment horizontal="left" vertical="center"/>
    </xf>
    <xf numFmtId="0" fontId="93" fillId="0" borderId="10" xfId="0" applyFont="1" applyBorder="1"/>
    <xf numFmtId="0" fontId="0" fillId="0" borderId="0" xfId="0" applyFont="1"/>
    <xf numFmtId="2" fontId="0" fillId="0" borderId="0" xfId="0" applyNumberFormat="1"/>
    <xf numFmtId="165" fontId="0" fillId="0" borderId="0" xfId="0" applyNumberFormat="1" applyFill="1"/>
    <xf numFmtId="0" fontId="0" fillId="0" borderId="0" xfId="0" applyFill="1"/>
    <xf numFmtId="4" fontId="0" fillId="0" borderId="0" xfId="0" applyNumberFormat="1"/>
    <xf numFmtId="0" fontId="0" fillId="0" borderId="0" xfId="0" applyAlignment="1">
      <alignment horizontal="left" vertical="center" wrapText="1"/>
    </xf>
    <xf numFmtId="165" fontId="94" fillId="0" borderId="0" xfId="26" applyNumberFormat="1" applyFont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/>
    </xf>
    <xf numFmtId="165" fontId="94" fillId="0" borderId="0" xfId="26" applyNumberFormat="1" applyFont="1" applyFill="1" applyAlignment="1">
      <alignment horizontal="left" vertical="center" wrapText="1"/>
    </xf>
    <xf numFmtId="170" fontId="0" fillId="0" borderId="0" xfId="0" applyNumberFormat="1"/>
    <xf numFmtId="0" fontId="82" fillId="0" borderId="0" xfId="0" applyFont="1" applyAlignment="1">
      <alignment horizontal="left" wrapText="1"/>
    </xf>
    <xf numFmtId="0" fontId="91" fillId="0" borderId="0" xfId="0" applyFont="1" applyAlignment="1">
      <alignment vertical="center" wrapText="1"/>
    </xf>
    <xf numFmtId="171" fontId="0" fillId="0" borderId="0" xfId="0" applyNumberFormat="1" applyAlignment="1">
      <alignment horizontal="center" vertical="center" wrapText="1"/>
    </xf>
    <xf numFmtId="166" fontId="82" fillId="0" borderId="0" xfId="0" applyNumberFormat="1" applyFont="1" applyAlignment="1">
      <alignment horizontal="center" vertical="center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90" fillId="0" borderId="20" xfId="0" applyFont="1" applyBorder="1" applyAlignment="1">
      <alignment horizontal="center" wrapText="1"/>
    </xf>
    <xf numFmtId="172" fontId="90" fillId="0" borderId="20" xfId="0" applyNumberFormat="1" applyFont="1" applyBorder="1" applyAlignment="1">
      <alignment horizontal="left" wrapText="1"/>
    </xf>
    <xf numFmtId="0" fontId="90" fillId="0" borderId="21" xfId="0" applyFont="1" applyBorder="1" applyAlignment="1">
      <alignment horizontal="center" wrapText="1"/>
    </xf>
    <xf numFmtId="0" fontId="90" fillId="0" borderId="27" xfId="0" applyFont="1" applyBorder="1" applyAlignment="1">
      <alignment horizontal="left" wrapText="1"/>
    </xf>
    <xf numFmtId="0" fontId="90" fillId="0" borderId="29" xfId="0" applyFont="1" applyBorder="1" applyAlignment="1">
      <alignment horizontal="left" wrapText="1"/>
    </xf>
    <xf numFmtId="172" fontId="90" fillId="0" borderId="21" xfId="0" applyNumberFormat="1" applyFont="1" applyBorder="1" applyAlignment="1">
      <alignment horizontal="left" wrapText="1"/>
    </xf>
    <xf numFmtId="0" fontId="82" fillId="0" borderId="12" xfId="0" applyFont="1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7" xfId="0" applyBorder="1"/>
    <xf numFmtId="0" fontId="0" fillId="0" borderId="29" xfId="0" applyBorder="1"/>
    <xf numFmtId="0" fontId="0" fillId="0" borderId="21" xfId="0" applyBorder="1" applyAlignment="1">
      <alignment horizontal="center" vertical="center" wrapText="1"/>
    </xf>
    <xf numFmtId="0" fontId="0" fillId="0" borderId="37" xfId="0" applyBorder="1"/>
    <xf numFmtId="0" fontId="0" fillId="0" borderId="38" xfId="0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0" xfId="0" applyBorder="1"/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left" wrapText="1"/>
    </xf>
    <xf numFmtId="0" fontId="90" fillId="0" borderId="0" xfId="0" applyFont="1" applyBorder="1" applyAlignment="1">
      <alignment horizontal="left" wrapText="1"/>
    </xf>
    <xf numFmtId="172" fontId="90" fillId="0" borderId="0" xfId="0" applyNumberFormat="1" applyFont="1" applyBorder="1" applyAlignment="1">
      <alignment horizontal="left" wrapText="1"/>
    </xf>
    <xf numFmtId="0" fontId="90" fillId="0" borderId="0" xfId="0" applyFont="1" applyBorder="1" applyAlignment="1">
      <alignment horizontal="center" wrapText="1"/>
    </xf>
    <xf numFmtId="166" fontId="90" fillId="0" borderId="0" xfId="0" applyNumberFormat="1" applyFont="1" applyBorder="1" applyAlignment="1">
      <alignment horizontal="center"/>
    </xf>
    <xf numFmtId="166" fontId="89" fillId="0" borderId="0" xfId="0" applyNumberFormat="1" applyFont="1" applyBorder="1" applyAlignment="1">
      <alignment horizontal="center" wrapText="1"/>
    </xf>
    <xf numFmtId="0" fontId="89" fillId="0" borderId="0" xfId="0" applyFont="1" applyBorder="1" applyAlignment="1">
      <alignment horizontal="left" wrapText="1"/>
    </xf>
    <xf numFmtId="0" fontId="62" fillId="0" borderId="0" xfId="0" applyFont="1" applyBorder="1" applyAlignment="1">
      <alignment horizontal="center" vertical="center" wrapText="1"/>
    </xf>
    <xf numFmtId="0" fontId="88" fillId="0" borderId="37" xfId="0" applyFont="1" applyBorder="1" applyAlignment="1">
      <alignment horizontal="left" wrapText="1"/>
    </xf>
    <xf numFmtId="172" fontId="88" fillId="0" borderId="20" xfId="0" applyNumberFormat="1" applyFont="1" applyBorder="1" applyAlignment="1">
      <alignment horizontal="left" wrapText="1"/>
    </xf>
    <xf numFmtId="0" fontId="88" fillId="0" borderId="29" xfId="0" applyFont="1" applyBorder="1" applyAlignment="1">
      <alignment horizontal="left" wrapText="1"/>
    </xf>
    <xf numFmtId="172" fontId="88" fillId="0" borderId="21" xfId="0" applyNumberFormat="1" applyFont="1" applyBorder="1" applyAlignment="1">
      <alignment horizontal="left" wrapText="1"/>
    </xf>
    <xf numFmtId="165" fontId="88" fillId="0" borderId="20" xfId="0" applyNumberFormat="1" applyFont="1" applyBorder="1" applyAlignment="1">
      <alignment horizontal="center" wrapText="1"/>
    </xf>
    <xf numFmtId="165" fontId="88" fillId="0" borderId="21" xfId="0" applyNumberFormat="1" applyFont="1" applyBorder="1" applyAlignment="1">
      <alignment horizontal="center" wrapText="1"/>
    </xf>
    <xf numFmtId="0" fontId="91" fillId="0" borderId="0" xfId="0" applyFont="1" applyBorder="1" applyAlignment="1">
      <alignment wrapText="1"/>
    </xf>
    <xf numFmtId="0" fontId="82" fillId="0" borderId="17" xfId="0" applyFont="1" applyBorder="1" applyAlignment="1">
      <alignment horizontal="left" wrapText="1"/>
    </xf>
    <xf numFmtId="0" fontId="82" fillId="0" borderId="24" xfId="0" applyFont="1" applyBorder="1" applyAlignment="1">
      <alignment horizontal="left" wrapText="1"/>
    </xf>
    <xf numFmtId="171" fontId="0" fillId="0" borderId="0" xfId="0" applyNumberFormat="1" applyBorder="1" applyAlignment="1">
      <alignment horizontal="left" vertical="center" wrapText="1"/>
    </xf>
    <xf numFmtId="171" fontId="0" fillId="0" borderId="26" xfId="0" applyNumberFormat="1" applyBorder="1" applyAlignment="1">
      <alignment horizontal="left" vertical="center" wrapText="1"/>
    </xf>
    <xf numFmtId="171" fontId="0" fillId="0" borderId="8" xfId="0" applyNumberFormat="1" applyBorder="1" applyAlignment="1">
      <alignment horizontal="left" vertical="center" wrapText="1"/>
    </xf>
    <xf numFmtId="171" fontId="0" fillId="0" borderId="46" xfId="0" applyNumberFormat="1" applyBorder="1" applyAlignment="1">
      <alignment horizontal="left" vertical="center" wrapText="1"/>
    </xf>
    <xf numFmtId="0" fontId="82" fillId="9" borderId="23" xfId="0" applyFont="1" applyFill="1" applyBorder="1"/>
    <xf numFmtId="0" fontId="82" fillId="9" borderId="17" xfId="0" applyFont="1" applyFill="1" applyBorder="1" applyAlignment="1">
      <alignment vertical="center" wrapText="1"/>
    </xf>
    <xf numFmtId="0" fontId="82" fillId="9" borderId="24" xfId="0" applyFont="1" applyFill="1" applyBorder="1" applyAlignment="1">
      <alignment horizontal="center" wrapText="1"/>
    </xf>
    <xf numFmtId="166" fontId="82" fillId="0" borderId="20" xfId="0" applyNumberFormat="1" applyFont="1" applyBorder="1" applyAlignment="1">
      <alignment horizontal="center" vertical="center" wrapText="1"/>
    </xf>
    <xf numFmtId="0" fontId="92" fillId="0" borderId="27" xfId="0" applyFont="1" applyBorder="1"/>
    <xf numFmtId="0" fontId="0" fillId="0" borderId="28" xfId="0" applyBorder="1"/>
    <xf numFmtId="0" fontId="92" fillId="0" borderId="29" xfId="0" applyFont="1" applyBorder="1"/>
    <xf numFmtId="166" fontId="82" fillId="0" borderId="21" xfId="0" applyNumberFormat="1" applyFont="1" applyBorder="1" applyAlignment="1">
      <alignment horizontal="center" vertical="center" wrapText="1"/>
    </xf>
    <xf numFmtId="0" fontId="0" fillId="0" borderId="30" xfId="0" applyBorder="1"/>
    <xf numFmtId="0" fontId="87" fillId="0" borderId="10" xfId="0" applyFont="1" applyBorder="1" applyAlignment="1">
      <alignment horizontal="left"/>
    </xf>
    <xf numFmtId="0" fontId="87" fillId="0" borderId="11" xfId="0" applyFont="1" applyBorder="1"/>
    <xf numFmtId="0" fontId="87" fillId="0" borderId="8" xfId="0" applyFont="1" applyBorder="1"/>
    <xf numFmtId="172" fontId="0" fillId="0" borderId="0" xfId="0" applyNumberFormat="1"/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1" fontId="31" fillId="0" borderId="0" xfId="0" quotePrefix="1" applyNumberFormat="1" applyFont="1" applyAlignment="1">
      <alignment horizontal="center" vertical="center" wrapText="1"/>
    </xf>
    <xf numFmtId="169" fontId="82" fillId="3" borderId="6" xfId="0" quotePrefix="1" applyNumberFormat="1" applyFont="1" applyFill="1" applyBorder="1" applyAlignment="1">
      <alignment horizontal="right" vertical="center" wrapText="1"/>
    </xf>
    <xf numFmtId="169" fontId="82" fillId="3" borderId="5" xfId="0" quotePrefix="1" applyNumberFormat="1" applyFont="1" applyFill="1" applyBorder="1" applyAlignment="1">
      <alignment horizontal="right" vertical="center" wrapText="1"/>
    </xf>
    <xf numFmtId="169" fontId="63" fillId="0" borderId="0" xfId="0" applyNumberFormat="1" applyFont="1" applyAlignment="1">
      <alignment horizontal="center" vertical="center" wrapText="1"/>
    </xf>
    <xf numFmtId="169" fontId="82" fillId="3" borderId="1" xfId="0" applyNumberFormat="1" applyFont="1" applyFill="1" applyBorder="1" applyAlignment="1">
      <alignment horizontal="center" vertical="center" wrapText="1"/>
    </xf>
    <xf numFmtId="169" fontId="82" fillId="3" borderId="3" xfId="0" applyNumberFormat="1" applyFont="1" applyFill="1" applyBorder="1" applyAlignment="1">
      <alignment horizontal="center" vertical="center" wrapText="1"/>
    </xf>
    <xf numFmtId="169" fontId="82" fillId="3" borderId="15" xfId="0" quotePrefix="1" applyNumberFormat="1" applyFont="1" applyFill="1" applyBorder="1" applyAlignment="1">
      <alignment horizontal="right" vertical="center" wrapText="1"/>
    </xf>
    <xf numFmtId="169" fontId="82" fillId="3" borderId="4" xfId="0" quotePrefix="1" applyNumberFormat="1" applyFont="1" applyFill="1" applyBorder="1" applyAlignment="1">
      <alignment horizontal="right" vertical="center" wrapText="1"/>
    </xf>
    <xf numFmtId="169" fontId="82" fillId="3" borderId="6" xfId="0" quotePrefix="1" applyNumberFormat="1" applyFont="1" applyFill="1" applyBorder="1" applyAlignment="1">
      <alignment horizontal="center" vertical="center" wrapText="1"/>
    </xf>
    <xf numFmtId="169" fontId="82" fillId="3" borderId="5" xfId="0" quotePrefix="1" applyNumberFormat="1" applyFont="1" applyFill="1" applyBorder="1" applyAlignment="1">
      <alignment horizontal="center" vertical="center" wrapText="1"/>
    </xf>
    <xf numFmtId="169" fontId="82" fillId="3" borderId="6" xfId="0" applyNumberFormat="1" applyFont="1" applyFill="1" applyBorder="1" applyAlignment="1">
      <alignment horizontal="right" vertical="center" wrapText="1"/>
    </xf>
    <xf numFmtId="169" fontId="82" fillId="3" borderId="5" xfId="0" applyNumberFormat="1" applyFont="1" applyFill="1" applyBorder="1" applyAlignment="1">
      <alignment horizontal="right" vertical="center" wrapText="1"/>
    </xf>
    <xf numFmtId="169" fontId="31" fillId="0" borderId="0" xfId="0" quotePrefix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0" fontId="82" fillId="3" borderId="2" xfId="0" applyFont="1" applyFill="1" applyBorder="1" applyAlignment="1">
      <alignment horizontal="center"/>
    </xf>
    <xf numFmtId="0" fontId="90" fillId="0" borderId="0" xfId="0" applyFont="1" applyAlignment="1">
      <alignment horizontal="left" vertical="center" wrapText="1"/>
    </xf>
    <xf numFmtId="0" fontId="89" fillId="0" borderId="0" xfId="0" applyFont="1" applyBorder="1" applyAlignment="1">
      <alignment horizontal="center" vertical="center" wrapText="1"/>
    </xf>
    <xf numFmtId="0" fontId="89" fillId="0" borderId="8" xfId="0" applyFont="1" applyBorder="1" applyAlignment="1">
      <alignment horizontal="center" vertical="center" wrapText="1"/>
    </xf>
    <xf numFmtId="0" fontId="89" fillId="0" borderId="16" xfId="0" applyFont="1" applyBorder="1" applyAlignment="1">
      <alignment horizontal="center" vertical="center"/>
    </xf>
    <xf numFmtId="0" fontId="90" fillId="0" borderId="17" xfId="0" applyFont="1" applyBorder="1" applyAlignment="1">
      <alignment horizontal="left" vertical="center" wrapText="1"/>
    </xf>
    <xf numFmtId="0" fontId="89" fillId="0" borderId="0" xfId="0" applyFont="1" applyAlignment="1">
      <alignment horizontal="left" wrapText="1"/>
    </xf>
    <xf numFmtId="0" fontId="0" fillId="0" borderId="34" xfId="0" applyBorder="1" applyAlignment="1">
      <alignment horizontal="left" wrapText="1"/>
    </xf>
    <xf numFmtId="0" fontId="0" fillId="0" borderId="35" xfId="0" applyBorder="1" applyAlignment="1">
      <alignment horizontal="left" wrapText="1"/>
    </xf>
    <xf numFmtId="0" fontId="0" fillId="0" borderId="36" xfId="0" applyBorder="1" applyAlignment="1">
      <alignment horizontal="left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89" fillId="8" borderId="24" xfId="0" applyFont="1" applyFill="1" applyBorder="1" applyAlignment="1">
      <alignment horizontal="left" wrapText="1"/>
    </xf>
    <xf numFmtId="0" fontId="89" fillId="8" borderId="26" xfId="0" applyFont="1" applyFill="1" applyBorder="1" applyAlignment="1">
      <alignment horizontal="left" wrapText="1"/>
    </xf>
    <xf numFmtId="0" fontId="89" fillId="0" borderId="28" xfId="0" applyFont="1" applyBorder="1" applyAlignment="1">
      <alignment horizontal="left" wrapText="1"/>
    </xf>
    <xf numFmtId="0" fontId="89" fillId="0" borderId="30" xfId="0" applyFont="1" applyBorder="1" applyAlignment="1">
      <alignment horizontal="left" wrapText="1"/>
    </xf>
    <xf numFmtId="0" fontId="91" fillId="0" borderId="8" xfId="0" applyFont="1" applyBorder="1" applyAlignment="1">
      <alignment horizontal="center" vertical="center" wrapText="1"/>
    </xf>
    <xf numFmtId="166" fontId="90" fillId="0" borderId="20" xfId="0" applyNumberFormat="1" applyFont="1" applyBorder="1" applyAlignment="1">
      <alignment horizontal="center"/>
    </xf>
    <xf numFmtId="166" fontId="90" fillId="0" borderId="21" xfId="0" applyNumberFormat="1" applyFont="1" applyBorder="1" applyAlignment="1">
      <alignment horizontal="center"/>
    </xf>
    <xf numFmtId="2" fontId="90" fillId="0" borderId="20" xfId="0" applyNumberFormat="1" applyFont="1" applyBorder="1" applyAlignment="1">
      <alignment horizontal="center"/>
    </xf>
    <xf numFmtId="2" fontId="90" fillId="0" borderId="21" xfId="0" applyNumberFormat="1" applyFont="1" applyBorder="1" applyAlignment="1">
      <alignment horizontal="center"/>
    </xf>
    <xf numFmtId="0" fontId="82" fillId="0" borderId="13" xfId="0" applyFont="1" applyBorder="1" applyAlignment="1">
      <alignment horizontal="center" vertical="center" wrapText="1"/>
    </xf>
    <xf numFmtId="0" fontId="82" fillId="0" borderId="14" xfId="0" applyFont="1" applyBorder="1" applyAlignment="1">
      <alignment horizontal="center" vertical="center" wrapText="1"/>
    </xf>
    <xf numFmtId="0" fontId="0" fillId="0" borderId="39" xfId="0" applyBorder="1" applyAlignment="1">
      <alignment horizontal="left" wrapText="1"/>
    </xf>
    <xf numFmtId="0" fontId="0" fillId="0" borderId="40" xfId="0" applyBorder="1" applyAlignment="1">
      <alignment horizontal="left" wrapText="1"/>
    </xf>
    <xf numFmtId="0" fontId="0" fillId="0" borderId="41" xfId="0" applyBorder="1" applyAlignment="1">
      <alignment horizontal="left" wrapText="1"/>
    </xf>
    <xf numFmtId="0" fontId="0" fillId="0" borderId="31" xfId="0" applyBorder="1" applyAlignment="1">
      <alignment horizontal="left" wrapText="1"/>
    </xf>
    <xf numFmtId="0" fontId="0" fillId="0" borderId="32" xfId="0" applyBorder="1" applyAlignment="1">
      <alignment horizontal="left" wrapText="1"/>
    </xf>
    <xf numFmtId="0" fontId="0" fillId="0" borderId="33" xfId="0" applyBorder="1" applyAlignment="1">
      <alignment horizontal="left" wrapText="1"/>
    </xf>
    <xf numFmtId="0" fontId="89" fillId="8" borderId="23" xfId="0" applyFont="1" applyFill="1" applyBorder="1" applyAlignment="1">
      <alignment horizontal="left" wrapText="1"/>
    </xf>
    <xf numFmtId="0" fontId="89" fillId="8" borderId="25" xfId="0" applyFont="1" applyFill="1" applyBorder="1" applyAlignment="1">
      <alignment horizontal="left" wrapText="1"/>
    </xf>
    <xf numFmtId="166" fontId="89" fillId="0" borderId="22" xfId="0" applyNumberFormat="1" applyFont="1" applyBorder="1" applyAlignment="1">
      <alignment horizontal="center" wrapText="1"/>
    </xf>
    <xf numFmtId="166" fontId="89" fillId="0" borderId="19" xfId="0" applyNumberFormat="1" applyFont="1" applyBorder="1" applyAlignment="1">
      <alignment horizontal="center" wrapText="1"/>
    </xf>
    <xf numFmtId="0" fontId="89" fillId="8" borderId="44" xfId="0" applyFont="1" applyFill="1" applyBorder="1" applyAlignment="1">
      <alignment horizontal="left" wrapText="1"/>
    </xf>
    <xf numFmtId="0" fontId="89" fillId="8" borderId="45" xfId="0" applyFont="1" applyFill="1" applyBorder="1" applyAlignment="1">
      <alignment horizontal="left" wrapText="1"/>
    </xf>
    <xf numFmtId="166" fontId="88" fillId="0" borderId="20" xfId="0" applyNumberFormat="1" applyFont="1" applyBorder="1" applyAlignment="1">
      <alignment horizontal="center"/>
    </xf>
    <xf numFmtId="166" fontId="88" fillId="0" borderId="21" xfId="0" applyNumberFormat="1" applyFont="1" applyBorder="1" applyAlignment="1">
      <alignment horizontal="center"/>
    </xf>
    <xf numFmtId="0" fontId="0" fillId="0" borderId="42" xfId="0" applyBorder="1" applyAlignment="1">
      <alignment horizontal="left" wrapText="1"/>
    </xf>
    <xf numFmtId="0" fontId="0" fillId="0" borderId="16" xfId="0" applyBorder="1" applyAlignment="1">
      <alignment horizontal="left" wrapText="1"/>
    </xf>
    <xf numFmtId="0" fontId="0" fillId="0" borderId="43" xfId="0" applyBorder="1" applyAlignment="1">
      <alignment horizontal="left" wrapText="1"/>
    </xf>
    <xf numFmtId="0" fontId="62" fillId="0" borderId="44" xfId="0" applyFont="1" applyBorder="1" applyAlignment="1">
      <alignment horizontal="center" wrapText="1"/>
    </xf>
    <xf numFmtId="0" fontId="62" fillId="0" borderId="45" xfId="0" applyFont="1" applyBorder="1" applyAlignment="1">
      <alignment horizontal="center" wrapText="1"/>
    </xf>
    <xf numFmtId="0" fontId="62" fillId="0" borderId="44" xfId="0" applyFont="1" applyBorder="1" applyAlignment="1">
      <alignment horizontal="left" wrapText="1"/>
    </xf>
    <xf numFmtId="0" fontId="62" fillId="0" borderId="47" xfId="0" applyFont="1" applyBorder="1" applyAlignment="1">
      <alignment horizontal="left" wrapText="1"/>
    </xf>
    <xf numFmtId="0" fontId="62" fillId="0" borderId="45" xfId="0" applyFont="1" applyBorder="1" applyAlignment="1">
      <alignment horizontal="left" wrapText="1"/>
    </xf>
    <xf numFmtId="0" fontId="91" fillId="0" borderId="0" xfId="0" applyFont="1" applyBorder="1" applyAlignment="1">
      <alignment horizontal="left" wrapText="1"/>
    </xf>
    <xf numFmtId="0" fontId="62" fillId="0" borderId="44" xfId="0" applyFont="1" applyBorder="1" applyAlignment="1">
      <alignment horizontal="left"/>
    </xf>
    <xf numFmtId="0" fontId="62" fillId="0" borderId="47" xfId="0" applyFont="1" applyBorder="1" applyAlignment="1">
      <alignment horizontal="left"/>
    </xf>
  </cellXfs>
  <cellStyles count="27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2" xfId="25" xr:uid="{3C3BF4DF-56F4-4706-AECE-57A1D6E74776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2_gastos7-12 2" xfId="26" xr:uid="{4217ED17-7478-4618-93A3-EB8DD081F6F9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externalLink" Target="externalLinks/externalLink1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theme" Target="theme/theme1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sharedStrings" Target="sharedStrings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externalLink" Target="externalLinks/externalLink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styles" Target="styles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236220</xdr:colOff>
      <xdr:row>0</xdr:row>
      <xdr:rowOff>213360</xdr:rowOff>
    </xdr:from>
    <xdr:to>
      <xdr:col>11</xdr:col>
      <xdr:colOff>569383</xdr:colOff>
      <xdr:row>3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100560" y="2133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83820</xdr:colOff>
      <xdr:row>0</xdr:row>
      <xdr:rowOff>144780</xdr:rowOff>
    </xdr:from>
    <xdr:to>
      <xdr:col>9</xdr:col>
      <xdr:colOff>416983</xdr:colOff>
      <xdr:row>2</xdr:row>
      <xdr:rowOff>135890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A2315-A7B2-4AB0-A416-E8A05657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668000" y="1447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662940</xdr:colOff>
      <xdr:row>1</xdr:row>
      <xdr:rowOff>68580</xdr:rowOff>
    </xdr:from>
    <xdr:to>
      <xdr:col>11</xdr:col>
      <xdr:colOff>5503</xdr:colOff>
      <xdr:row>3</xdr:row>
      <xdr:rowOff>105410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5385D2-73CC-4694-B3D1-B13928B1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49840" y="2971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0</xdr:row>
      <xdr:rowOff>76200</xdr:rowOff>
    </xdr:from>
    <xdr:to>
      <xdr:col>14</xdr:col>
      <xdr:colOff>775123</xdr:colOff>
      <xdr:row>2</xdr:row>
      <xdr:rowOff>67310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56C9B6-59F9-483F-86EA-911A1B4D6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1120" y="762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525780</xdr:colOff>
      <xdr:row>3</xdr:row>
      <xdr:rowOff>167640</xdr:rowOff>
    </xdr:from>
    <xdr:to>
      <xdr:col>10</xdr:col>
      <xdr:colOff>462703</xdr:colOff>
      <xdr:row>5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710028-4A1C-4A4A-8154-A13C5BBE8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709660" y="1203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</xdr:colOff>
      <xdr:row>3</xdr:row>
      <xdr:rowOff>152400</xdr:rowOff>
    </xdr:from>
    <xdr:to>
      <xdr:col>10</xdr:col>
      <xdr:colOff>493183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1AE59-B3E2-44D0-A233-73568D085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711440" y="126492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11</xdr:row>
      <xdr:rowOff>121920</xdr:rowOff>
    </xdr:from>
    <xdr:to>
      <xdr:col>1</xdr:col>
      <xdr:colOff>988483</xdr:colOff>
      <xdr:row>14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6AE378-698D-41F7-B723-F4DDA2CC3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12</xdr:row>
      <xdr:rowOff>121920</xdr:rowOff>
    </xdr:from>
    <xdr:to>
      <xdr:col>1</xdr:col>
      <xdr:colOff>988483</xdr:colOff>
      <xdr:row>15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BBFF36-C100-48DB-A833-64AC3CF64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137160</xdr:colOff>
      <xdr:row>0</xdr:row>
      <xdr:rowOff>190500</xdr:rowOff>
    </xdr:from>
    <xdr:to>
      <xdr:col>7</xdr:col>
      <xdr:colOff>470323</xdr:colOff>
      <xdr:row>2</xdr:row>
      <xdr:rowOff>181610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EC5A9D-F2FF-46D7-B5FA-9BE4ACAEE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833360" y="1905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8</xdr:col>
      <xdr:colOff>333163</xdr:colOff>
      <xdr:row>6</xdr:row>
      <xdr:rowOff>74930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9BFA0B-67F4-4B0A-AD51-C2E047FB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15340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9</xdr:col>
      <xdr:colOff>333163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4FAE6-C6A7-41D7-A03E-187953E2C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46226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342900</xdr:colOff>
      <xdr:row>2</xdr:row>
      <xdr:rowOff>167640</xdr:rowOff>
    </xdr:from>
    <xdr:to>
      <xdr:col>9</xdr:col>
      <xdr:colOff>676063</xdr:colOff>
      <xdr:row>5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64268B-7F21-4A44-A359-B4383493C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78440" y="6248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5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6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7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8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9.xml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0.xml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1.xml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23"/>
  <sheetViews>
    <sheetView topLeftCell="A502" workbookViewId="0">
      <selection activeCell="E523" sqref="E523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483" t="s">
        <v>301</v>
      </c>
      <c r="B1" s="324"/>
      <c r="C1" s="484" t="s">
        <v>328</v>
      </c>
      <c r="D1" s="484"/>
      <c r="E1" s="484"/>
      <c r="F1" s="484"/>
      <c r="G1" s="484"/>
      <c r="H1" s="484"/>
      <c r="I1" s="484"/>
      <c r="J1" s="484"/>
      <c r="K1" s="484"/>
      <c r="L1" s="484"/>
      <c r="M1" s="484"/>
    </row>
    <row r="2" spans="1:20" ht="2.25" customHeight="1" x14ac:dyDescent="0.35">
      <c r="A2" s="483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483"/>
      <c r="B3" s="324"/>
      <c r="C3" s="482" t="s">
        <v>302</v>
      </c>
      <c r="D3" s="482"/>
      <c r="E3" s="482"/>
      <c r="F3" s="482"/>
      <c r="G3" s="482"/>
      <c r="H3" s="482"/>
      <c r="I3" s="482"/>
      <c r="J3" s="482"/>
      <c r="K3" s="482"/>
      <c r="L3" s="482"/>
      <c r="M3" s="482"/>
      <c r="N3" s="482"/>
      <c r="O3" s="482"/>
    </row>
    <row r="4" spans="1:20" s="305" customFormat="1" x14ac:dyDescent="0.35">
      <c r="A4" s="483"/>
      <c r="B4" s="324"/>
      <c r="C4" s="313"/>
      <c r="D4" s="335" t="str">
        <f>HYPERLINK(CONCATENATE("#c",S4,"!A2"),"CUADRO N°")</f>
        <v>CUADRO N°</v>
      </c>
      <c r="E4" s="335">
        <f>HYPERLINK(CONCATENATE("#c",S4,"!A2"),S4)</f>
        <v>1</v>
      </c>
      <c r="F4" s="336"/>
      <c r="G4" s="336" t="str">
        <f>HYPERLINK(CONCATENATE("#c",S4,"!A2"),T4)</f>
        <v>PERÚ VALORES A PRECIOS CONSTANTES DE 2007</v>
      </c>
      <c r="H4" s="337"/>
      <c r="I4" s="337"/>
      <c r="J4" s="337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483"/>
      <c r="B5" s="324"/>
      <c r="C5" s="313"/>
      <c r="D5" s="335" t="str">
        <f t="shared" ref="D5:D68" si="0">HYPERLINK(CONCATENATE("#c",S5,"!A2"),"CUADRO N°")</f>
        <v>CUADRO N°</v>
      </c>
      <c r="E5" s="335">
        <f t="shared" ref="E5:E68" si="1">HYPERLINK(CONCATENATE("#c",S5,"!A2"),S5)</f>
        <v>2</v>
      </c>
      <c r="F5" s="336"/>
      <c r="G5" s="336" t="str">
        <f t="shared" ref="G5:G68" si="2">HYPERLINK(CONCATENATE("#c",S5,"!A2"),T5)</f>
        <v>PARTICIPACIÓN DEL VAB EN EL PBI</v>
      </c>
      <c r="H5" s="337"/>
      <c r="I5" s="337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483"/>
      <c r="B6" s="324"/>
      <c r="C6" s="313"/>
      <c r="D6" s="335" t="str">
        <f t="shared" si="0"/>
        <v>CUADRO N°</v>
      </c>
      <c r="E6" s="335">
        <f t="shared" si="1"/>
        <v>3</v>
      </c>
      <c r="F6" s="336"/>
      <c r="G6" s="336" t="str">
        <f t="shared" si="2"/>
        <v>VARIACIÓN PORCENTUAL DEL ÍNDICE DE VOLUMEN FÍSICO</v>
      </c>
      <c r="H6" s="337"/>
      <c r="I6" s="337"/>
      <c r="J6" s="337"/>
      <c r="K6" s="337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483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483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483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483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483"/>
      <c r="B11" s="324"/>
      <c r="C11" s="313"/>
      <c r="D11" s="335" t="str">
        <f t="shared" si="0"/>
        <v>CUADRO N°</v>
      </c>
      <c r="E11" s="335">
        <f t="shared" si="1"/>
        <v>8</v>
      </c>
      <c r="F11" s="336"/>
      <c r="G11" s="336" t="str">
        <f t="shared" si="2"/>
        <v>ESTRUCTURA PORCENTUAL</v>
      </c>
      <c r="H11" s="337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483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483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483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483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483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483"/>
      <c r="B17" s="324"/>
      <c r="C17" s="313"/>
      <c r="D17" s="335" t="str">
        <f t="shared" si="0"/>
        <v>CUADRO N°</v>
      </c>
      <c r="E17" s="335">
        <f t="shared" si="1"/>
        <v>14</v>
      </c>
      <c r="F17" s="336"/>
      <c r="G17" s="336" t="str">
        <f t="shared" si="2"/>
        <v>ESTRUCTURA PORCENTUAL</v>
      </c>
      <c r="H17" s="337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483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483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483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483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483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483"/>
      <c r="B23" s="324"/>
      <c r="C23" s="313"/>
      <c r="D23" s="335" t="str">
        <f t="shared" si="0"/>
        <v>CUADRO N°</v>
      </c>
      <c r="E23" s="335">
        <f t="shared" si="1"/>
        <v>20</v>
      </c>
      <c r="F23" s="336"/>
      <c r="G23" s="336" t="str">
        <f t="shared" si="2"/>
        <v>ESTRUCTURA PORCENTUAL</v>
      </c>
      <c r="H23" s="337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483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5" t="str">
        <f t="shared" si="0"/>
        <v>CUADRO N°</v>
      </c>
      <c r="E29" s="335">
        <f t="shared" si="1"/>
        <v>26</v>
      </c>
      <c r="F29" s="336"/>
      <c r="G29" s="336" t="str">
        <f t="shared" si="2"/>
        <v>ESTRUCTURA PORCENTUAL</v>
      </c>
      <c r="H29" s="337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5" t="str">
        <f t="shared" si="0"/>
        <v>CUADRO N°</v>
      </c>
      <c r="E35" s="335">
        <f t="shared" si="1"/>
        <v>32</v>
      </c>
      <c r="F35" s="336"/>
      <c r="G35" s="336" t="str">
        <f t="shared" si="2"/>
        <v>ESTRUCTURA PORCENTUAL</v>
      </c>
      <c r="H35" s="336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5" t="str">
        <f t="shared" si="0"/>
        <v>CUADRO N°</v>
      </c>
      <c r="E41" s="335">
        <f t="shared" si="1"/>
        <v>38</v>
      </c>
      <c r="F41" s="336"/>
      <c r="G41" s="336" t="str">
        <f t="shared" si="2"/>
        <v>ESTRUCTURA PORCENTUAL</v>
      </c>
      <c r="H41" s="337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5" t="str">
        <f t="shared" si="0"/>
        <v>CUADRO N°</v>
      </c>
      <c r="E47" s="335">
        <f t="shared" si="1"/>
        <v>44</v>
      </c>
      <c r="F47" s="336"/>
      <c r="G47" s="336" t="str">
        <f t="shared" si="2"/>
        <v>ESTRUCTURA PORCENTUAL</v>
      </c>
      <c r="H47" s="337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5" t="str">
        <f t="shared" si="0"/>
        <v>CUADRO N°</v>
      </c>
      <c r="E53" s="335">
        <f t="shared" si="1"/>
        <v>50</v>
      </c>
      <c r="F53" s="336"/>
      <c r="G53" s="336" t="str">
        <f t="shared" si="2"/>
        <v>ESTRUCTURA PORCENTUAL</v>
      </c>
      <c r="H53" s="337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5" t="str">
        <f t="shared" si="0"/>
        <v>CUADRO N°</v>
      </c>
      <c r="E59" s="335">
        <f t="shared" si="1"/>
        <v>56</v>
      </c>
      <c r="F59" s="336"/>
      <c r="G59" s="336" t="str">
        <f t="shared" si="2"/>
        <v>ESTRUCTURA PORCENTUAL</v>
      </c>
      <c r="H59" s="337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5" t="str">
        <f t="shared" si="0"/>
        <v>CUADRO N°</v>
      </c>
      <c r="E65" s="335">
        <f t="shared" si="1"/>
        <v>62</v>
      </c>
      <c r="F65" s="336"/>
      <c r="G65" s="336" t="str">
        <f t="shared" si="2"/>
        <v>ESTRUCTURA PORCENTUAL</v>
      </c>
      <c r="H65" s="337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5" t="str">
        <f t="shared" si="4"/>
        <v>CUADRO N°</v>
      </c>
      <c r="E71" s="335">
        <f t="shared" si="5"/>
        <v>68</v>
      </c>
      <c r="F71" s="336"/>
      <c r="G71" s="336" t="str">
        <f t="shared" si="6"/>
        <v>ESTRUCTURA PORCENTUAL</v>
      </c>
      <c r="H71" s="337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5" t="str">
        <f t="shared" si="4"/>
        <v>CUADRO N°</v>
      </c>
      <c r="E77" s="335">
        <f t="shared" si="5"/>
        <v>74</v>
      </c>
      <c r="F77" s="336"/>
      <c r="G77" s="336" t="str">
        <f t="shared" si="6"/>
        <v>ESTRUCTURA PORCENTUAL</v>
      </c>
      <c r="H77" s="337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482" t="s">
        <v>74</v>
      </c>
      <c r="D84" s="482"/>
      <c r="E84" s="482"/>
      <c r="F84" s="482"/>
      <c r="G84" s="482"/>
      <c r="H84" s="482"/>
      <c r="I84" s="482"/>
      <c r="J84" s="482"/>
      <c r="K84" s="482"/>
      <c r="L84" s="482"/>
      <c r="M84" s="482"/>
      <c r="N84" s="482"/>
      <c r="O84" s="482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482" t="s">
        <v>75</v>
      </c>
      <c r="D189" s="482"/>
      <c r="E189" s="482"/>
      <c r="F189" s="482"/>
      <c r="G189" s="482"/>
      <c r="H189" s="482"/>
      <c r="I189" s="482"/>
      <c r="J189" s="482"/>
      <c r="K189" s="482"/>
      <c r="L189" s="482"/>
      <c r="M189" s="482"/>
      <c r="N189" s="482"/>
      <c r="O189" s="482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482" t="s">
        <v>125</v>
      </c>
      <c r="D360" s="482"/>
      <c r="E360" s="482"/>
      <c r="F360" s="482"/>
      <c r="G360" s="482"/>
      <c r="H360" s="482"/>
      <c r="I360" s="482"/>
      <c r="J360" s="482"/>
      <c r="K360" s="482"/>
      <c r="L360" s="482"/>
      <c r="M360" s="482"/>
      <c r="N360" s="482"/>
      <c r="O360" s="482"/>
    </row>
    <row r="361" spans="3:20" ht="19.5" customHeight="1" x14ac:dyDescent="0.35">
      <c r="C361" s="482" t="s">
        <v>129</v>
      </c>
      <c r="D361" s="482"/>
      <c r="E361" s="482"/>
      <c r="F361" s="482"/>
      <c r="G361" s="482"/>
      <c r="H361" s="482"/>
      <c r="I361" s="482"/>
      <c r="J361" s="482"/>
      <c r="K361" s="482"/>
      <c r="L361" s="482"/>
      <c r="M361" s="482"/>
      <c r="N361" s="482"/>
      <c r="O361" s="482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482" t="s">
        <v>130</v>
      </c>
      <c r="D412" s="482"/>
      <c r="E412" s="482"/>
      <c r="F412" s="482"/>
      <c r="G412" s="482"/>
      <c r="H412" s="482"/>
      <c r="I412" s="482"/>
      <c r="J412" s="482"/>
      <c r="K412" s="482"/>
      <c r="L412" s="482"/>
      <c r="M412" s="482"/>
      <c r="N412" s="482"/>
      <c r="O412" s="482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859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16" t="s">
        <v>137</v>
      </c>
      <c r="E515" s="314">
        <v>497</v>
      </c>
      <c r="F515" s="313"/>
      <c r="G515" s="327" t="s">
        <v>862</v>
      </c>
      <c r="H515" s="313"/>
      <c r="I515" s="313"/>
      <c r="J515" s="313"/>
      <c r="K515" s="313"/>
      <c r="L515" s="313"/>
      <c r="M515" s="313"/>
      <c r="N515" s="313"/>
      <c r="O515" s="313"/>
    </row>
    <row r="516" spans="3:15" x14ac:dyDescent="0.35">
      <c r="D516" s="316" t="s">
        <v>137</v>
      </c>
      <c r="E516" s="314">
        <v>498</v>
      </c>
      <c r="G516" s="327" t="s">
        <v>873</v>
      </c>
    </row>
    <row r="517" spans="3:15" x14ac:dyDescent="0.35">
      <c r="D517" s="316" t="s">
        <v>137</v>
      </c>
      <c r="E517" s="314">
        <v>499</v>
      </c>
      <c r="G517" s="327" t="s">
        <v>872</v>
      </c>
    </row>
    <row r="518" spans="3:15" x14ac:dyDescent="0.35">
      <c r="D518" s="316" t="s">
        <v>137</v>
      </c>
      <c r="E518" s="314">
        <v>500</v>
      </c>
      <c r="G518" s="327" t="s">
        <v>898</v>
      </c>
    </row>
    <row r="519" spans="3:15" x14ac:dyDescent="0.35">
      <c r="D519" s="316" t="s">
        <v>137</v>
      </c>
      <c r="E519" s="314">
        <v>501</v>
      </c>
      <c r="G519" s="327" t="s">
        <v>899</v>
      </c>
    </row>
    <row r="520" spans="3:15" x14ac:dyDescent="0.35">
      <c r="D520" s="316" t="s">
        <v>137</v>
      </c>
      <c r="E520" s="314">
        <v>502</v>
      </c>
      <c r="G520" s="327" t="s">
        <v>965</v>
      </c>
    </row>
    <row r="521" spans="3:15" x14ac:dyDescent="0.35">
      <c r="D521" s="316" t="s">
        <v>137</v>
      </c>
      <c r="E521" s="314">
        <v>503</v>
      </c>
      <c r="G521" s="327" t="s">
        <v>944</v>
      </c>
    </row>
    <row r="522" spans="3:15" x14ac:dyDescent="0.35">
      <c r="D522" s="316" t="s">
        <v>137</v>
      </c>
      <c r="E522" s="314">
        <v>504</v>
      </c>
      <c r="G522" s="327" t="s">
        <v>956</v>
      </c>
    </row>
    <row r="523" spans="3:15" x14ac:dyDescent="0.35">
      <c r="D523" s="316" t="s">
        <v>137</v>
      </c>
      <c r="E523" s="314">
        <v>505</v>
      </c>
      <c r="G523" s="327" t="s">
        <v>966</v>
      </c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  <hyperlink ref="E515" location="'c-497'!A1" display="'c-497'!A1" xr:uid="{78938506-2673-43D3-A5E5-7D0578BE781A}"/>
    <hyperlink ref="E516" location="'c-498'!A1" display="'c-498'!A1" xr:uid="{002393B7-A39F-4AE5-8494-BAA83CFCBA5A}"/>
    <hyperlink ref="E517" location="'c-499'!A1" display="'c-499'!A1" xr:uid="{49AF4A89-AC75-477B-87C8-DE59F84B6E97}"/>
    <hyperlink ref="E518" location="'c-500'!A1" display="'c-500'!A1" xr:uid="{53FA1C54-0D24-4F72-ADE1-87625F124CFD}"/>
    <hyperlink ref="E519" location="'c-501'!A1" display="'c-501'!A1" xr:uid="{661B9E9C-CC3F-4BC5-BF2B-A39B78B91DF4}"/>
    <hyperlink ref="E520" location="'c-502'!A1" display="'c-502'!A1" xr:uid="{EDAC704A-440F-402D-AE3D-A2B6BAA491D7}"/>
    <hyperlink ref="E521" location="'c-503'!A1" display="'c-503'!A1" xr:uid="{17A21B33-A4DB-4394-8258-04FD6F8F52E7}"/>
    <hyperlink ref="E522" location="'c-504'!A1" display="'c-504'!A1" xr:uid="{02F1F354-3827-4F9D-8260-CFC96312F2D6}"/>
    <hyperlink ref="E523" location="'c-505'!A1" display="'c-505'!A1" xr:uid="{28629D9A-01E3-438F-92BA-2114AC3D1462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topLeftCell="B4" workbookViewId="0">
      <selection activeCell="B20" sqref="B20:R20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4" customFormat="1" x14ac:dyDescent="0.3">
      <c r="A20" s="342" t="s">
        <v>14</v>
      </c>
      <c r="B20" s="343">
        <v>14615612</v>
      </c>
      <c r="C20" s="343">
        <v>15653801</v>
      </c>
      <c r="D20" s="343">
        <v>15716171</v>
      </c>
      <c r="E20" s="343">
        <v>16624855</v>
      </c>
      <c r="F20" s="343">
        <v>17378414</v>
      </c>
      <c r="G20" s="343">
        <v>18712792</v>
      </c>
      <c r="H20" s="343">
        <v>19532083</v>
      </c>
      <c r="I20" s="343">
        <v>19821258</v>
      </c>
      <c r="J20" s="343">
        <v>20274733</v>
      </c>
      <c r="K20" s="343">
        <v>20448345</v>
      </c>
      <c r="L20" s="343">
        <v>20797558</v>
      </c>
      <c r="M20" s="343">
        <v>21840178</v>
      </c>
      <c r="N20" s="343">
        <v>22637274</v>
      </c>
      <c r="O20" s="343">
        <v>21224496</v>
      </c>
      <c r="P20" s="343">
        <v>23530168</v>
      </c>
      <c r="Q20" s="343">
        <v>23892523</v>
      </c>
      <c r="R20" s="343">
        <v>23269987</v>
      </c>
    </row>
    <row r="21" spans="1:18" x14ac:dyDescent="0.3">
      <c r="A21" s="9" t="s">
        <v>15</v>
      </c>
      <c r="B21" s="10">
        <v>6880023</v>
      </c>
      <c r="C21" s="10">
        <v>7512522</v>
      </c>
      <c r="D21" s="10">
        <v>7910362</v>
      </c>
      <c r="E21" s="10">
        <v>8449884</v>
      </c>
      <c r="F21" s="10">
        <v>8937792</v>
      </c>
      <c r="G21" s="10">
        <v>9782672</v>
      </c>
      <c r="H21" s="10">
        <v>10138533</v>
      </c>
      <c r="I21" s="10">
        <v>10354938</v>
      </c>
      <c r="J21" s="10">
        <v>10809529</v>
      </c>
      <c r="K21" s="10">
        <v>11080412</v>
      </c>
      <c r="L21" s="10">
        <v>11371483</v>
      </c>
      <c r="M21" s="10">
        <v>11837862</v>
      </c>
      <c r="N21" s="10">
        <v>12113549</v>
      </c>
      <c r="O21" s="10">
        <v>11345968</v>
      </c>
      <c r="P21" s="10">
        <v>13078099</v>
      </c>
      <c r="Q21" s="10">
        <v>13361231</v>
      </c>
      <c r="R21" s="10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9" t="s">
        <v>21</v>
      </c>
      <c r="B27" s="10">
        <v>12651720</v>
      </c>
      <c r="C27" s="10">
        <v>13580502</v>
      </c>
      <c r="D27" s="10">
        <v>13998851</v>
      </c>
      <c r="E27" s="10">
        <v>15106528</v>
      </c>
      <c r="F27" s="10">
        <v>16366999</v>
      </c>
      <c r="G27" s="10">
        <v>17066135</v>
      </c>
      <c r="H27" s="10">
        <v>17746782</v>
      </c>
      <c r="I27" s="10">
        <v>18750443</v>
      </c>
      <c r="J27" s="10">
        <v>18866671</v>
      </c>
      <c r="K27" s="10">
        <v>18924869</v>
      </c>
      <c r="L27" s="10">
        <v>18473111</v>
      </c>
      <c r="M27" s="10">
        <v>19758433</v>
      </c>
      <c r="N27" s="10">
        <v>20626256</v>
      </c>
      <c r="O27" s="10">
        <v>18879119</v>
      </c>
      <c r="P27" s="10">
        <v>21145698</v>
      </c>
      <c r="Q27" s="10">
        <v>21050225</v>
      </c>
      <c r="R27" s="10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1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1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1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1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1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1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1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1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1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1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1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1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1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1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1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1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1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1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1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485"/>
      <c r="B1" s="485"/>
      <c r="C1" s="485"/>
      <c r="D1" s="485"/>
      <c r="E1" s="485"/>
      <c r="F1" s="485"/>
      <c r="G1" s="485"/>
      <c r="H1" s="105"/>
      <c r="I1" s="105"/>
      <c r="J1" s="218"/>
    </row>
    <row r="2" spans="1:12" ht="15.6" x14ac:dyDescent="0.3">
      <c r="A2" s="485"/>
      <c r="B2" s="485"/>
      <c r="C2" s="485"/>
      <c r="D2" s="485"/>
      <c r="E2" s="485"/>
      <c r="F2" s="485"/>
      <c r="G2" s="485"/>
      <c r="H2" s="105"/>
      <c r="I2" s="105"/>
      <c r="J2" s="218"/>
    </row>
    <row r="3" spans="1:12" ht="15.6" x14ac:dyDescent="0.3">
      <c r="A3" s="485"/>
      <c r="B3" s="485"/>
      <c r="C3" s="485"/>
      <c r="D3" s="485"/>
      <c r="E3" s="485"/>
      <c r="F3" s="485"/>
      <c r="G3" s="485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485"/>
      <c r="B36" s="485"/>
      <c r="C36" s="485"/>
      <c r="D36" s="485"/>
      <c r="E36" s="485"/>
      <c r="F36" s="485"/>
      <c r="G36" s="485"/>
      <c r="H36" s="485"/>
      <c r="I36" s="91"/>
    </row>
    <row r="37" spans="1:13" ht="15.6" x14ac:dyDescent="0.3">
      <c r="A37" s="486"/>
      <c r="B37" s="486"/>
      <c r="C37" s="486"/>
      <c r="D37" s="486"/>
      <c r="E37" s="486"/>
      <c r="F37" s="486"/>
      <c r="G37" s="486"/>
      <c r="H37" s="486"/>
      <c r="I37" s="106"/>
    </row>
    <row r="38" spans="1:13" ht="15.6" x14ac:dyDescent="0.3">
      <c r="A38" s="485"/>
      <c r="B38" s="485"/>
      <c r="C38" s="485"/>
      <c r="D38" s="485"/>
      <c r="E38" s="485"/>
      <c r="F38" s="485"/>
      <c r="G38" s="485"/>
      <c r="H38" s="485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2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2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2">
        <v>100</v>
      </c>
      <c r="C22" s="332">
        <v>99.999999999999986</v>
      </c>
      <c r="D22" s="332">
        <v>100.00000000000001</v>
      </c>
      <c r="E22" s="332">
        <v>100</v>
      </c>
      <c r="F22" s="332">
        <v>100</v>
      </c>
      <c r="G22" s="332">
        <v>99.999999999999986</v>
      </c>
      <c r="H22" s="332">
        <v>99.999999999999986</v>
      </c>
      <c r="I22" s="332">
        <v>100</v>
      </c>
      <c r="J22" s="332">
        <v>100</v>
      </c>
      <c r="K22" s="332">
        <v>100.00000000000001</v>
      </c>
      <c r="L22" s="332">
        <v>99.999999999999986</v>
      </c>
      <c r="M22" s="332">
        <v>99.999999999999986</v>
      </c>
      <c r="N22" s="332">
        <v>100.00000000000004</v>
      </c>
      <c r="O22" s="332">
        <v>99.999999999999986</v>
      </c>
      <c r="P22" s="332">
        <v>99.999999999999972</v>
      </c>
      <c r="Q22" s="332">
        <v>100</v>
      </c>
      <c r="R22" s="332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0.46608175221449244</v>
      </c>
      <c r="D9" s="329">
        <v>-2.8467259068135036</v>
      </c>
      <c r="E9" s="329">
        <v>6.1966755671059275</v>
      </c>
      <c r="F9" s="329">
        <v>4.3272334445286731</v>
      </c>
      <c r="G9" s="329">
        <v>6.0735494578765241</v>
      </c>
      <c r="H9" s="329">
        <v>3.7053918276074285</v>
      </c>
      <c r="I9" s="329">
        <v>4.8753992846221337</v>
      </c>
      <c r="J9" s="329">
        <v>11.609602758916608</v>
      </c>
      <c r="K9" s="329">
        <v>9.5108734349441022</v>
      </c>
      <c r="L9" s="329">
        <v>0.59552652766872427</v>
      </c>
      <c r="M9" s="329">
        <v>-5.9294383027929882</v>
      </c>
      <c r="N9" s="329">
        <v>-4.0129021689529196</v>
      </c>
      <c r="O9" s="329">
        <v>-6.0873426911319513</v>
      </c>
      <c r="P9" s="329">
        <v>8.0080283342301612</v>
      </c>
      <c r="Q9" s="329">
        <v>-1.9918312512809706</v>
      </c>
      <c r="R9" s="329">
        <v>13.660748220355899</v>
      </c>
    </row>
    <row r="10" spans="1:18" x14ac:dyDescent="0.3">
      <c r="A10" s="227" t="s">
        <v>77</v>
      </c>
      <c r="B10" s="329" t="s">
        <v>440</v>
      </c>
      <c r="C10" s="329">
        <v>-14.720085101220988</v>
      </c>
      <c r="D10" s="329">
        <v>12.05184746896964</v>
      </c>
      <c r="E10" s="329">
        <v>77.902611215204672</v>
      </c>
      <c r="F10" s="329">
        <v>-22.91674867446622</v>
      </c>
      <c r="G10" s="329">
        <v>-14.901305912489974</v>
      </c>
      <c r="H10" s="329">
        <v>45.446558016055235</v>
      </c>
      <c r="I10" s="329">
        <v>-1.6806988023741525</v>
      </c>
      <c r="J10" s="329">
        <v>28.791723676479194</v>
      </c>
      <c r="K10" s="329">
        <v>-6.6281890297361201E-2</v>
      </c>
      <c r="L10" s="329">
        <v>-4.1299899767586936</v>
      </c>
      <c r="M10" s="329">
        <v>10.631814229781455</v>
      </c>
      <c r="N10" s="329">
        <v>-2.0429643791818819</v>
      </c>
      <c r="O10" s="329">
        <v>6.5126661904816103</v>
      </c>
      <c r="P10" s="329">
        <v>11.583479168771518</v>
      </c>
      <c r="Q10" s="329">
        <v>3.340299926207436</v>
      </c>
      <c r="R10" s="329">
        <v>9.3209076270695022</v>
      </c>
    </row>
    <row r="11" spans="1:18" x14ac:dyDescent="0.3">
      <c r="A11" s="227" t="s">
        <v>489</v>
      </c>
      <c r="B11" s="329" t="s">
        <v>440</v>
      </c>
      <c r="C11" s="329">
        <v>-2.4137830036091259</v>
      </c>
      <c r="D11" s="329">
        <v>-16.326325794090934</v>
      </c>
      <c r="E11" s="329">
        <v>67.908688677479091</v>
      </c>
      <c r="F11" s="329">
        <v>51.722881349196484</v>
      </c>
      <c r="G11" s="329">
        <v>-28.613512706790743</v>
      </c>
      <c r="H11" s="329">
        <v>-15.131393900132252</v>
      </c>
      <c r="I11" s="329">
        <v>-17.399321180707716</v>
      </c>
      <c r="J11" s="329">
        <v>-24.465093306321066</v>
      </c>
      <c r="K11" s="329">
        <v>8.296288476696219</v>
      </c>
      <c r="L11" s="329">
        <v>24.841962763946029</v>
      </c>
      <c r="M11" s="329">
        <v>-5.17333926320633</v>
      </c>
      <c r="N11" s="329">
        <v>26.654865435235294</v>
      </c>
      <c r="O11" s="329">
        <v>36.267796691520914</v>
      </c>
      <c r="P11" s="329">
        <v>82.035155428386616</v>
      </c>
      <c r="Q11" s="329">
        <v>-28.226611092559267</v>
      </c>
      <c r="R11" s="329">
        <v>-4.6065247587797131</v>
      </c>
    </row>
    <row r="12" spans="1:18" x14ac:dyDescent="0.3">
      <c r="A12" s="227" t="s">
        <v>56</v>
      </c>
      <c r="B12" s="329" t="s">
        <v>440</v>
      </c>
      <c r="C12" s="329">
        <v>17.066807697378565</v>
      </c>
      <c r="D12" s="329">
        <v>-21.017433352601714</v>
      </c>
      <c r="E12" s="329">
        <v>23.406142657837222</v>
      </c>
      <c r="F12" s="329">
        <v>11.753018195396052</v>
      </c>
      <c r="G12" s="329">
        <v>2.5085296191052748</v>
      </c>
      <c r="H12" s="329">
        <v>-2.0926817794906896</v>
      </c>
      <c r="I12" s="329">
        <v>1.8090572236934719</v>
      </c>
      <c r="J12" s="329">
        <v>18.973116118623651</v>
      </c>
      <c r="K12" s="329">
        <v>-7.2540694798959038</v>
      </c>
      <c r="L12" s="329">
        <v>3.2144383536588208</v>
      </c>
      <c r="M12" s="329">
        <v>11.318413840259737</v>
      </c>
      <c r="N12" s="329">
        <v>4.0467098569250766</v>
      </c>
      <c r="O12" s="329">
        <v>9.4036894953781598</v>
      </c>
      <c r="P12" s="329">
        <v>19.742968735238307</v>
      </c>
      <c r="Q12" s="329">
        <v>15.971808243391223</v>
      </c>
      <c r="R12" s="329">
        <v>-3.5277746916498387</v>
      </c>
    </row>
    <row r="13" spans="1:18" x14ac:dyDescent="0.3">
      <c r="A13" s="227" t="s">
        <v>490</v>
      </c>
      <c r="B13" s="329" t="s">
        <v>440</v>
      </c>
      <c r="C13" s="329">
        <v>6.4554218141444721</v>
      </c>
      <c r="D13" s="329">
        <v>11.765200169367574</v>
      </c>
      <c r="E13" s="329">
        <v>-1.2022734992654875</v>
      </c>
      <c r="F13" s="329">
        <v>3.0353174974823816</v>
      </c>
      <c r="G13" s="329">
        <v>3.9249390836938858</v>
      </c>
      <c r="H13" s="329">
        <v>7.4276306940397347</v>
      </c>
      <c r="I13" s="329">
        <v>16.571030230381822</v>
      </c>
      <c r="J13" s="329">
        <v>7.9972895656376721</v>
      </c>
      <c r="K13" s="329">
        <v>18.51708215785915</v>
      </c>
      <c r="L13" s="329">
        <v>-0.8743838132713222</v>
      </c>
      <c r="M13" s="329">
        <v>6.5636177921042389</v>
      </c>
      <c r="N13" s="329">
        <v>5.6761857843399497</v>
      </c>
      <c r="O13" s="329">
        <v>7.275343176601325</v>
      </c>
      <c r="P13" s="329">
        <v>-2.2924963065660222</v>
      </c>
      <c r="Q13" s="329">
        <v>0.95980361811673731</v>
      </c>
      <c r="R13" s="329">
        <v>5.4127779063649655</v>
      </c>
    </row>
    <row r="14" spans="1:18" x14ac:dyDescent="0.3">
      <c r="A14" s="227" t="s">
        <v>58</v>
      </c>
      <c r="B14" s="329" t="s">
        <v>440</v>
      </c>
      <c r="C14" s="329">
        <v>3.3661508297738294</v>
      </c>
      <c r="D14" s="329">
        <v>1.8350936120642842</v>
      </c>
      <c r="E14" s="329">
        <v>3.3197530433908895</v>
      </c>
      <c r="F14" s="329">
        <v>3.0551502795911176</v>
      </c>
      <c r="G14" s="329">
        <v>3.7525060364400815</v>
      </c>
      <c r="H14" s="329">
        <v>2.8345445801722065</v>
      </c>
      <c r="I14" s="329">
        <v>6.9038710581275922</v>
      </c>
      <c r="J14" s="329">
        <v>9.2243686689774478</v>
      </c>
      <c r="K14" s="329">
        <v>3.3580427955047583</v>
      </c>
      <c r="L14" s="329">
        <v>3.7855457843529763</v>
      </c>
      <c r="M14" s="329">
        <v>4.7148457341964303</v>
      </c>
      <c r="N14" s="329">
        <v>1.8886475746275266</v>
      </c>
      <c r="O14" s="329">
        <v>9.1652232889817498</v>
      </c>
      <c r="P14" s="329">
        <v>3.5373946947359087</v>
      </c>
      <c r="Q14" s="329">
        <v>6.9135434642704467</v>
      </c>
      <c r="R14" s="329">
        <v>9.1956814578200152</v>
      </c>
    </row>
    <row r="15" spans="1:18" x14ac:dyDescent="0.3">
      <c r="A15" s="227" t="s">
        <v>59</v>
      </c>
      <c r="B15" s="329" t="s">
        <v>440</v>
      </c>
      <c r="C15" s="329">
        <v>10.370394053585642</v>
      </c>
      <c r="D15" s="329">
        <v>-1.0580589465335208</v>
      </c>
      <c r="E15" s="329">
        <v>3.7625620991474875</v>
      </c>
      <c r="F15" s="329">
        <v>5.7178170416548113</v>
      </c>
      <c r="G15" s="329">
        <v>0.17659463794205976</v>
      </c>
      <c r="H15" s="329">
        <v>1.4139476617450697</v>
      </c>
      <c r="I15" s="329">
        <v>2.152143631299765</v>
      </c>
      <c r="J15" s="329">
        <v>3.3302997804629086</v>
      </c>
      <c r="K15" s="329">
        <v>3.7906895926817157</v>
      </c>
      <c r="L15" s="329">
        <v>1.6167870124151875</v>
      </c>
      <c r="M15" s="329">
        <v>2.9392978666344902</v>
      </c>
      <c r="N15" s="329">
        <v>2.6396990161695442</v>
      </c>
      <c r="O15" s="329">
        <v>9.4560464071744974</v>
      </c>
      <c r="P15" s="329">
        <v>8.6070084871755341</v>
      </c>
      <c r="Q15" s="329">
        <v>9.4130252776079288</v>
      </c>
      <c r="R15" s="329">
        <v>9.772755426160856</v>
      </c>
    </row>
    <row r="16" spans="1:18" x14ac:dyDescent="0.3">
      <c r="A16" s="227" t="s">
        <v>334</v>
      </c>
      <c r="B16" s="329" t="s">
        <v>440</v>
      </c>
      <c r="C16" s="329">
        <v>6.3035157907221873</v>
      </c>
      <c r="D16" s="329">
        <v>14.793259154894628</v>
      </c>
      <c r="E16" s="329">
        <v>0.43785840643944596</v>
      </c>
      <c r="F16" s="329">
        <v>0.91942176303238909</v>
      </c>
      <c r="G16" s="329">
        <v>0.7151484446426366</v>
      </c>
      <c r="H16" s="329">
        <v>4.8024919044024728</v>
      </c>
      <c r="I16" s="329">
        <v>5.494205528663997</v>
      </c>
      <c r="J16" s="329">
        <v>19.937461733646742</v>
      </c>
      <c r="K16" s="329">
        <v>3.539679890547049</v>
      </c>
      <c r="L16" s="329">
        <v>-1.3754992241354955</v>
      </c>
      <c r="M16" s="329">
        <v>-2.7736839453009736</v>
      </c>
      <c r="N16" s="329">
        <v>4.8334905243225421</v>
      </c>
      <c r="O16" s="329">
        <v>16.281890448018871</v>
      </c>
      <c r="P16" s="329">
        <v>-0.69244406048052554</v>
      </c>
      <c r="Q16" s="329">
        <v>3.8181833161755208</v>
      </c>
      <c r="R16" s="329">
        <v>7.4788659281418859</v>
      </c>
    </row>
    <row r="17" spans="1:18" x14ac:dyDescent="0.3">
      <c r="A17" s="227" t="s">
        <v>491</v>
      </c>
      <c r="B17" s="329" t="s">
        <v>440</v>
      </c>
      <c r="C17" s="329">
        <v>4.1464288558006075</v>
      </c>
      <c r="D17" s="329">
        <v>8.6374586109250799</v>
      </c>
      <c r="E17" s="329">
        <v>7.2302106689747347</v>
      </c>
      <c r="F17" s="329">
        <v>7.5610862676395669</v>
      </c>
      <c r="G17" s="329">
        <v>8.2682985925021057</v>
      </c>
      <c r="H17" s="329">
        <v>5.9797246406585174</v>
      </c>
      <c r="I17" s="329">
        <v>5.852442154925015</v>
      </c>
      <c r="J17" s="329">
        <v>6.3193829497487854</v>
      </c>
      <c r="K17" s="329">
        <v>8.0687624856505096</v>
      </c>
      <c r="L17" s="329">
        <v>5.1648543090569774</v>
      </c>
      <c r="M17" s="329">
        <v>4.7814393563576658</v>
      </c>
      <c r="N17" s="329">
        <v>0.84802054851864739</v>
      </c>
      <c r="O17" s="329">
        <v>9.8491561649137509</v>
      </c>
      <c r="P17" s="329">
        <v>-1.2194726153877866</v>
      </c>
      <c r="Q17" s="329">
        <v>7.2229634575440969</v>
      </c>
      <c r="R17" s="329">
        <v>15.16591839135944</v>
      </c>
    </row>
    <row r="18" spans="1:18" x14ac:dyDescent="0.3">
      <c r="A18" s="227" t="s">
        <v>492</v>
      </c>
      <c r="B18" s="329" t="s">
        <v>440</v>
      </c>
      <c r="C18" s="329">
        <v>-6.3086909938866853</v>
      </c>
      <c r="D18" s="329">
        <v>-10.623174502188391</v>
      </c>
      <c r="E18" s="329">
        <v>-3.6237939598081681</v>
      </c>
      <c r="F18" s="329">
        <v>-6.0428644244431666</v>
      </c>
      <c r="G18" s="329">
        <v>-6.8790321707049316</v>
      </c>
      <c r="H18" s="329">
        <v>-3.6121387745263718</v>
      </c>
      <c r="I18" s="329">
        <v>-3.1545258807131233</v>
      </c>
      <c r="J18" s="329">
        <v>-5.9764811203160946</v>
      </c>
      <c r="K18" s="329">
        <v>-3.9156304465752783</v>
      </c>
      <c r="L18" s="329">
        <v>2.7819678277422781</v>
      </c>
      <c r="M18" s="329">
        <v>-1.5613812677859755</v>
      </c>
      <c r="N18" s="329">
        <v>-1.4450442554574323</v>
      </c>
      <c r="O18" s="329">
        <v>-4.2422569725063255</v>
      </c>
      <c r="P18" s="329">
        <v>-7.998349859322289</v>
      </c>
      <c r="Q18" s="329">
        <v>0.28205212859180051</v>
      </c>
      <c r="R18" s="329">
        <v>6.7147804472549808</v>
      </c>
    </row>
    <row r="19" spans="1:18" x14ac:dyDescent="0.3">
      <c r="A19" s="227" t="s">
        <v>335</v>
      </c>
      <c r="B19" s="329" t="s">
        <v>440</v>
      </c>
      <c r="C19" s="329">
        <v>6.5115368865083383</v>
      </c>
      <c r="D19" s="329">
        <v>-0.59838242959082777</v>
      </c>
      <c r="E19" s="329">
        <v>0.79915228813476347</v>
      </c>
      <c r="F19" s="329">
        <v>5.1710244916440615</v>
      </c>
      <c r="G19" s="329">
        <v>4.0034569987703605</v>
      </c>
      <c r="H19" s="329">
        <v>7.5041187384894812</v>
      </c>
      <c r="I19" s="329">
        <v>9.1244211042553331</v>
      </c>
      <c r="J19" s="329">
        <v>4.6838723985527508</v>
      </c>
      <c r="K19" s="329">
        <v>2.8331846206417453</v>
      </c>
      <c r="L19" s="329">
        <v>1.404264361424751</v>
      </c>
      <c r="M19" s="329">
        <v>1.1390189703025726</v>
      </c>
      <c r="N19" s="329">
        <v>0.31441740301838195</v>
      </c>
      <c r="O19" s="329">
        <v>2.1320102585892045</v>
      </c>
      <c r="P19" s="329">
        <v>0.30123406003180264</v>
      </c>
      <c r="Q19" s="329">
        <v>5.6767988820615471</v>
      </c>
      <c r="R19" s="329">
        <v>0.23598695296868755</v>
      </c>
    </row>
    <row r="20" spans="1:18" x14ac:dyDescent="0.3">
      <c r="A20" s="227" t="s">
        <v>136</v>
      </c>
      <c r="B20" s="329" t="s">
        <v>440</v>
      </c>
      <c r="C20" s="329">
        <v>4.1289968772624093</v>
      </c>
      <c r="D20" s="329">
        <v>3.5029596052715846</v>
      </c>
      <c r="E20" s="329">
        <v>2.6135952272757521</v>
      </c>
      <c r="F20" s="329">
        <v>3.6507313970886059</v>
      </c>
      <c r="G20" s="329">
        <v>5.7071721711391206</v>
      </c>
      <c r="H20" s="329">
        <v>5.0506995494927054</v>
      </c>
      <c r="I20" s="329">
        <v>5.2468663663525632</v>
      </c>
      <c r="J20" s="329">
        <v>5.03349137178364</v>
      </c>
      <c r="K20" s="329">
        <v>4.4864502332250709</v>
      </c>
      <c r="L20" s="329">
        <v>4.9454711323566869</v>
      </c>
      <c r="M20" s="329">
        <v>5.0836912391445992</v>
      </c>
      <c r="N20" s="329">
        <v>3.7852292754110266</v>
      </c>
      <c r="O20" s="329">
        <v>1.8329991976939937</v>
      </c>
      <c r="P20" s="329">
        <v>1.343852315722998</v>
      </c>
      <c r="Q20" s="329">
        <v>7.5064961949783395</v>
      </c>
      <c r="R20" s="329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6.3103677672330605</v>
      </c>
      <c r="D22" s="330">
        <v>-6.2289134185556492</v>
      </c>
      <c r="E22" s="330">
        <v>15.043822090130959</v>
      </c>
      <c r="F22" s="330">
        <v>13.009039101977663</v>
      </c>
      <c r="G22" s="330">
        <v>-3.75525037442398</v>
      </c>
      <c r="H22" s="330">
        <v>-0.38440781464149154</v>
      </c>
      <c r="I22" s="330">
        <v>0.94024217700614088</v>
      </c>
      <c r="J22" s="330">
        <v>6.7281719889841867</v>
      </c>
      <c r="K22" s="330">
        <v>2.1306028766705936</v>
      </c>
      <c r="L22" s="330">
        <v>4.4715329815760754</v>
      </c>
      <c r="M22" s="330">
        <v>2.5492446333262819</v>
      </c>
      <c r="N22" s="330">
        <v>4.6264350135380994</v>
      </c>
      <c r="O22" s="330">
        <v>8.3312484960279534</v>
      </c>
      <c r="P22" s="330">
        <v>23.892302521922119</v>
      </c>
      <c r="Q22" s="330">
        <v>-2.4215933373906751</v>
      </c>
      <c r="R22" s="330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13.465766870710311</v>
      </c>
      <c r="D9" s="329">
        <v>7.9222964111563385</v>
      </c>
      <c r="E9" s="329">
        <v>0.96067395100665465</v>
      </c>
      <c r="F9" s="329">
        <v>20.849248696981306</v>
      </c>
      <c r="G9" s="329">
        <v>-7.1405012364779878</v>
      </c>
      <c r="H9" s="329">
        <v>0.43967983808421707</v>
      </c>
      <c r="I9" s="329">
        <v>16.926118565939248</v>
      </c>
      <c r="J9" s="329">
        <v>12.220238842745502</v>
      </c>
      <c r="K9" s="329">
        <v>-3.7420811048249192</v>
      </c>
      <c r="L9" s="329">
        <v>-6.253293149854116</v>
      </c>
      <c r="M9" s="329">
        <v>-4.4912880685632928</v>
      </c>
      <c r="N9" s="329">
        <v>7.0405559335067665</v>
      </c>
      <c r="O9" s="329">
        <v>8.5264810683493693</v>
      </c>
      <c r="P9" s="329">
        <v>8.9703576874982076</v>
      </c>
      <c r="Q9" s="329">
        <v>11.823408636725247</v>
      </c>
      <c r="R9" s="329">
        <v>6.8894441651006701</v>
      </c>
    </row>
    <row r="10" spans="1:18" x14ac:dyDescent="0.3">
      <c r="A10" s="227" t="s">
        <v>77</v>
      </c>
      <c r="B10" s="329" t="s">
        <v>440</v>
      </c>
      <c r="C10" s="329">
        <v>1.8150554069545279</v>
      </c>
      <c r="D10" s="329">
        <v>6.7275113224392697</v>
      </c>
      <c r="E10" s="329">
        <v>4.9630013949782779</v>
      </c>
      <c r="F10" s="329">
        <v>1.68712760957564</v>
      </c>
      <c r="G10" s="329">
        <v>8.9465190769513612</v>
      </c>
      <c r="H10" s="329">
        <v>4.28306947827177</v>
      </c>
      <c r="I10" s="329">
        <v>9.6310112967350676</v>
      </c>
      <c r="J10" s="329">
        <v>-1.7682153963360321</v>
      </c>
      <c r="K10" s="329">
        <v>-7.2259893771814632E-2</v>
      </c>
      <c r="L10" s="329">
        <v>8.2581631550014976</v>
      </c>
      <c r="M10" s="329">
        <v>1.6762987961900961</v>
      </c>
      <c r="N10" s="329">
        <v>-1.7537827772410282</v>
      </c>
      <c r="O10" s="329">
        <v>-2.3314742375989539</v>
      </c>
      <c r="P10" s="329">
        <v>0.99385035832418112</v>
      </c>
      <c r="Q10" s="329">
        <v>4.4133706319517074</v>
      </c>
      <c r="R10" s="329">
        <v>14.349262628311067</v>
      </c>
    </row>
    <row r="11" spans="1:18" x14ac:dyDescent="0.3">
      <c r="A11" s="227" t="s">
        <v>489</v>
      </c>
      <c r="B11" s="329" t="s">
        <v>440</v>
      </c>
      <c r="C11" s="329">
        <v>-33.151464015741212</v>
      </c>
      <c r="D11" s="329">
        <v>-6.7931445623660238</v>
      </c>
      <c r="E11" s="329">
        <v>34.907658746956855</v>
      </c>
      <c r="F11" s="329">
        <v>41.711983701023456</v>
      </c>
      <c r="G11" s="329">
        <v>-17.949333447609135</v>
      </c>
      <c r="H11" s="329">
        <v>-11.222422645134571</v>
      </c>
      <c r="I11" s="329">
        <v>-5.0168351377196245</v>
      </c>
      <c r="J11" s="329">
        <v>-14.903784843750401</v>
      </c>
      <c r="K11" s="329">
        <v>7.6370689926367135</v>
      </c>
      <c r="L11" s="329">
        <v>19.783274236672369</v>
      </c>
      <c r="M11" s="329">
        <v>2.2210308161280778</v>
      </c>
      <c r="N11" s="329">
        <v>-3.4374927311571923</v>
      </c>
      <c r="O11" s="329">
        <v>10.756550181173566</v>
      </c>
      <c r="P11" s="329">
        <v>80.01982788479711</v>
      </c>
      <c r="Q11" s="329">
        <v>-12.477316090737403</v>
      </c>
      <c r="R11" s="329">
        <v>-6.8278390836688203</v>
      </c>
    </row>
    <row r="12" spans="1:18" x14ac:dyDescent="0.3">
      <c r="A12" s="227" t="s">
        <v>56</v>
      </c>
      <c r="B12" s="329" t="s">
        <v>440</v>
      </c>
      <c r="C12" s="329">
        <v>-13.421906357359092</v>
      </c>
      <c r="D12" s="329">
        <v>14.696260191963574</v>
      </c>
      <c r="E12" s="329">
        <v>10.533391143165716</v>
      </c>
      <c r="F12" s="329">
        <v>-1.5979096352935755</v>
      </c>
      <c r="G12" s="329">
        <v>2.5434944494533482</v>
      </c>
      <c r="H12" s="329">
        <v>-1.8537841370737596</v>
      </c>
      <c r="I12" s="329">
        <v>1.0985003932818245</v>
      </c>
      <c r="J12" s="329">
        <v>3.4113548067387285</v>
      </c>
      <c r="K12" s="329">
        <v>5.1796044126315905</v>
      </c>
      <c r="L12" s="329">
        <v>1.4429201071240527</v>
      </c>
      <c r="M12" s="329">
        <v>-1.0869583396577269</v>
      </c>
      <c r="N12" s="329">
        <v>2.7394027982962541</v>
      </c>
      <c r="O12" s="329">
        <v>2.1021883317109484</v>
      </c>
      <c r="P12" s="329">
        <v>-7.7909237675403631</v>
      </c>
      <c r="Q12" s="329">
        <v>6.7689951194882951</v>
      </c>
      <c r="R12" s="329">
        <v>10.908466275043722</v>
      </c>
    </row>
    <row r="13" spans="1:18" x14ac:dyDescent="0.3">
      <c r="A13" s="227" t="s">
        <v>490</v>
      </c>
      <c r="B13" s="329" t="s">
        <v>440</v>
      </c>
      <c r="C13" s="329">
        <v>8.2907479909334398</v>
      </c>
      <c r="D13" s="329">
        <v>6.1948328680406348</v>
      </c>
      <c r="E13" s="329">
        <v>-9.6658964973834003</v>
      </c>
      <c r="F13" s="329">
        <v>1.0847937423768599</v>
      </c>
      <c r="G13" s="329">
        <v>4.4433638921920249</v>
      </c>
      <c r="H13" s="329">
        <v>7.3928110286791764</v>
      </c>
      <c r="I13" s="329">
        <v>9.2393447402768629</v>
      </c>
      <c r="J13" s="329">
        <v>14.768653148286418</v>
      </c>
      <c r="K13" s="329">
        <v>12.575419762718226</v>
      </c>
      <c r="L13" s="329">
        <v>-3.3252970652894618</v>
      </c>
      <c r="M13" s="329">
        <v>4.8045444534918289</v>
      </c>
      <c r="N13" s="329">
        <v>7.8070845437279388</v>
      </c>
      <c r="O13" s="329">
        <v>4.7216687366969978</v>
      </c>
      <c r="P13" s="329">
        <v>-2.3317807448854211</v>
      </c>
      <c r="Q13" s="329">
        <v>2.2125173045027822</v>
      </c>
      <c r="R13" s="329">
        <v>3.9264724555965813</v>
      </c>
    </row>
    <row r="14" spans="1:18" x14ac:dyDescent="0.3">
      <c r="A14" s="227" t="s">
        <v>58</v>
      </c>
      <c r="B14" s="329" t="s">
        <v>440</v>
      </c>
      <c r="C14" s="329">
        <v>4.1336876048625015</v>
      </c>
      <c r="D14" s="329">
        <v>1.8303243179123285</v>
      </c>
      <c r="E14" s="329">
        <v>2.988212356081732</v>
      </c>
      <c r="F14" s="329">
        <v>2.8229360965495403</v>
      </c>
      <c r="G14" s="329">
        <v>3.7327220328250661</v>
      </c>
      <c r="H14" s="329">
        <v>4.7864985973828311</v>
      </c>
      <c r="I14" s="329">
        <v>6.431939664009434</v>
      </c>
      <c r="J14" s="329">
        <v>9.0165676827349728</v>
      </c>
      <c r="K14" s="329">
        <v>3.4407762145162621</v>
      </c>
      <c r="L14" s="329">
        <v>2.568466525379705</v>
      </c>
      <c r="M14" s="329">
        <v>4.6063969252074344</v>
      </c>
      <c r="N14" s="329">
        <v>1.0402235307577286</v>
      </c>
      <c r="O14" s="329">
        <v>9.2840721385800435</v>
      </c>
      <c r="P14" s="329">
        <v>2.4716049978489281</v>
      </c>
      <c r="Q14" s="329">
        <v>8.7039353479583212</v>
      </c>
      <c r="R14" s="329">
        <v>10.511620198007847</v>
      </c>
    </row>
    <row r="15" spans="1:18" x14ac:dyDescent="0.3">
      <c r="A15" s="227" t="s">
        <v>59</v>
      </c>
      <c r="B15" s="329" t="s">
        <v>440</v>
      </c>
      <c r="C15" s="329">
        <v>8.3697123179375978</v>
      </c>
      <c r="D15" s="329">
        <v>2.2272824320357643</v>
      </c>
      <c r="E15" s="329">
        <v>1.0855764175928613</v>
      </c>
      <c r="F15" s="329">
        <v>5.2545318325522459</v>
      </c>
      <c r="G15" s="329">
        <v>8.5646323491445742E-2</v>
      </c>
      <c r="H15" s="329">
        <v>0.75128729379736114</v>
      </c>
      <c r="I15" s="329">
        <v>1.78059644513813</v>
      </c>
      <c r="J15" s="329">
        <v>3.1982504061227814</v>
      </c>
      <c r="K15" s="329">
        <v>3.9492432591072202</v>
      </c>
      <c r="L15" s="329">
        <v>4.6123039658905611</v>
      </c>
      <c r="M15" s="329">
        <v>3.1104181759608309</v>
      </c>
      <c r="N15" s="329">
        <v>2.0097286289748126</v>
      </c>
      <c r="O15" s="329">
        <v>7.9861026107049327</v>
      </c>
      <c r="P15" s="329">
        <v>6.3693559787332248</v>
      </c>
      <c r="Q15" s="329">
        <v>9.143514499456046</v>
      </c>
      <c r="R15" s="329">
        <v>7.1752104426676908</v>
      </c>
    </row>
    <row r="16" spans="1:18" x14ac:dyDescent="0.3">
      <c r="A16" s="227" t="s">
        <v>334</v>
      </c>
      <c r="B16" s="329" t="s">
        <v>440</v>
      </c>
      <c r="C16" s="329">
        <v>5.2570910441346541E-2</v>
      </c>
      <c r="D16" s="329">
        <v>10.715554960944303</v>
      </c>
      <c r="E16" s="329">
        <v>-2.1424779973483083</v>
      </c>
      <c r="F16" s="329">
        <v>-3.504395980131136</v>
      </c>
      <c r="G16" s="329">
        <v>0.39367175906464524</v>
      </c>
      <c r="H16" s="329">
        <v>3.0205662275054124</v>
      </c>
      <c r="I16" s="329">
        <v>3.9930199915634006</v>
      </c>
      <c r="J16" s="329">
        <v>14.892630175821807</v>
      </c>
      <c r="K16" s="329">
        <v>4.9418186358570324</v>
      </c>
      <c r="L16" s="329">
        <v>-2.6955045758533913</v>
      </c>
      <c r="M16" s="329">
        <v>-2.2096466413919842</v>
      </c>
      <c r="N16" s="329">
        <v>4.2525760845392995</v>
      </c>
      <c r="O16" s="329">
        <v>9.9067649714874761</v>
      </c>
      <c r="P16" s="329">
        <v>4.6927802304248587</v>
      </c>
      <c r="Q16" s="329">
        <v>2.7457970294339873</v>
      </c>
      <c r="R16" s="329">
        <v>5.6807220016476663</v>
      </c>
    </row>
    <row r="17" spans="1:18" x14ac:dyDescent="0.3">
      <c r="A17" s="227" t="s">
        <v>491</v>
      </c>
      <c r="B17" s="329" t="s">
        <v>440</v>
      </c>
      <c r="C17" s="329">
        <v>1.5856796066145051</v>
      </c>
      <c r="D17" s="329">
        <v>10.937200393857665</v>
      </c>
      <c r="E17" s="329">
        <v>4.8852186683937049</v>
      </c>
      <c r="F17" s="329">
        <v>6.7074181516989455</v>
      </c>
      <c r="G17" s="329">
        <v>4.4735226576027856</v>
      </c>
      <c r="H17" s="329">
        <v>7.4462082646952439</v>
      </c>
      <c r="I17" s="329">
        <v>7.8833698549908888</v>
      </c>
      <c r="J17" s="329">
        <v>6.2344881436316513</v>
      </c>
      <c r="K17" s="329">
        <v>8.9580433761486944</v>
      </c>
      <c r="L17" s="329">
        <v>4.8249546627291835</v>
      </c>
      <c r="M17" s="329">
        <v>3.8809925692229399</v>
      </c>
      <c r="N17" s="329">
        <v>0.30378974731715402</v>
      </c>
      <c r="O17" s="329">
        <v>7.2945578852284569</v>
      </c>
      <c r="P17" s="329">
        <v>-1.513828837729065</v>
      </c>
      <c r="Q17" s="329">
        <v>8.4866024653033776</v>
      </c>
      <c r="R17" s="329">
        <v>13.328662726641454</v>
      </c>
    </row>
    <row r="18" spans="1:18" x14ac:dyDescent="0.3">
      <c r="A18" s="227" t="s">
        <v>492</v>
      </c>
      <c r="B18" s="329" t="s">
        <v>440</v>
      </c>
      <c r="C18" s="329">
        <v>-9.5623434030677714</v>
      </c>
      <c r="D18" s="329">
        <v>-11.292873828492461</v>
      </c>
      <c r="E18" s="329">
        <v>-4.7759191377306962</v>
      </c>
      <c r="F18" s="329">
        <v>-7.57578458656306</v>
      </c>
      <c r="G18" s="329">
        <v>-6.8587141110092489</v>
      </c>
      <c r="H18" s="329">
        <v>-4.0794135195354357</v>
      </c>
      <c r="I18" s="329">
        <v>-4.8522646241746799</v>
      </c>
      <c r="J18" s="329">
        <v>-6.2452943569494863</v>
      </c>
      <c r="K18" s="329">
        <v>-4.4750879985720644</v>
      </c>
      <c r="L18" s="329">
        <v>2.5066694706696211</v>
      </c>
      <c r="M18" s="329">
        <v>-1.5232514552825052</v>
      </c>
      <c r="N18" s="329">
        <v>-1.8080504819910885</v>
      </c>
      <c r="O18" s="329">
        <v>-3.7680261578515655</v>
      </c>
      <c r="P18" s="329">
        <v>-8.2924905661300272</v>
      </c>
      <c r="Q18" s="329">
        <v>11.744147060651031</v>
      </c>
      <c r="R18" s="329">
        <v>1.7257592202077205</v>
      </c>
    </row>
    <row r="19" spans="1:18" x14ac:dyDescent="0.3">
      <c r="A19" s="227" t="s">
        <v>335</v>
      </c>
      <c r="B19" s="329" t="s">
        <v>440</v>
      </c>
      <c r="C19" s="329">
        <v>4.4674705540545574</v>
      </c>
      <c r="D19" s="329">
        <v>1.1379644150355688</v>
      </c>
      <c r="E19" s="329">
        <v>0.2815163616948837</v>
      </c>
      <c r="F19" s="329">
        <v>4.2951310549711934</v>
      </c>
      <c r="G19" s="329">
        <v>2.5481551497170472</v>
      </c>
      <c r="H19" s="329">
        <v>6.2846837057453087</v>
      </c>
      <c r="I19" s="329">
        <v>7.6096901075618888</v>
      </c>
      <c r="J19" s="329">
        <v>2.9012377728005987</v>
      </c>
      <c r="K19" s="329">
        <v>2.9845059557073625</v>
      </c>
      <c r="L19" s="329">
        <v>-5.6661169601568417E-3</v>
      </c>
      <c r="M19" s="329">
        <v>0.34264919220785828</v>
      </c>
      <c r="N19" s="329">
        <v>0.18404627179855026</v>
      </c>
      <c r="O19" s="329">
        <v>0.77049776085382859</v>
      </c>
      <c r="P19" s="329">
        <v>-1.0990493420430738</v>
      </c>
      <c r="Q19" s="329">
        <v>5.3708451845563445</v>
      </c>
      <c r="R19" s="329">
        <v>-2.1987698932810105</v>
      </c>
    </row>
    <row r="20" spans="1:18" x14ac:dyDescent="0.3">
      <c r="A20" s="227" t="s">
        <v>136</v>
      </c>
      <c r="B20" s="329" t="s">
        <v>440</v>
      </c>
      <c r="C20" s="329">
        <v>3.0848151489343252</v>
      </c>
      <c r="D20" s="329">
        <v>4.53721841223647</v>
      </c>
      <c r="E20" s="329">
        <v>2.1872014399300355</v>
      </c>
      <c r="F20" s="329">
        <v>2.6518743815603187</v>
      </c>
      <c r="G20" s="329">
        <v>4.7203758440371217</v>
      </c>
      <c r="H20" s="329">
        <v>4.8513677374820503</v>
      </c>
      <c r="I20" s="329">
        <v>4.522577323863203</v>
      </c>
      <c r="J20" s="329">
        <v>3.5258393526292622</v>
      </c>
      <c r="K20" s="329">
        <v>4.6876366947100223</v>
      </c>
      <c r="L20" s="329">
        <v>4.4533484615577663</v>
      </c>
      <c r="M20" s="329">
        <v>3.6618919392382026</v>
      </c>
      <c r="N20" s="329">
        <v>3.6356446035248098</v>
      </c>
      <c r="O20" s="329">
        <v>2.5225506417796169</v>
      </c>
      <c r="P20" s="329">
        <v>0.90098520561889472</v>
      </c>
      <c r="Q20" s="329">
        <v>5.9571893546034289</v>
      </c>
      <c r="R20" s="329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-5.2115179239923179</v>
      </c>
      <c r="D22" s="330">
        <v>5.167039185748834</v>
      </c>
      <c r="E22" s="330">
        <v>5.989420574887319</v>
      </c>
      <c r="F22" s="330">
        <v>10.574626110842857</v>
      </c>
      <c r="G22" s="330">
        <v>-2.7373761060472503</v>
      </c>
      <c r="H22" s="330">
        <v>0.58656981514131701</v>
      </c>
      <c r="I22" s="330">
        <v>1.3795768541740756</v>
      </c>
      <c r="J22" s="330">
        <v>-1.4080731500326067</v>
      </c>
      <c r="K22" s="330">
        <v>5.391604846018879</v>
      </c>
      <c r="L22" s="330">
        <v>4.0192056719142784</v>
      </c>
      <c r="M22" s="330">
        <v>1.8682200622649958</v>
      </c>
      <c r="N22" s="330">
        <v>2.403511898575843</v>
      </c>
      <c r="O22" s="330">
        <v>6.1032648344687743</v>
      </c>
      <c r="P22" s="330">
        <v>16.946576242542946</v>
      </c>
      <c r="Q22" s="330">
        <v>1.5341295019644576</v>
      </c>
      <c r="R22" s="330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85"/>
      <c r="B54" s="485"/>
      <c r="C54" s="485"/>
      <c r="D54" s="485"/>
      <c r="E54" s="485"/>
      <c r="F54" s="485"/>
      <c r="G54" s="485"/>
      <c r="H54" s="485"/>
      <c r="I54" s="485"/>
      <c r="J54" s="485"/>
    </row>
    <row r="55" spans="1:16" s="195" customFormat="1" ht="15.6" x14ac:dyDescent="0.3">
      <c r="A55" s="485"/>
      <c r="B55" s="485"/>
      <c r="C55" s="485"/>
      <c r="D55" s="485"/>
      <c r="E55" s="485"/>
      <c r="F55" s="485"/>
      <c r="G55" s="485"/>
      <c r="H55" s="485"/>
      <c r="I55" s="485"/>
      <c r="J55" s="485"/>
    </row>
    <row r="56" spans="1:16" s="195" customFormat="1" ht="15.6" x14ac:dyDescent="0.3">
      <c r="A56" s="485"/>
      <c r="B56" s="485"/>
      <c r="C56" s="485"/>
      <c r="D56" s="485"/>
      <c r="E56" s="485"/>
      <c r="F56" s="485"/>
      <c r="G56" s="485"/>
      <c r="H56" s="485"/>
      <c r="I56" s="485"/>
      <c r="J56" s="485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85"/>
      <c r="B54" s="485"/>
      <c r="C54" s="485"/>
      <c r="D54" s="485"/>
      <c r="E54" s="485"/>
      <c r="F54" s="485"/>
      <c r="G54" s="485"/>
      <c r="H54" s="485"/>
      <c r="I54" s="485"/>
      <c r="J54" s="485"/>
    </row>
    <row r="55" spans="1:12" s="195" customFormat="1" ht="15.6" x14ac:dyDescent="0.3">
      <c r="A55" s="488"/>
      <c r="B55" s="488"/>
      <c r="C55" s="488"/>
      <c r="D55" s="488"/>
      <c r="E55" s="488"/>
      <c r="F55" s="488"/>
      <c r="G55" s="488"/>
      <c r="H55" s="488"/>
      <c r="I55" s="488"/>
      <c r="J55" s="488"/>
    </row>
    <row r="56" spans="1:12" s="195" customFormat="1" ht="15.6" x14ac:dyDescent="0.3">
      <c r="A56" s="485"/>
      <c r="B56" s="485"/>
      <c r="C56" s="485"/>
      <c r="D56" s="485"/>
      <c r="E56" s="485"/>
      <c r="F56" s="485"/>
      <c r="G56" s="485"/>
      <c r="H56" s="485"/>
      <c r="I56" s="485"/>
      <c r="J56" s="485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85"/>
      <c r="B54" s="485"/>
      <c r="C54" s="485"/>
      <c r="D54" s="485"/>
      <c r="E54" s="485"/>
      <c r="F54" s="485"/>
      <c r="G54" s="485"/>
      <c r="H54" s="485"/>
      <c r="I54" s="485"/>
      <c r="J54" s="485"/>
    </row>
    <row r="55" spans="1:16" s="195" customFormat="1" ht="15.6" x14ac:dyDescent="0.3">
      <c r="A55" s="485"/>
      <c r="B55" s="485"/>
      <c r="C55" s="485"/>
      <c r="D55" s="485"/>
      <c r="E55" s="485"/>
      <c r="F55" s="485"/>
      <c r="G55" s="485"/>
      <c r="H55" s="485"/>
      <c r="I55" s="485"/>
      <c r="J55" s="485"/>
    </row>
    <row r="56" spans="1:16" s="195" customFormat="1" ht="15.6" x14ac:dyDescent="0.3">
      <c r="A56" s="485"/>
      <c r="B56" s="485"/>
      <c r="C56" s="485"/>
      <c r="D56" s="485"/>
      <c r="E56" s="485"/>
      <c r="F56" s="485"/>
      <c r="G56" s="485"/>
      <c r="H56" s="485"/>
      <c r="I56" s="485"/>
      <c r="J56" s="485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85"/>
      <c r="B54" s="485"/>
      <c r="C54" s="485"/>
      <c r="D54" s="485"/>
      <c r="E54" s="485"/>
      <c r="F54" s="485"/>
      <c r="G54" s="485"/>
      <c r="H54" s="485"/>
      <c r="I54" s="485"/>
      <c r="J54" s="485"/>
    </row>
    <row r="55" spans="1:12" s="195" customFormat="1" ht="15.6" x14ac:dyDescent="0.3">
      <c r="A55" s="488"/>
      <c r="B55" s="488"/>
      <c r="C55" s="488"/>
      <c r="D55" s="488"/>
      <c r="E55" s="488"/>
      <c r="F55" s="488"/>
      <c r="G55" s="488"/>
      <c r="H55" s="488"/>
      <c r="I55" s="488"/>
      <c r="J55" s="488"/>
    </row>
    <row r="56" spans="1:12" s="195" customFormat="1" ht="15.6" x14ac:dyDescent="0.3">
      <c r="A56" s="485"/>
      <c r="B56" s="485"/>
      <c r="C56" s="485"/>
      <c r="D56" s="485"/>
      <c r="E56" s="485"/>
      <c r="F56" s="485"/>
      <c r="G56" s="485"/>
      <c r="H56" s="485"/>
      <c r="I56" s="485"/>
      <c r="J56" s="485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85"/>
      <c r="B54" s="485"/>
      <c r="C54" s="485"/>
      <c r="D54" s="485"/>
      <c r="E54" s="485"/>
      <c r="F54" s="485"/>
      <c r="G54" s="485"/>
      <c r="H54" s="485"/>
      <c r="I54" s="485"/>
      <c r="J54" s="485"/>
    </row>
    <row r="55" spans="1:16" s="195" customFormat="1" ht="15.6" x14ac:dyDescent="0.3">
      <c r="A55" s="485"/>
      <c r="B55" s="485"/>
      <c r="C55" s="485"/>
      <c r="D55" s="485"/>
      <c r="E55" s="485"/>
      <c r="F55" s="485"/>
      <c r="G55" s="485"/>
      <c r="H55" s="485"/>
      <c r="I55" s="485"/>
      <c r="J55" s="485"/>
    </row>
    <row r="56" spans="1:16" s="195" customFormat="1" ht="15.6" x14ac:dyDescent="0.3">
      <c r="A56" s="485"/>
      <c r="B56" s="485"/>
      <c r="C56" s="485"/>
      <c r="D56" s="485"/>
      <c r="E56" s="485"/>
      <c r="F56" s="485"/>
      <c r="G56" s="485"/>
      <c r="H56" s="485"/>
      <c r="I56" s="485"/>
      <c r="J56" s="485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85"/>
      <c r="B54" s="485"/>
      <c r="C54" s="485"/>
      <c r="D54" s="485"/>
      <c r="E54" s="485"/>
      <c r="F54" s="485"/>
      <c r="G54" s="485"/>
      <c r="H54" s="485"/>
      <c r="I54" s="485"/>
      <c r="J54" s="485"/>
    </row>
    <row r="55" spans="1:12" s="195" customFormat="1" ht="15.6" x14ac:dyDescent="0.3">
      <c r="A55" s="488"/>
      <c r="B55" s="488"/>
      <c r="C55" s="488"/>
      <c r="D55" s="488"/>
      <c r="E55" s="488"/>
      <c r="F55" s="488"/>
      <c r="G55" s="488"/>
      <c r="H55" s="488"/>
      <c r="I55" s="488"/>
      <c r="J55" s="488"/>
    </row>
    <row r="56" spans="1:12" s="195" customFormat="1" ht="15.6" x14ac:dyDescent="0.3">
      <c r="A56" s="485"/>
      <c r="B56" s="485"/>
      <c r="C56" s="485"/>
      <c r="D56" s="485"/>
      <c r="E56" s="485"/>
      <c r="F56" s="485"/>
      <c r="G56" s="485"/>
      <c r="H56" s="485"/>
      <c r="I56" s="485"/>
      <c r="J56" s="485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5"/>
      <c r="B1" s="485"/>
      <c r="C1" s="485"/>
      <c r="D1" s="485"/>
      <c r="E1" s="485"/>
      <c r="F1" s="485"/>
      <c r="G1" s="485"/>
      <c r="H1" s="485"/>
      <c r="I1" s="80"/>
      <c r="J1" s="83"/>
    </row>
    <row r="2" spans="1:10" ht="15.6" x14ac:dyDescent="0.3">
      <c r="A2" s="485"/>
      <c r="B2" s="485"/>
      <c r="C2" s="485"/>
      <c r="D2" s="485"/>
      <c r="E2" s="485"/>
      <c r="F2" s="485"/>
      <c r="G2" s="485"/>
      <c r="H2" s="485"/>
      <c r="I2" s="80"/>
      <c r="J2" s="83"/>
    </row>
    <row r="3" spans="1:10" ht="15.6" x14ac:dyDescent="0.3">
      <c r="A3" s="485"/>
      <c r="B3" s="485"/>
      <c r="C3" s="485"/>
      <c r="D3" s="485"/>
      <c r="E3" s="485"/>
      <c r="F3" s="485"/>
      <c r="G3" s="485"/>
      <c r="H3" s="485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7"/>
      <c r="B30" s="487"/>
      <c r="C30" s="487"/>
      <c r="D30" s="487"/>
      <c r="E30" s="487"/>
      <c r="F30" s="487"/>
      <c r="G30" s="487"/>
      <c r="H30" s="487"/>
      <c r="I30" s="83"/>
    </row>
    <row r="31" spans="1:18" ht="15.6" x14ac:dyDescent="0.3">
      <c r="A31" s="485"/>
      <c r="B31" s="485"/>
      <c r="C31" s="485"/>
      <c r="D31" s="485"/>
      <c r="E31" s="485"/>
      <c r="F31" s="485"/>
      <c r="G31" s="485"/>
      <c r="H31" s="485"/>
      <c r="I31" s="485"/>
      <c r="J31" s="485"/>
    </row>
    <row r="32" spans="1:18" ht="15.6" x14ac:dyDescent="0.3">
      <c r="A32" s="486"/>
      <c r="B32" s="486"/>
      <c r="C32" s="486"/>
      <c r="D32" s="486"/>
      <c r="E32" s="486"/>
      <c r="F32" s="486"/>
      <c r="G32" s="486"/>
      <c r="H32" s="486"/>
      <c r="I32" s="486"/>
      <c r="J32" s="486"/>
    </row>
    <row r="33" spans="1:10" ht="15.6" x14ac:dyDescent="0.3">
      <c r="A33" s="485"/>
      <c r="B33" s="485"/>
      <c r="C33" s="485"/>
      <c r="D33" s="485"/>
      <c r="E33" s="485"/>
      <c r="F33" s="485"/>
      <c r="G33" s="485"/>
      <c r="H33" s="485"/>
      <c r="I33" s="485"/>
      <c r="J33" s="485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4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4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3" priority="1" operator="lessThan">
      <formula>0</formula>
    </cfRule>
    <cfRule type="cellIs" dxfId="2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>
      <selection activeCell="E21" sqref="E21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workbookViewId="0"/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0" t="s">
        <v>2</v>
      </c>
      <c r="B5" s="339" t="s">
        <v>842</v>
      </c>
      <c r="C5" s="339" t="s">
        <v>843</v>
      </c>
      <c r="D5" s="339" t="s">
        <v>844</v>
      </c>
    </row>
    <row r="6" spans="1:4" x14ac:dyDescent="0.3">
      <c r="A6" s="341" t="s">
        <v>3</v>
      </c>
      <c r="B6" s="338">
        <v>429943</v>
      </c>
      <c r="C6">
        <v>3155359000</v>
      </c>
      <c r="D6" s="338">
        <f>+C6/B6</f>
        <v>7339.0170324903538</v>
      </c>
    </row>
    <row r="7" spans="1:4" x14ac:dyDescent="0.3">
      <c r="A7" s="341" t="s">
        <v>317</v>
      </c>
      <c r="B7" s="338">
        <v>1198547</v>
      </c>
      <c r="C7">
        <v>20830373000</v>
      </c>
      <c r="D7" s="338">
        <f t="shared" ref="D7:D29" si="0">+C7/B7</f>
        <v>17379.688072307552</v>
      </c>
    </row>
    <row r="8" spans="1:4" x14ac:dyDescent="0.3">
      <c r="A8" s="341" t="s">
        <v>5</v>
      </c>
      <c r="B8" s="338">
        <v>428311</v>
      </c>
      <c r="C8">
        <v>6697669000</v>
      </c>
      <c r="D8" s="338">
        <f t="shared" si="0"/>
        <v>15637.396658035866</v>
      </c>
    </row>
    <row r="9" spans="1:4" x14ac:dyDescent="0.3">
      <c r="A9" s="341" t="s">
        <v>6</v>
      </c>
      <c r="B9" s="338">
        <v>1580075</v>
      </c>
      <c r="C9">
        <v>31110364000</v>
      </c>
      <c r="D9" s="338">
        <f t="shared" si="0"/>
        <v>19689.169185007042</v>
      </c>
    </row>
    <row r="10" spans="1:4" x14ac:dyDescent="0.3">
      <c r="A10" s="341" t="s">
        <v>7</v>
      </c>
      <c r="B10" s="338">
        <v>670377</v>
      </c>
      <c r="C10">
        <v>5850636000</v>
      </c>
      <c r="D10" s="338">
        <f t="shared" si="0"/>
        <v>8727.3817568323502</v>
      </c>
    </row>
    <row r="11" spans="1:4" x14ac:dyDescent="0.3">
      <c r="A11" s="341" t="s">
        <v>8</v>
      </c>
      <c r="B11" s="338">
        <v>1451436</v>
      </c>
      <c r="C11">
        <v>11782969000</v>
      </c>
      <c r="D11" s="338">
        <f t="shared" si="0"/>
        <v>8118.1457535847258</v>
      </c>
    </row>
    <row r="12" spans="1:4" x14ac:dyDescent="0.3">
      <c r="A12" s="341" t="s">
        <v>9</v>
      </c>
      <c r="B12" s="338">
        <v>1389737</v>
      </c>
      <c r="C12">
        <v>22194471000</v>
      </c>
      <c r="D12" s="338">
        <f t="shared" si="0"/>
        <v>15970.267036137053</v>
      </c>
    </row>
    <row r="13" spans="1:4" x14ac:dyDescent="0.3">
      <c r="A13" s="341" t="s">
        <v>10</v>
      </c>
      <c r="B13" s="338">
        <v>343026</v>
      </c>
      <c r="C13">
        <v>3467029000</v>
      </c>
      <c r="D13" s="338">
        <f t="shared" si="0"/>
        <v>10107.190125529843</v>
      </c>
    </row>
    <row r="14" spans="1:4" x14ac:dyDescent="0.3">
      <c r="A14" s="341" t="s">
        <v>11</v>
      </c>
      <c r="B14" s="338">
        <v>751097</v>
      </c>
      <c r="C14">
        <v>6602948000</v>
      </c>
      <c r="D14" s="338">
        <f t="shared" si="0"/>
        <v>8791.0722583101779</v>
      </c>
    </row>
    <row r="15" spans="1:4" x14ac:dyDescent="0.3">
      <c r="A15" s="341" t="s">
        <v>12</v>
      </c>
      <c r="B15" s="338">
        <v>1041312</v>
      </c>
      <c r="C15">
        <v>21067333000</v>
      </c>
      <c r="D15" s="338">
        <f t="shared" si="0"/>
        <v>20231.528110691128</v>
      </c>
    </row>
    <row r="16" spans="1:4" x14ac:dyDescent="0.3">
      <c r="A16" s="341" t="s">
        <v>13</v>
      </c>
      <c r="B16" s="338">
        <v>1377838</v>
      </c>
      <c r="C16">
        <v>15768817000</v>
      </c>
      <c r="D16" s="338">
        <f t="shared" si="0"/>
        <v>11444.608872741208</v>
      </c>
    </row>
    <row r="17" spans="1:4" x14ac:dyDescent="0.3">
      <c r="A17" s="341" t="s">
        <v>14</v>
      </c>
      <c r="B17" s="338">
        <v>2104254</v>
      </c>
      <c r="C17">
        <v>23269987000</v>
      </c>
      <c r="D17" s="338">
        <f t="shared" si="0"/>
        <v>11058.544738420362</v>
      </c>
    </row>
    <row r="18" spans="1:4" x14ac:dyDescent="0.3">
      <c r="A18" s="341" t="s">
        <v>15</v>
      </c>
      <c r="B18" s="338">
        <v>1350663</v>
      </c>
      <c r="C18">
        <v>12660759000</v>
      </c>
      <c r="D18" s="338">
        <f t="shared" si="0"/>
        <v>9373.7364538748752</v>
      </c>
    </row>
    <row r="19" spans="1:4" x14ac:dyDescent="0.3">
      <c r="A19" s="341" t="s">
        <v>16</v>
      </c>
      <c r="B19" s="338">
        <f>11147924+1190860</f>
        <v>12338784</v>
      </c>
      <c r="C19">
        <v>245635607000</v>
      </c>
      <c r="D19" s="338">
        <f t="shared" si="0"/>
        <v>19907.602483356546</v>
      </c>
    </row>
    <row r="20" spans="1:4" x14ac:dyDescent="0.3">
      <c r="A20" s="341" t="s">
        <v>17</v>
      </c>
      <c r="B20" s="338">
        <v>1051560</v>
      </c>
      <c r="C20">
        <v>9533555000</v>
      </c>
      <c r="D20" s="338">
        <f t="shared" si="0"/>
        <v>9066.1065464642998</v>
      </c>
    </row>
    <row r="21" spans="1:4" x14ac:dyDescent="0.3">
      <c r="A21" s="341" t="s">
        <v>18</v>
      </c>
      <c r="B21" s="338">
        <v>191259</v>
      </c>
      <c r="C21">
        <v>1786230000</v>
      </c>
      <c r="D21" s="338">
        <f t="shared" si="0"/>
        <v>9339.3252082254949</v>
      </c>
    </row>
    <row r="22" spans="1:4" x14ac:dyDescent="0.3">
      <c r="A22" s="341" t="s">
        <v>19</v>
      </c>
      <c r="B22" s="338">
        <v>199286</v>
      </c>
      <c r="C22">
        <v>13311205000</v>
      </c>
      <c r="D22" s="338">
        <f t="shared" si="0"/>
        <v>66794.481298234692</v>
      </c>
    </row>
    <row r="23" spans="1:4" x14ac:dyDescent="0.3">
      <c r="A23" s="341" t="s">
        <v>20</v>
      </c>
      <c r="B23" s="338">
        <v>267425</v>
      </c>
      <c r="C23">
        <v>5450271000</v>
      </c>
      <c r="D23" s="338">
        <f t="shared" si="0"/>
        <v>20380.559035243525</v>
      </c>
    </row>
    <row r="24" spans="1:4" x14ac:dyDescent="0.3">
      <c r="A24" s="341" t="s">
        <v>21</v>
      </c>
      <c r="B24" s="338">
        <v>2127093</v>
      </c>
      <c r="C24">
        <v>21369295000</v>
      </c>
      <c r="D24" s="338">
        <f t="shared" si="0"/>
        <v>10046.243864278618</v>
      </c>
    </row>
    <row r="25" spans="1:4" x14ac:dyDescent="0.3">
      <c r="A25" s="341" t="s">
        <v>22</v>
      </c>
      <c r="B25" s="338">
        <v>1217951</v>
      </c>
      <c r="C25">
        <v>9236851000</v>
      </c>
      <c r="D25" s="338">
        <f t="shared" si="0"/>
        <v>7583.9266111690868</v>
      </c>
    </row>
    <row r="26" spans="1:4" x14ac:dyDescent="0.3">
      <c r="A26" s="341" t="s">
        <v>23</v>
      </c>
      <c r="B26" s="338">
        <v>935194</v>
      </c>
      <c r="C26">
        <v>6421054000</v>
      </c>
      <c r="D26" s="338">
        <f t="shared" si="0"/>
        <v>6866.0128272850343</v>
      </c>
    </row>
    <row r="27" spans="1:4" x14ac:dyDescent="0.3">
      <c r="A27" s="341" t="s">
        <v>24</v>
      </c>
      <c r="B27" s="338">
        <v>390279</v>
      </c>
      <c r="C27">
        <v>8366115000</v>
      </c>
      <c r="D27" s="338">
        <f t="shared" si="0"/>
        <v>21436.241765506216</v>
      </c>
    </row>
    <row r="28" spans="1:4" x14ac:dyDescent="0.3">
      <c r="A28" s="341" t="s">
        <v>25</v>
      </c>
      <c r="B28" s="338">
        <v>263164</v>
      </c>
      <c r="C28">
        <v>2816455000</v>
      </c>
      <c r="D28" s="338">
        <f t="shared" si="0"/>
        <v>10702.280707087595</v>
      </c>
    </row>
    <row r="29" spans="1:4" x14ac:dyDescent="0.3">
      <c r="A29" s="341" t="s">
        <v>26</v>
      </c>
      <c r="B29" s="338">
        <v>627233</v>
      </c>
      <c r="C29">
        <v>4726099000</v>
      </c>
      <c r="D29" s="338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I22"/>
  <sheetViews>
    <sheetView workbookViewId="0"/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  <col min="8" max="8" width="15.21875" customWidth="1"/>
    <col min="9" max="9" width="22.6640625" customWidth="1"/>
  </cols>
  <sheetData>
    <row r="1" spans="1:9" ht="18" x14ac:dyDescent="0.3">
      <c r="A1" s="229" t="s">
        <v>847</v>
      </c>
    </row>
    <row r="2" spans="1:9" ht="18" x14ac:dyDescent="0.3">
      <c r="A2" s="304" t="s">
        <v>859</v>
      </c>
    </row>
    <row r="3" spans="1:9" x14ac:dyDescent="0.3">
      <c r="A3" s="231" t="s">
        <v>848</v>
      </c>
    </row>
    <row r="5" spans="1:9" x14ac:dyDescent="0.3">
      <c r="A5" t="s">
        <v>849</v>
      </c>
      <c r="B5" s="345" t="s">
        <v>850</v>
      </c>
      <c r="C5" s="345" t="s">
        <v>852</v>
      </c>
      <c r="D5" s="345" t="s">
        <v>853</v>
      </c>
      <c r="E5" s="345" t="s">
        <v>857</v>
      </c>
      <c r="F5" s="345" t="s">
        <v>851</v>
      </c>
      <c r="G5" s="345" t="s">
        <v>854</v>
      </c>
      <c r="H5" s="345" t="s">
        <v>855</v>
      </c>
      <c r="I5" s="345" t="s">
        <v>858</v>
      </c>
    </row>
    <row r="6" spans="1:9" x14ac:dyDescent="0.3">
      <c r="A6" s="345">
        <v>2007</v>
      </c>
      <c r="B6" s="348">
        <v>28122158</v>
      </c>
      <c r="C6" s="347">
        <v>319693000000</v>
      </c>
      <c r="D6" s="347">
        <f>+C6/B6</f>
        <v>11368.010947097304</v>
      </c>
      <c r="F6" s="347">
        <v>1660271</v>
      </c>
      <c r="G6" s="347">
        <v>14615612000</v>
      </c>
      <c r="H6" s="347">
        <f>G6/F6</f>
        <v>8803.1484016765935</v>
      </c>
    </row>
    <row r="7" spans="1:9" x14ac:dyDescent="0.3">
      <c r="A7" s="345">
        <v>2008</v>
      </c>
      <c r="B7" s="348">
        <v>28300372</v>
      </c>
      <c r="C7" s="347">
        <v>348870000000</v>
      </c>
      <c r="D7" s="347">
        <f t="shared" ref="D7:D22" si="0">+C7/B7</f>
        <v>12327.399795310112</v>
      </c>
      <c r="E7" s="349">
        <f>(D7-D6)/D6</f>
        <v>8.439373015010837E-2</v>
      </c>
      <c r="F7" s="347">
        <v>1676529</v>
      </c>
      <c r="G7" s="347">
        <v>15653801000</v>
      </c>
      <c r="H7" s="347">
        <f t="shared" ref="H7:H22" si="1">G7/F7</f>
        <v>9337.0296606858574</v>
      </c>
      <c r="I7" s="349">
        <f>+(H7-H6)/H6</f>
        <v>6.0646627166660527E-2</v>
      </c>
    </row>
    <row r="8" spans="1:9" x14ac:dyDescent="0.3">
      <c r="A8" s="345">
        <v>2009</v>
      </c>
      <c r="B8" s="348">
        <v>28485319</v>
      </c>
      <c r="C8" s="347">
        <v>352693000000</v>
      </c>
      <c r="D8" s="347">
        <f t="shared" si="0"/>
        <v>12381.571012071165</v>
      </c>
      <c r="E8" s="349">
        <f t="shared" ref="E8:E22" si="2">(D8-D7)/D7</f>
        <v>4.3943749420427012E-3</v>
      </c>
      <c r="F8" s="347">
        <v>1693454</v>
      </c>
      <c r="G8" s="347">
        <v>15716171000</v>
      </c>
      <c r="H8" s="347">
        <f t="shared" si="1"/>
        <v>9280.5420164941006</v>
      </c>
      <c r="I8" s="349">
        <f t="shared" ref="I8:I22" si="3">+(H8-H7)/H7</f>
        <v>-6.0498516385357011E-3</v>
      </c>
    </row>
    <row r="9" spans="1:9" x14ac:dyDescent="0.3">
      <c r="A9" s="345">
        <v>2010</v>
      </c>
      <c r="B9" s="348">
        <v>28692915</v>
      </c>
      <c r="C9" s="347">
        <v>382081000000</v>
      </c>
      <c r="D9" s="347">
        <f t="shared" si="0"/>
        <v>13316.214124636692</v>
      </c>
      <c r="E9" s="349">
        <f t="shared" si="2"/>
        <v>7.5486633453405519E-2</v>
      </c>
      <c r="F9" s="347">
        <v>1711902</v>
      </c>
      <c r="G9" s="347">
        <v>16624855000</v>
      </c>
      <c r="H9" s="347">
        <f t="shared" si="1"/>
        <v>9711.3356956180905</v>
      </c>
      <c r="I9" s="349">
        <f t="shared" si="3"/>
        <v>4.6419021470766465E-2</v>
      </c>
    </row>
    <row r="10" spans="1:9" x14ac:dyDescent="0.3">
      <c r="A10" s="345">
        <v>2011</v>
      </c>
      <c r="B10" s="348">
        <v>28905725</v>
      </c>
      <c r="C10" s="347">
        <v>406256000000</v>
      </c>
      <c r="D10" s="347">
        <f t="shared" si="0"/>
        <v>14054.516882036343</v>
      </c>
      <c r="E10" s="349">
        <f t="shared" si="2"/>
        <v>5.5443893473723686E-2</v>
      </c>
      <c r="F10" s="347">
        <v>1730877</v>
      </c>
      <c r="G10" s="347">
        <v>17378414000</v>
      </c>
      <c r="H10" s="347">
        <f t="shared" si="1"/>
        <v>10040.236250178377</v>
      </c>
      <c r="I10" s="349">
        <f t="shared" si="3"/>
        <v>3.3867694915406123E-2</v>
      </c>
    </row>
    <row r="11" spans="1:9" x14ac:dyDescent="0.3">
      <c r="A11" s="345">
        <v>2012</v>
      </c>
      <c r="B11" s="348">
        <v>29113162</v>
      </c>
      <c r="C11" s="347">
        <v>431199000000</v>
      </c>
      <c r="D11" s="347">
        <f t="shared" si="0"/>
        <v>14811.135939132961</v>
      </c>
      <c r="E11" s="349">
        <f t="shared" si="2"/>
        <v>5.3834583105711965E-2</v>
      </c>
      <c r="F11" s="347">
        <v>1749812</v>
      </c>
      <c r="G11" s="347">
        <v>18712792000</v>
      </c>
      <c r="H11" s="347">
        <f t="shared" si="1"/>
        <v>10694.172859712929</v>
      </c>
      <c r="I11" s="349">
        <f t="shared" si="3"/>
        <v>6.5131595835001804E-2</v>
      </c>
    </row>
    <row r="12" spans="1:9" x14ac:dyDescent="0.3">
      <c r="A12" s="345">
        <v>2013</v>
      </c>
      <c r="B12" s="348">
        <v>29341346</v>
      </c>
      <c r="C12" s="347">
        <v>456435000000</v>
      </c>
      <c r="D12" s="347">
        <f t="shared" si="0"/>
        <v>15556.034818579898</v>
      </c>
      <c r="E12" s="349">
        <f t="shared" si="2"/>
        <v>5.0293163367626417E-2</v>
      </c>
      <c r="F12" s="347">
        <v>1770194</v>
      </c>
      <c r="G12" s="347">
        <v>19532083000</v>
      </c>
      <c r="H12" s="347">
        <f t="shared" si="1"/>
        <v>11033.865779682905</v>
      </c>
      <c r="I12" s="349">
        <f t="shared" si="3"/>
        <v>3.1764300467749675E-2</v>
      </c>
    </row>
    <row r="13" spans="1:9" x14ac:dyDescent="0.3">
      <c r="A13" s="345">
        <v>2014</v>
      </c>
      <c r="B13" s="348">
        <v>29616414</v>
      </c>
      <c r="C13" s="347">
        <v>467308000000</v>
      </c>
      <c r="D13" s="347">
        <f t="shared" si="0"/>
        <v>15778.682726409754</v>
      </c>
      <c r="E13" s="349">
        <f t="shared" si="2"/>
        <v>1.4312638820011436E-2</v>
      </c>
      <c r="F13" s="347">
        <v>1793523</v>
      </c>
      <c r="G13" s="347">
        <v>19821258000</v>
      </c>
      <c r="H13" s="347">
        <f t="shared" si="1"/>
        <v>11051.57725883638</v>
      </c>
      <c r="I13" s="349">
        <f t="shared" si="3"/>
        <v>1.6051925505644504E-3</v>
      </c>
    </row>
    <row r="14" spans="1:9" x14ac:dyDescent="0.3">
      <c r="A14" s="345">
        <v>2015</v>
      </c>
      <c r="B14" s="348">
        <v>29964499</v>
      </c>
      <c r="C14" s="347">
        <v>482506000000</v>
      </c>
      <c r="D14" s="347">
        <f t="shared" si="0"/>
        <v>16102.588599929537</v>
      </c>
      <c r="E14" s="349">
        <f t="shared" si="2"/>
        <v>2.0528068098970138E-2</v>
      </c>
      <c r="F14" s="347">
        <v>1821292</v>
      </c>
      <c r="G14" s="347">
        <v>20274733000</v>
      </c>
      <c r="H14" s="347">
        <f t="shared" si="1"/>
        <v>11132.060647057144</v>
      </c>
      <c r="I14" s="349">
        <f t="shared" si="3"/>
        <v>7.2825250492107698E-3</v>
      </c>
    </row>
    <row r="15" spans="1:9" x14ac:dyDescent="0.3">
      <c r="A15" s="345">
        <v>2016</v>
      </c>
      <c r="B15" s="348">
        <v>30422831</v>
      </c>
      <c r="C15" s="347">
        <v>501581000000</v>
      </c>
      <c r="D15" s="347">
        <f t="shared" si="0"/>
        <v>16486.992942898705</v>
      </c>
      <c r="E15" s="349">
        <f t="shared" si="2"/>
        <v>2.387220791139447E-2</v>
      </c>
      <c r="F15" s="347">
        <v>1855780</v>
      </c>
      <c r="G15" s="347">
        <v>20448345000</v>
      </c>
      <c r="H15" s="347">
        <f t="shared" si="1"/>
        <v>11018.733362790848</v>
      </c>
      <c r="I15" s="349">
        <f t="shared" si="3"/>
        <v>-1.0180261126789181E-2</v>
      </c>
    </row>
    <row r="16" spans="1:9" x14ac:dyDescent="0.3">
      <c r="A16" s="345">
        <v>2017</v>
      </c>
      <c r="B16" s="346">
        <v>30973992</v>
      </c>
      <c r="C16" s="347">
        <v>514215000000</v>
      </c>
      <c r="D16" s="347">
        <f t="shared" si="0"/>
        <v>16601.508775491387</v>
      </c>
      <c r="E16" s="349">
        <f t="shared" si="2"/>
        <v>6.9458289324983696E-3</v>
      </c>
      <c r="F16" s="347">
        <v>1895988</v>
      </c>
      <c r="G16" s="347">
        <v>20797558000</v>
      </c>
      <c r="H16" s="347">
        <f t="shared" si="1"/>
        <v>10969.245585942526</v>
      </c>
      <c r="I16" s="349">
        <f t="shared" si="3"/>
        <v>-4.4912400744206464E-3</v>
      </c>
    </row>
    <row r="17" spans="1:9" x14ac:dyDescent="0.3">
      <c r="A17" s="345">
        <v>2018</v>
      </c>
      <c r="B17" s="346">
        <v>31562130</v>
      </c>
      <c r="C17" s="347">
        <v>534626000000</v>
      </c>
      <c r="D17" s="347">
        <f t="shared" si="0"/>
        <v>16938.844114766653</v>
      </c>
      <c r="E17" s="349">
        <f t="shared" si="2"/>
        <v>2.0319559133882416E-2</v>
      </c>
      <c r="F17" s="347">
        <v>1938501</v>
      </c>
      <c r="G17" s="347">
        <v>21840178000</v>
      </c>
      <c r="H17" s="347">
        <f t="shared" si="1"/>
        <v>11266.529137720332</v>
      </c>
      <c r="I17" s="349">
        <f t="shared" si="3"/>
        <v>2.7101549459224897E-2</v>
      </c>
    </row>
    <row r="18" spans="1:9" x14ac:dyDescent="0.3">
      <c r="A18" s="345">
        <v>2019</v>
      </c>
      <c r="B18" s="346">
        <v>32131400</v>
      </c>
      <c r="C18" s="347">
        <v>546605000000</v>
      </c>
      <c r="D18" s="347">
        <f t="shared" si="0"/>
        <v>17011.552562291094</v>
      </c>
      <c r="E18" s="349">
        <f t="shared" si="2"/>
        <v>4.2924090352219777E-3</v>
      </c>
      <c r="F18" s="347">
        <v>1979901</v>
      </c>
      <c r="G18" s="347">
        <v>22637274000</v>
      </c>
      <c r="H18" s="347">
        <f t="shared" si="1"/>
        <v>11433.538343583847</v>
      </c>
      <c r="I18" s="349">
        <f t="shared" si="3"/>
        <v>1.4823483241557319E-2</v>
      </c>
    </row>
    <row r="19" spans="1:9" x14ac:dyDescent="0.3">
      <c r="A19" s="345">
        <v>2020</v>
      </c>
      <c r="B19" s="346">
        <v>32625948</v>
      </c>
      <c r="C19" s="347">
        <v>487191000000</v>
      </c>
      <c r="D19" s="347">
        <f t="shared" si="0"/>
        <v>14932.623566984168</v>
      </c>
      <c r="E19" s="349">
        <f t="shared" si="2"/>
        <v>-0.12220689367972291</v>
      </c>
      <c r="F19" s="347">
        <v>2016771</v>
      </c>
      <c r="G19" s="347">
        <v>21224496000</v>
      </c>
      <c r="H19" s="347">
        <f t="shared" si="1"/>
        <v>10523.9990063324</v>
      </c>
      <c r="I19" s="349">
        <f t="shared" si="3"/>
        <v>-7.9550119124920951E-2</v>
      </c>
    </row>
    <row r="20" spans="1:9" x14ac:dyDescent="0.3">
      <c r="A20" s="345">
        <v>2021</v>
      </c>
      <c r="B20" s="346">
        <v>33035304</v>
      </c>
      <c r="C20" s="347">
        <v>552560000000</v>
      </c>
      <c r="D20" s="347">
        <f t="shared" si="0"/>
        <v>16726.348272744817</v>
      </c>
      <c r="E20" s="349">
        <f t="shared" si="2"/>
        <v>0.12012120292957432</v>
      </c>
      <c r="F20" s="347">
        <v>2048492</v>
      </c>
      <c r="G20" s="347">
        <v>23530168000</v>
      </c>
      <c r="H20" s="347">
        <f t="shared" si="1"/>
        <v>11486.580372293374</v>
      </c>
      <c r="I20" s="349">
        <f t="shared" si="3"/>
        <v>9.1465360779849819E-2</v>
      </c>
    </row>
    <row r="21" spans="1:9" x14ac:dyDescent="0.3">
      <c r="A21" s="345">
        <v>2022</v>
      </c>
      <c r="B21" s="346">
        <v>33396698</v>
      </c>
      <c r="C21" s="347">
        <v>567390000000</v>
      </c>
      <c r="D21" s="347">
        <f t="shared" si="0"/>
        <v>16989.404162052189</v>
      </c>
      <c r="E21" s="349">
        <f t="shared" si="2"/>
        <v>1.5727036470717007E-2</v>
      </c>
      <c r="F21" s="347">
        <v>2077345</v>
      </c>
      <c r="G21" s="347">
        <v>23892523000</v>
      </c>
      <c r="H21" s="347">
        <f t="shared" si="1"/>
        <v>11501.470867862585</v>
      </c>
      <c r="I21" s="349">
        <f t="shared" si="3"/>
        <v>1.2963384302892885E-3</v>
      </c>
    </row>
    <row r="22" spans="1:9" x14ac:dyDescent="0.3">
      <c r="A22" s="345">
        <v>2023</v>
      </c>
      <c r="B22" s="346">
        <v>33725844</v>
      </c>
      <c r="C22" s="347">
        <v>564260577000</v>
      </c>
      <c r="D22" s="347">
        <f t="shared" si="0"/>
        <v>16730.806707164986</v>
      </c>
      <c r="E22" s="349">
        <f t="shared" si="2"/>
        <v>-1.5221102071655411E-2</v>
      </c>
      <c r="F22" s="347">
        <v>2104254</v>
      </c>
      <c r="G22" s="347">
        <v>23269987000</v>
      </c>
      <c r="H22" s="347">
        <f t="shared" si="1"/>
        <v>11058.544738420362</v>
      </c>
      <c r="I22" s="349">
        <f t="shared" si="3"/>
        <v>-3.8510390064965296E-2</v>
      </c>
    </row>
  </sheetData>
  <phoneticPr fontId="38" type="noConversion"/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BCF9-3DEA-40E1-8398-5FB8D176063D}">
  <dimension ref="A1:H22"/>
  <sheetViews>
    <sheetView workbookViewId="0">
      <selection activeCell="B14" sqref="B14"/>
    </sheetView>
  </sheetViews>
  <sheetFormatPr baseColWidth="10" defaultRowHeight="14.4" x14ac:dyDescent="0.3"/>
  <cols>
    <col min="2" max="2" width="22" customWidth="1"/>
    <col min="3" max="3" width="23" customWidth="1"/>
    <col min="4" max="4" width="23.21875" customWidth="1"/>
    <col min="5" max="5" width="20.6640625" customWidth="1"/>
    <col min="6" max="6" width="25.33203125" customWidth="1"/>
    <col min="7" max="7" width="17" customWidth="1"/>
  </cols>
  <sheetData>
    <row r="1" spans="1:8" ht="18" x14ac:dyDescent="0.3">
      <c r="A1" s="229" t="s">
        <v>860</v>
      </c>
    </row>
    <row r="2" spans="1:8" ht="18" x14ac:dyDescent="0.3">
      <c r="A2" s="304" t="s">
        <v>1009</v>
      </c>
    </row>
    <row r="3" spans="1:8" x14ac:dyDescent="0.3">
      <c r="A3" s="231" t="s">
        <v>848</v>
      </c>
    </row>
    <row r="4" spans="1:8" x14ac:dyDescent="0.3">
      <c r="H4" s="349"/>
    </row>
    <row r="5" spans="1:8" ht="15" thickBot="1" x14ac:dyDescent="0.35">
      <c r="A5" s="351" t="s">
        <v>849</v>
      </c>
      <c r="B5" s="353" t="s">
        <v>1010</v>
      </c>
      <c r="C5" s="350" t="s">
        <v>1011</v>
      </c>
      <c r="D5" s="350" t="s">
        <v>861</v>
      </c>
      <c r="E5" s="350" t="s">
        <v>863</v>
      </c>
      <c r="F5" s="350" t="s">
        <v>864</v>
      </c>
    </row>
    <row r="6" spans="1:8" x14ac:dyDescent="0.3">
      <c r="A6" s="352">
        <v>2007</v>
      </c>
      <c r="B6" s="347">
        <v>8803.1484016765935</v>
      </c>
      <c r="C6" s="345"/>
      <c r="D6" s="347">
        <v>819.21043320433716</v>
      </c>
      <c r="E6" s="347">
        <f>+D6*12</f>
        <v>9830.5251984520455</v>
      </c>
      <c r="F6" s="345"/>
    </row>
    <row r="7" spans="1:8" x14ac:dyDescent="0.3">
      <c r="A7" s="352">
        <v>2008</v>
      </c>
      <c r="B7" s="347">
        <v>9337.0296606858574</v>
      </c>
      <c r="C7" s="355">
        <f>+(B7-B6)/B6</f>
        <v>6.0646627166660527E-2</v>
      </c>
      <c r="D7" s="347">
        <v>762.86188840374518</v>
      </c>
      <c r="E7" s="347">
        <f t="shared" ref="E7:E22" si="0">+D7*12</f>
        <v>9154.3426608449427</v>
      </c>
      <c r="F7" s="354">
        <f>+(E7-E6)/E6</f>
        <v>-6.8783968705311629E-2</v>
      </c>
    </row>
    <row r="8" spans="1:8" x14ac:dyDescent="0.3">
      <c r="A8" s="352">
        <v>2009</v>
      </c>
      <c r="B8" s="347">
        <v>9280.5420164941006</v>
      </c>
      <c r="C8" s="355">
        <f t="shared" ref="C8:C22" si="1">+(B8-B7)/B7</f>
        <v>-6.0498516385357011E-3</v>
      </c>
      <c r="D8" s="347">
        <v>925.53034601047966</v>
      </c>
      <c r="E8" s="347">
        <f t="shared" si="0"/>
        <v>11106.364152125756</v>
      </c>
      <c r="F8" s="354">
        <f t="shared" ref="F8:F22" si="2">+(E8-E7)/E7</f>
        <v>0.21323447937228979</v>
      </c>
    </row>
    <row r="9" spans="1:8" x14ac:dyDescent="0.3">
      <c r="A9" s="352">
        <v>2010</v>
      </c>
      <c r="B9" s="347">
        <v>9711.3356956180905</v>
      </c>
      <c r="C9" s="355">
        <f t="shared" si="1"/>
        <v>4.6419021470766465E-2</v>
      </c>
      <c r="D9" s="347">
        <v>889.84712396864586</v>
      </c>
      <c r="E9" s="347">
        <f t="shared" si="0"/>
        <v>10678.16548762375</v>
      </c>
      <c r="F9" s="354">
        <f t="shared" si="2"/>
        <v>-3.8554351238343734E-2</v>
      </c>
    </row>
    <row r="10" spans="1:8" x14ac:dyDescent="0.3">
      <c r="A10" s="352">
        <v>2011</v>
      </c>
      <c r="B10" s="347">
        <v>10040.236250178377</v>
      </c>
      <c r="C10" s="355">
        <f t="shared" si="1"/>
        <v>3.3867694915406123E-2</v>
      </c>
      <c r="D10" s="347">
        <v>895.45790348644618</v>
      </c>
      <c r="E10" s="347">
        <f t="shared" si="0"/>
        <v>10745.494841837353</v>
      </c>
      <c r="F10" s="354">
        <f t="shared" si="2"/>
        <v>6.3053297208813417E-3</v>
      </c>
    </row>
    <row r="11" spans="1:8" x14ac:dyDescent="0.3">
      <c r="A11" s="352">
        <v>2012</v>
      </c>
      <c r="B11" s="347">
        <v>10694.172859712929</v>
      </c>
      <c r="C11" s="355">
        <f t="shared" si="1"/>
        <v>6.5131595835001804E-2</v>
      </c>
      <c r="D11" s="347">
        <v>1000.92944830725</v>
      </c>
      <c r="E11" s="347">
        <f t="shared" si="0"/>
        <v>12011.153379687001</v>
      </c>
      <c r="F11" s="354">
        <f t="shared" si="2"/>
        <v>0.11778503982169654</v>
      </c>
    </row>
    <row r="12" spans="1:8" x14ac:dyDescent="0.3">
      <c r="A12" s="352">
        <v>2013</v>
      </c>
      <c r="B12" s="347">
        <v>11033.865779682905</v>
      </c>
      <c r="C12" s="355">
        <f t="shared" si="1"/>
        <v>3.1764300467749675E-2</v>
      </c>
      <c r="D12" s="347">
        <v>1040.3865508359472</v>
      </c>
      <c r="E12" s="347">
        <f t="shared" si="0"/>
        <v>12484.638610031367</v>
      </c>
      <c r="F12" s="354">
        <f t="shared" si="2"/>
        <v>3.9420463245862271E-2</v>
      </c>
    </row>
    <row r="13" spans="1:8" x14ac:dyDescent="0.3">
      <c r="A13" s="352">
        <v>2014</v>
      </c>
      <c r="B13" s="347">
        <v>11051.57725883638</v>
      </c>
      <c r="C13" s="355">
        <f t="shared" si="1"/>
        <v>1.6051925505644504E-3</v>
      </c>
      <c r="D13" s="347">
        <v>1092.3674965422331</v>
      </c>
      <c r="E13" s="347">
        <f t="shared" si="0"/>
        <v>13108.409958506796</v>
      </c>
      <c r="F13" s="354">
        <f t="shared" si="2"/>
        <v>4.9963108101041168E-2</v>
      </c>
    </row>
    <row r="14" spans="1:8" x14ac:dyDescent="0.3">
      <c r="A14" s="352">
        <v>2015</v>
      </c>
      <c r="B14" s="347">
        <v>11132.060647057144</v>
      </c>
      <c r="C14" s="355">
        <f t="shared" si="1"/>
        <v>7.2825250492107698E-3</v>
      </c>
      <c r="D14" s="347">
        <v>1128.8768300371564</v>
      </c>
      <c r="E14" s="347">
        <f t="shared" si="0"/>
        <v>13546.521960445876</v>
      </c>
      <c r="F14" s="354">
        <f t="shared" si="2"/>
        <v>3.3422207828857547E-2</v>
      </c>
    </row>
    <row r="15" spans="1:8" x14ac:dyDescent="0.3">
      <c r="A15" s="352">
        <v>2016</v>
      </c>
      <c r="B15" s="347">
        <v>11018.733362790848</v>
      </c>
      <c r="C15" s="355">
        <f t="shared" si="1"/>
        <v>-1.0180261126789181E-2</v>
      </c>
      <c r="D15" s="347">
        <v>1203.7795914738592</v>
      </c>
      <c r="E15" s="347">
        <f t="shared" si="0"/>
        <v>14445.355097686312</v>
      </c>
      <c r="F15" s="354">
        <f t="shared" si="2"/>
        <v>6.6351580122552059E-2</v>
      </c>
    </row>
    <row r="16" spans="1:8" x14ac:dyDescent="0.3">
      <c r="A16" s="352">
        <v>2017</v>
      </c>
      <c r="B16" s="347">
        <v>10969.245585942526</v>
      </c>
      <c r="C16" s="355">
        <f t="shared" si="1"/>
        <v>-4.4912400744206464E-3</v>
      </c>
      <c r="D16" s="347">
        <v>1256.4763783320384</v>
      </c>
      <c r="E16" s="347">
        <f t="shared" si="0"/>
        <v>15077.71653998446</v>
      </c>
      <c r="F16" s="354">
        <f t="shared" si="2"/>
        <v>4.377610920754952E-2</v>
      </c>
    </row>
    <row r="17" spans="1:6" x14ac:dyDescent="0.3">
      <c r="A17" s="352">
        <v>2018</v>
      </c>
      <c r="B17" s="347">
        <v>11266.529137720332</v>
      </c>
      <c r="C17" s="355">
        <f t="shared" si="1"/>
        <v>2.7101549459224897E-2</v>
      </c>
      <c r="D17" s="347">
        <v>1268.3966761849692</v>
      </c>
      <c r="E17" s="347">
        <f t="shared" si="0"/>
        <v>15220.760114219631</v>
      </c>
      <c r="F17" s="354">
        <f t="shared" si="2"/>
        <v>9.4870847224004431E-3</v>
      </c>
    </row>
    <row r="18" spans="1:6" x14ac:dyDescent="0.3">
      <c r="A18" s="352">
        <v>2019</v>
      </c>
      <c r="B18" s="347">
        <v>11433.538343583847</v>
      </c>
      <c r="C18" s="355">
        <f t="shared" si="1"/>
        <v>1.4823483241557319E-2</v>
      </c>
      <c r="D18" s="347">
        <v>1307.499089657382</v>
      </c>
      <c r="E18" s="347">
        <f t="shared" si="0"/>
        <v>15689.989075888585</v>
      </c>
      <c r="F18" s="354">
        <f t="shared" si="2"/>
        <v>3.0828221333741943E-2</v>
      </c>
    </row>
    <row r="19" spans="1:6" x14ac:dyDescent="0.3">
      <c r="A19" s="352">
        <v>2020</v>
      </c>
      <c r="B19" s="347">
        <v>10523.9990063324</v>
      </c>
      <c r="C19" s="355">
        <f t="shared" si="1"/>
        <v>-7.9550119124920951E-2</v>
      </c>
      <c r="D19" s="347">
        <v>1167.1714813269691</v>
      </c>
      <c r="E19" s="347">
        <f t="shared" si="0"/>
        <v>14006.057775923629</v>
      </c>
      <c r="F19" s="354">
        <f t="shared" si="2"/>
        <v>-0.10732520537906035</v>
      </c>
    </row>
    <row r="20" spans="1:6" x14ac:dyDescent="0.3">
      <c r="A20" s="352">
        <v>2021</v>
      </c>
      <c r="B20" s="347">
        <v>11486.580372293374</v>
      </c>
      <c r="C20" s="355">
        <f t="shared" si="1"/>
        <v>9.1465360779849819E-2</v>
      </c>
      <c r="D20" s="347">
        <v>1406.061874790259</v>
      </c>
      <c r="E20" s="347">
        <f t="shared" si="0"/>
        <v>16872.742497483108</v>
      </c>
      <c r="F20" s="354">
        <f t="shared" si="2"/>
        <v>0.20467463203581104</v>
      </c>
    </row>
    <row r="21" spans="1:6" x14ac:dyDescent="0.3">
      <c r="A21" s="352">
        <v>2022</v>
      </c>
      <c r="B21" s="347">
        <v>11501.470867862585</v>
      </c>
      <c r="C21" s="355">
        <f t="shared" si="1"/>
        <v>1.2963384302892885E-3</v>
      </c>
      <c r="D21" s="347">
        <v>1589.1</v>
      </c>
      <c r="E21" s="347">
        <f t="shared" si="0"/>
        <v>19069.199999999997</v>
      </c>
      <c r="F21" s="354">
        <f t="shared" si="2"/>
        <v>0.13017785951777147</v>
      </c>
    </row>
    <row r="22" spans="1:6" x14ac:dyDescent="0.3">
      <c r="A22" s="352">
        <v>2023</v>
      </c>
      <c r="B22" s="347">
        <v>11058.544738420362</v>
      </c>
      <c r="C22" s="355">
        <f t="shared" si="1"/>
        <v>-3.8510390064965296E-2</v>
      </c>
      <c r="D22" s="347">
        <v>1647.3</v>
      </c>
      <c r="E22" s="347">
        <f t="shared" si="0"/>
        <v>19767.599999999999</v>
      </c>
      <c r="F22" s="354">
        <f t="shared" si="2"/>
        <v>3.6624504436473561E-2</v>
      </c>
    </row>
  </sheetData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DD353-CCE4-4DA8-B272-A4D75301D688}">
  <dimension ref="A1:J25"/>
  <sheetViews>
    <sheetView workbookViewId="0">
      <selection activeCell="F22" sqref="F22"/>
    </sheetView>
  </sheetViews>
  <sheetFormatPr baseColWidth="10" defaultRowHeight="14.4" x14ac:dyDescent="0.3"/>
  <cols>
    <col min="2" max="2" width="20.21875" customWidth="1"/>
    <col min="3" max="3" width="26.5546875" customWidth="1"/>
    <col min="4" max="4" width="24.6640625" customWidth="1"/>
    <col min="5" max="5" width="15.77734375" customWidth="1"/>
    <col min="6" max="6" width="21.5546875" customWidth="1"/>
    <col min="7" max="7" width="20.6640625" customWidth="1"/>
    <col min="8" max="10" width="12.5546875" bestFit="1" customWidth="1"/>
    <col min="11" max="11" width="13.44140625" customWidth="1"/>
    <col min="12" max="12" width="15.21875" customWidth="1"/>
    <col min="13" max="13" width="12.5546875" bestFit="1" customWidth="1"/>
    <col min="14" max="14" width="13.33203125" customWidth="1"/>
    <col min="15" max="15" width="13.77734375" customWidth="1"/>
    <col min="16" max="16" width="13" customWidth="1"/>
    <col min="17" max="18" width="13.21875" customWidth="1"/>
    <col min="19" max="19" width="13.6640625" customWidth="1"/>
    <col min="20" max="20" width="14.6640625" customWidth="1"/>
    <col min="21" max="22" width="13.5546875" customWidth="1"/>
    <col min="23" max="23" width="14" customWidth="1"/>
  </cols>
  <sheetData>
    <row r="1" spans="1:10" ht="18" x14ac:dyDescent="0.3">
      <c r="A1" s="229" t="s">
        <v>870</v>
      </c>
    </row>
    <row r="2" spans="1:10" ht="18" x14ac:dyDescent="0.3">
      <c r="A2" s="304" t="s">
        <v>873</v>
      </c>
      <c r="F2" s="331"/>
    </row>
    <row r="3" spans="1:10" x14ac:dyDescent="0.3">
      <c r="A3" s="231" t="s">
        <v>848</v>
      </c>
    </row>
    <row r="5" spans="1:10" ht="15" customHeight="1" thickBot="1" x14ac:dyDescent="0.35">
      <c r="A5" s="351" t="s">
        <v>849</v>
      </c>
      <c r="B5" s="353" t="s">
        <v>875</v>
      </c>
      <c r="C5" s="350" t="s">
        <v>896</v>
      </c>
      <c r="D5" s="350" t="s">
        <v>897</v>
      </c>
      <c r="E5" s="363" t="s">
        <v>876</v>
      </c>
      <c r="F5" s="363" t="s">
        <v>877</v>
      </c>
      <c r="G5" s="339" t="s">
        <v>878</v>
      </c>
    </row>
    <row r="6" spans="1:10" x14ac:dyDescent="0.3">
      <c r="A6" s="352">
        <v>2007</v>
      </c>
      <c r="B6" s="347">
        <f>+'c-499'!B10</f>
        <v>592146172</v>
      </c>
      <c r="C6">
        <v>33424</v>
      </c>
      <c r="D6" s="396">
        <v>33424</v>
      </c>
      <c r="E6" s="364">
        <f>C6/D6</f>
        <v>1</v>
      </c>
      <c r="F6" s="331">
        <f t="shared" ref="F6:F22" si="0">B6/E6</f>
        <v>592146172</v>
      </c>
    </row>
    <row r="7" spans="1:10" x14ac:dyDescent="0.3">
      <c r="A7" s="352">
        <v>2008</v>
      </c>
      <c r="B7" s="347">
        <f>+'c-499'!C10</f>
        <v>761478872</v>
      </c>
      <c r="C7">
        <v>36580</v>
      </c>
      <c r="D7" s="361">
        <v>35043</v>
      </c>
      <c r="E7" s="362">
        <f t="shared" ref="E7:E22" si="1">(C7/D7)</f>
        <v>1.0438604000799019</v>
      </c>
      <c r="F7" s="331">
        <f t="shared" si="0"/>
        <v>729483436.61826134</v>
      </c>
      <c r="G7" s="349">
        <f>(F7-F6)/F6</f>
        <v>0.23193135599340045</v>
      </c>
    </row>
    <row r="8" spans="1:10" x14ac:dyDescent="0.3">
      <c r="A8" s="352">
        <v>2009</v>
      </c>
      <c r="B8" s="347">
        <f>+'c-499'!D10</f>
        <v>835740310</v>
      </c>
      <c r="C8">
        <v>41731</v>
      </c>
      <c r="D8" s="361">
        <v>39272</v>
      </c>
      <c r="E8" s="362">
        <f t="shared" si="1"/>
        <v>1.0626145854552862</v>
      </c>
      <c r="F8" s="331">
        <f t="shared" si="0"/>
        <v>786494295.71110201</v>
      </c>
      <c r="G8" s="349">
        <f t="shared" ref="G8:G22" si="2">(F8-F7)/F7</f>
        <v>7.8152369513873485E-2</v>
      </c>
    </row>
    <row r="9" spans="1:10" x14ac:dyDescent="0.3">
      <c r="A9" s="352">
        <v>2010</v>
      </c>
      <c r="B9" s="347">
        <f>+'c-499'!E10</f>
        <v>924918559</v>
      </c>
      <c r="C9">
        <v>43870</v>
      </c>
      <c r="D9" s="361">
        <v>40804</v>
      </c>
      <c r="E9" s="362">
        <f t="shared" si="1"/>
        <v>1.0751396921870404</v>
      </c>
      <c r="F9" s="331">
        <f t="shared" si="0"/>
        <v>860277567.3908366</v>
      </c>
      <c r="G9" s="349">
        <f t="shared" si="2"/>
        <v>9.3812850369148687E-2</v>
      </c>
    </row>
    <row r="10" spans="1:10" x14ac:dyDescent="0.3">
      <c r="A10" s="352">
        <v>2011</v>
      </c>
      <c r="B10" s="347">
        <f>+'c-499'!F10</f>
        <v>1008875258</v>
      </c>
      <c r="C10">
        <v>49019</v>
      </c>
      <c r="D10" s="361">
        <v>43817</v>
      </c>
      <c r="E10" s="362">
        <f t="shared" si="1"/>
        <v>1.1187210443435196</v>
      </c>
      <c r="F10" s="331">
        <f t="shared" si="0"/>
        <v>901811280.92751789</v>
      </c>
      <c r="G10" s="349">
        <f t="shared" si="2"/>
        <v>4.8279433418972235E-2</v>
      </c>
    </row>
    <row r="11" spans="1:10" x14ac:dyDescent="0.3">
      <c r="A11" s="352">
        <v>2012</v>
      </c>
      <c r="B11" s="347">
        <f>+'c-499'!G10</f>
        <v>1163120466</v>
      </c>
      <c r="C11">
        <v>55240</v>
      </c>
      <c r="D11" s="361">
        <v>47442</v>
      </c>
      <c r="E11" s="362">
        <f t="shared" si="1"/>
        <v>1.164369124404536</v>
      </c>
      <c r="F11" s="331">
        <f t="shared" si="0"/>
        <v>998927609.48537302</v>
      </c>
      <c r="G11" s="349">
        <f t="shared" si="2"/>
        <v>0.10769030129892637</v>
      </c>
    </row>
    <row r="12" spans="1:10" x14ac:dyDescent="0.3">
      <c r="A12" s="352">
        <v>2013</v>
      </c>
      <c r="B12" s="347">
        <f>+'c-499'!H10</f>
        <v>1295867443</v>
      </c>
      <c r="C12">
        <v>62514</v>
      </c>
      <c r="D12" s="361">
        <v>51019</v>
      </c>
      <c r="E12" s="362">
        <f t="shared" si="1"/>
        <v>1.2253082185068307</v>
      </c>
      <c r="F12" s="331">
        <f t="shared" si="0"/>
        <v>1057584878.1779603</v>
      </c>
      <c r="G12" s="349">
        <f t="shared" si="2"/>
        <v>5.8720239720680335E-2</v>
      </c>
    </row>
    <row r="13" spans="1:10" x14ac:dyDescent="0.3">
      <c r="A13" s="352">
        <v>2014</v>
      </c>
      <c r="B13" s="347">
        <f>+'c-499'!I10</f>
        <v>1481047878</v>
      </c>
      <c r="C13">
        <v>70697</v>
      </c>
      <c r="D13" s="361">
        <v>54342</v>
      </c>
      <c r="E13" s="362">
        <f t="shared" si="1"/>
        <v>1.3009642633690333</v>
      </c>
      <c r="F13" s="331">
        <f t="shared" si="0"/>
        <v>1138423183.2507179</v>
      </c>
      <c r="G13" s="349">
        <f t="shared" si="2"/>
        <v>7.6436706632973347E-2</v>
      </c>
    </row>
    <row r="14" spans="1:10" x14ac:dyDescent="0.3">
      <c r="A14" s="352">
        <v>2015</v>
      </c>
      <c r="B14" s="347">
        <f>+'c-499'!J10</f>
        <v>1562067893</v>
      </c>
      <c r="C14">
        <v>78366</v>
      </c>
      <c r="D14" s="361">
        <v>58712</v>
      </c>
      <c r="E14" s="362">
        <f t="shared" si="1"/>
        <v>1.33475269110233</v>
      </c>
      <c r="F14" s="331">
        <f t="shared" si="0"/>
        <v>1170305108.5141006</v>
      </c>
      <c r="G14" s="349">
        <f t="shared" si="2"/>
        <v>2.8005337323107934E-2</v>
      </c>
      <c r="J14" s="331"/>
    </row>
    <row r="15" spans="1:10" x14ac:dyDescent="0.3">
      <c r="A15" s="352">
        <v>2016</v>
      </c>
      <c r="B15" s="347">
        <f>+'c-499'!K10</f>
        <v>1744764669</v>
      </c>
      <c r="C15">
        <v>85257</v>
      </c>
      <c r="D15" s="361">
        <v>61749</v>
      </c>
      <c r="E15" s="362">
        <f t="shared" si="1"/>
        <v>1.380702521498324</v>
      </c>
      <c r="F15" s="331">
        <f t="shared" si="0"/>
        <v>1263678918.4006121</v>
      </c>
      <c r="G15" s="349">
        <f t="shared" si="2"/>
        <v>7.9785868836431337E-2</v>
      </c>
    </row>
    <row r="16" spans="1:10" x14ac:dyDescent="0.3">
      <c r="A16" s="352">
        <v>2017</v>
      </c>
      <c r="B16" s="347">
        <f>+'c-499'!L10</f>
        <v>1939545037</v>
      </c>
      <c r="C16">
        <v>90899</v>
      </c>
      <c r="D16" s="361">
        <v>63759</v>
      </c>
      <c r="E16" s="362">
        <f t="shared" si="1"/>
        <v>1.4256653962577832</v>
      </c>
      <c r="F16" s="331">
        <f t="shared" si="0"/>
        <v>1360448981.991914</v>
      </c>
      <c r="G16" s="349">
        <f t="shared" si="2"/>
        <v>7.6578046988217477E-2</v>
      </c>
    </row>
    <row r="17" spans="1:7" x14ac:dyDescent="0.3">
      <c r="A17" s="352">
        <v>2018</v>
      </c>
      <c r="B17" s="347">
        <f>+'c-499'!M10</f>
        <v>2056552952</v>
      </c>
      <c r="C17">
        <v>95673</v>
      </c>
      <c r="D17" s="361">
        <v>65492</v>
      </c>
      <c r="E17" s="362">
        <f t="shared" si="1"/>
        <v>1.4608349111341843</v>
      </c>
      <c r="F17" s="331">
        <f t="shared" si="0"/>
        <v>1407792856.2121394</v>
      </c>
      <c r="G17" s="349">
        <f t="shared" si="2"/>
        <v>3.4800183503321355E-2</v>
      </c>
    </row>
    <row r="18" spans="1:7" x14ac:dyDescent="0.3">
      <c r="A18" s="352">
        <v>2019</v>
      </c>
      <c r="B18" s="347">
        <f>+'c-499'!N10</f>
        <v>2174489899</v>
      </c>
      <c r="C18">
        <v>100920</v>
      </c>
      <c r="D18" s="361">
        <v>67840</v>
      </c>
      <c r="E18" s="362">
        <f t="shared" si="1"/>
        <v>1.4876179245283019</v>
      </c>
      <c r="F18" s="331">
        <f t="shared" si="0"/>
        <v>1461726067.6591361</v>
      </c>
      <c r="G18" s="349">
        <f t="shared" si="2"/>
        <v>3.831047388044817E-2</v>
      </c>
    </row>
    <row r="19" spans="1:7" x14ac:dyDescent="0.3">
      <c r="A19" s="352">
        <v>2020</v>
      </c>
      <c r="B19" s="347">
        <f>+'c-499'!O10</f>
        <v>2771477867</v>
      </c>
      <c r="C19">
        <v>111346</v>
      </c>
      <c r="D19" s="361">
        <v>73636</v>
      </c>
      <c r="E19" s="362">
        <f t="shared" si="1"/>
        <v>1.5121136400673583</v>
      </c>
      <c r="F19" s="331">
        <f t="shared" si="0"/>
        <v>1832850252.4959316</v>
      </c>
      <c r="G19" s="349">
        <f t="shared" si="2"/>
        <v>0.25389448341105936</v>
      </c>
    </row>
    <row r="20" spans="1:7" x14ac:dyDescent="0.3">
      <c r="A20" s="352">
        <v>2021</v>
      </c>
      <c r="B20" s="347">
        <f>+'c-499'!P10</f>
        <v>3006535313</v>
      </c>
      <c r="C20">
        <v>120762</v>
      </c>
      <c r="D20" s="361">
        <v>77353</v>
      </c>
      <c r="E20" s="362">
        <f t="shared" si="1"/>
        <v>1.5611805618398769</v>
      </c>
      <c r="F20" s="331">
        <f t="shared" si="0"/>
        <v>1925808831.1429839</v>
      </c>
      <c r="G20" s="349">
        <f t="shared" si="2"/>
        <v>5.071804339741532E-2</v>
      </c>
    </row>
    <row r="21" spans="1:7" x14ac:dyDescent="0.3">
      <c r="A21" s="352">
        <v>2022</v>
      </c>
      <c r="B21" s="347">
        <f>+'c-499'!Q10</f>
        <v>2851547566</v>
      </c>
      <c r="C21">
        <v>126409</v>
      </c>
      <c r="D21" s="361">
        <v>77199</v>
      </c>
      <c r="E21" s="362">
        <f t="shared" si="1"/>
        <v>1.6374434902006503</v>
      </c>
      <c r="F21" s="331">
        <f t="shared" si="0"/>
        <v>1741463191.2888639</v>
      </c>
      <c r="G21" s="349">
        <f t="shared" si="2"/>
        <v>-9.5723748314472792E-2</v>
      </c>
    </row>
    <row r="22" spans="1:7" x14ac:dyDescent="0.3">
      <c r="A22" s="352">
        <v>2023</v>
      </c>
      <c r="B22" s="347">
        <f>+'c-499'!R10</f>
        <v>3106612162</v>
      </c>
      <c r="C22">
        <v>135567</v>
      </c>
      <c r="D22" s="361">
        <v>79902</v>
      </c>
      <c r="E22" s="362">
        <f t="shared" si="1"/>
        <v>1.6966659157467898</v>
      </c>
      <c r="F22" s="331">
        <f t="shared" si="0"/>
        <v>1831009943.1876783</v>
      </c>
      <c r="G22" s="349">
        <f t="shared" si="2"/>
        <v>5.1420410346164437E-2</v>
      </c>
    </row>
    <row r="25" spans="1:7" x14ac:dyDescent="0.3">
      <c r="F25" s="331"/>
    </row>
  </sheetData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E0FDE-C13B-4BEC-9BA2-D93202E75DF4}">
  <dimension ref="A1:R23"/>
  <sheetViews>
    <sheetView tabSelected="1" topLeftCell="F1" workbookViewId="0">
      <selection activeCell="P14" sqref="P14"/>
    </sheetView>
  </sheetViews>
  <sheetFormatPr baseColWidth="10" defaultRowHeight="14.4" x14ac:dyDescent="0.3"/>
  <cols>
    <col min="1" max="1" width="23.5546875" customWidth="1"/>
    <col min="2" max="8" width="13.6640625" customWidth="1"/>
    <col min="9" max="9" width="16.21875" customWidth="1"/>
    <col min="10" max="18" width="13.6640625" customWidth="1"/>
  </cols>
  <sheetData>
    <row r="1" spans="1:18" ht="18" x14ac:dyDescent="0.3">
      <c r="A1" s="229" t="s">
        <v>871</v>
      </c>
    </row>
    <row r="2" spans="1:18" ht="18" x14ac:dyDescent="0.3">
      <c r="A2" s="304" t="s">
        <v>1013</v>
      </c>
    </row>
    <row r="3" spans="1:18" x14ac:dyDescent="0.3">
      <c r="A3" s="231" t="s">
        <v>1014</v>
      </c>
    </row>
    <row r="5" spans="1:18" ht="15" thickBot="1" x14ac:dyDescent="0.35">
      <c r="A5" s="351" t="s">
        <v>879</v>
      </c>
      <c r="B5" s="351">
        <v>2007</v>
      </c>
      <c r="C5" s="351">
        <v>2008</v>
      </c>
      <c r="D5" s="351">
        <v>2009</v>
      </c>
      <c r="E5" s="351">
        <v>2010</v>
      </c>
      <c r="F5" s="351">
        <v>2011</v>
      </c>
      <c r="G5" s="351">
        <v>2012</v>
      </c>
      <c r="H5" s="351">
        <v>2013</v>
      </c>
      <c r="I5" s="351">
        <v>2014</v>
      </c>
      <c r="J5" s="351">
        <v>2015</v>
      </c>
      <c r="K5" s="351">
        <v>2016</v>
      </c>
      <c r="L5" s="351">
        <v>2017</v>
      </c>
      <c r="M5" s="351">
        <v>2018</v>
      </c>
      <c r="N5" s="351">
        <v>2019</v>
      </c>
      <c r="O5" s="351">
        <v>2020</v>
      </c>
      <c r="P5" s="351">
        <v>2021</v>
      </c>
      <c r="Q5" s="351">
        <v>2022</v>
      </c>
      <c r="R5" s="351">
        <v>2023</v>
      </c>
    </row>
    <row r="6" spans="1:18" x14ac:dyDescent="0.3">
      <c r="A6" s="357" t="s">
        <v>865</v>
      </c>
      <c r="B6" s="347">
        <v>44063085</v>
      </c>
      <c r="C6" s="347">
        <v>66745723</v>
      </c>
      <c r="D6" s="347">
        <v>5507050</v>
      </c>
      <c r="E6" s="347">
        <v>66559853</v>
      </c>
      <c r="F6" s="347">
        <v>35399838</v>
      </c>
      <c r="G6" s="347">
        <v>62251763</v>
      </c>
      <c r="H6" s="347">
        <v>52693090</v>
      </c>
      <c r="I6" s="347">
        <v>23634256</v>
      </c>
      <c r="J6" s="347">
        <v>10516679</v>
      </c>
      <c r="K6" s="347">
        <v>7543524</v>
      </c>
      <c r="L6" s="347">
        <v>27565769</v>
      </c>
      <c r="M6" s="347">
        <v>24658470</v>
      </c>
      <c r="N6" s="347">
        <v>23138201</v>
      </c>
      <c r="O6" s="347">
        <v>18811774</v>
      </c>
      <c r="P6" s="347">
        <v>28456081</v>
      </c>
      <c r="Q6" s="347">
        <v>26765868</v>
      </c>
      <c r="R6" s="347">
        <v>35010129</v>
      </c>
    </row>
    <row r="7" spans="1:18" x14ac:dyDescent="0.3">
      <c r="A7" s="358" t="s">
        <v>867</v>
      </c>
      <c r="B7" s="347">
        <f>10412366+110479182</f>
        <v>120891548</v>
      </c>
      <c r="C7" s="347">
        <f>12304376+104846133+75854979+21668095</f>
        <v>214673583</v>
      </c>
      <c r="D7" s="347">
        <v>191018429</v>
      </c>
      <c r="E7" s="347">
        <v>211797202</v>
      </c>
      <c r="F7" s="347">
        <v>253518892</v>
      </c>
      <c r="G7" s="347">
        <v>306399470</v>
      </c>
      <c r="H7" s="347">
        <v>374543258</v>
      </c>
      <c r="I7" s="347">
        <v>433787253</v>
      </c>
      <c r="J7" s="347">
        <v>446677837</v>
      </c>
      <c r="K7" s="347">
        <v>490499935</v>
      </c>
      <c r="L7" s="347">
        <v>530091556</v>
      </c>
      <c r="M7" s="347">
        <v>620916450</v>
      </c>
      <c r="N7" s="347">
        <v>633271947</v>
      </c>
      <c r="O7" s="347">
        <v>725582474</v>
      </c>
      <c r="P7" s="347">
        <v>915075569</v>
      </c>
      <c r="Q7" s="347">
        <v>964655909</v>
      </c>
      <c r="R7" s="347">
        <v>936041296</v>
      </c>
    </row>
    <row r="8" spans="1:18" x14ac:dyDescent="0.3">
      <c r="A8" s="357" t="s">
        <v>868</v>
      </c>
      <c r="B8" s="347">
        <f>413201341-20461312-5746838</f>
        <v>386993191</v>
      </c>
      <c r="C8" s="347">
        <f>463215682-21880031-6131809</f>
        <v>435203842</v>
      </c>
      <c r="D8" s="347">
        <v>495100947</v>
      </c>
      <c r="E8" s="347">
        <v>503089409</v>
      </c>
      <c r="F8" s="347">
        <v>570787316</v>
      </c>
      <c r="G8" s="347">
        <v>580099369</v>
      </c>
      <c r="H8" s="347">
        <v>655268601</v>
      </c>
      <c r="I8" s="347">
        <v>745878129</v>
      </c>
      <c r="J8" s="347">
        <v>825873475</v>
      </c>
      <c r="K8" s="347">
        <v>970781826</v>
      </c>
      <c r="L8" s="347">
        <v>1077169139</v>
      </c>
      <c r="M8" s="347">
        <v>1118575322</v>
      </c>
      <c r="N8" s="347">
        <v>1232379124</v>
      </c>
      <c r="O8" s="347">
        <v>1332553065</v>
      </c>
      <c r="P8" s="347">
        <v>1409334902</v>
      </c>
      <c r="Q8" s="347">
        <v>1410780749</v>
      </c>
      <c r="R8" s="347">
        <v>1700823163</v>
      </c>
    </row>
    <row r="9" spans="1:18" x14ac:dyDescent="0.3">
      <c r="A9" s="357" t="s">
        <v>869</v>
      </c>
      <c r="B9" s="347">
        <f>292929+39905419</f>
        <v>40198348</v>
      </c>
      <c r="C9" s="347">
        <f>348100+44507624</f>
        <v>44855724</v>
      </c>
      <c r="D9" s="347">
        <v>144113884</v>
      </c>
      <c r="E9" s="347">
        <v>143472095</v>
      </c>
      <c r="F9" s="347">
        <v>149169212</v>
      </c>
      <c r="G9" s="347">
        <v>214369864</v>
      </c>
      <c r="H9" s="360">
        <v>213362494</v>
      </c>
      <c r="I9" s="347">
        <v>277748240</v>
      </c>
      <c r="J9" s="347">
        <v>278999902</v>
      </c>
      <c r="K9" s="347">
        <v>275939384</v>
      </c>
      <c r="L9" s="347">
        <v>304718573</v>
      </c>
      <c r="M9" s="347">
        <v>292402710</v>
      </c>
      <c r="N9" s="347">
        <v>285700627</v>
      </c>
      <c r="O9" s="347">
        <v>694530554</v>
      </c>
      <c r="P9" s="347">
        <v>653668761</v>
      </c>
      <c r="Q9" s="347">
        <v>449345040</v>
      </c>
      <c r="R9" s="347">
        <v>434737574</v>
      </c>
    </row>
    <row r="10" spans="1:18" x14ac:dyDescent="0.3">
      <c r="A10" s="359" t="s">
        <v>866</v>
      </c>
      <c r="B10" s="356">
        <f>+SUM(B6:B9)</f>
        <v>592146172</v>
      </c>
      <c r="C10" s="356">
        <f>+SUM(C6:C9)</f>
        <v>761478872</v>
      </c>
      <c r="D10" s="356">
        <f>+SUM(D6:D9)</f>
        <v>835740310</v>
      </c>
      <c r="E10" s="356">
        <f>+SUM(E6:E9)</f>
        <v>924918559</v>
      </c>
      <c r="F10" s="356">
        <f>+SUM(F6:F9)</f>
        <v>1008875258</v>
      </c>
      <c r="G10" s="356">
        <f>+SUM(G6:G9)</f>
        <v>1163120466</v>
      </c>
      <c r="H10" s="356">
        <f>+SUM(H6:H9)</f>
        <v>1295867443</v>
      </c>
      <c r="I10" s="356">
        <f>+SUM(I6:I9)</f>
        <v>1481047878</v>
      </c>
      <c r="J10" s="356">
        <f>+SUM(J6:J9)</f>
        <v>1562067893</v>
      </c>
      <c r="K10" s="356">
        <f>+SUM(K6:K9)</f>
        <v>1744764669</v>
      </c>
      <c r="L10" s="356">
        <f>+SUM(L6:L9)</f>
        <v>1939545037</v>
      </c>
      <c r="M10" s="356">
        <f>+SUM(M6:M9)</f>
        <v>2056552952</v>
      </c>
      <c r="N10" s="356">
        <f>+SUM(N6:N9)</f>
        <v>2174489899</v>
      </c>
      <c r="O10" s="356">
        <f>+SUM(O6:O9)</f>
        <v>2771477867</v>
      </c>
      <c r="P10" s="356">
        <f>+SUM(P6:P9)</f>
        <v>3006535313</v>
      </c>
      <c r="Q10" s="356">
        <f>+SUM(Q6:Q9)</f>
        <v>2851547566</v>
      </c>
      <c r="R10" s="356">
        <f>+SUM(R6:R9)</f>
        <v>3106612162</v>
      </c>
    </row>
    <row r="11" spans="1:18" ht="15" thickBot="1" x14ac:dyDescent="0.35"/>
    <row r="12" spans="1:18" ht="15" thickBot="1" x14ac:dyDescent="0.35">
      <c r="A12" s="365" t="s">
        <v>881</v>
      </c>
      <c r="B12" s="397">
        <v>1</v>
      </c>
      <c r="C12" s="397">
        <v>1.0438604000799019</v>
      </c>
      <c r="D12" s="397">
        <v>1.0626145854552862</v>
      </c>
      <c r="E12" s="397">
        <v>1.0751396921870404</v>
      </c>
      <c r="F12" s="397">
        <v>1.1187210443435196</v>
      </c>
      <c r="G12" s="397">
        <v>1.164369124404536</v>
      </c>
      <c r="H12" s="397">
        <v>1.2253082185068307</v>
      </c>
      <c r="I12" s="397">
        <v>1.3009642633690333</v>
      </c>
      <c r="J12" s="397">
        <v>1.33475269110233</v>
      </c>
      <c r="K12" s="397">
        <v>1.380702521498324</v>
      </c>
      <c r="L12" s="397">
        <v>1.4256653962577832</v>
      </c>
      <c r="M12" s="397">
        <v>1.4608349111341843</v>
      </c>
      <c r="N12" s="397">
        <v>1.4876179245283019</v>
      </c>
      <c r="O12" s="397">
        <v>1.5121136400673583</v>
      </c>
      <c r="P12" s="397">
        <v>1.5611805618398769</v>
      </c>
      <c r="Q12" s="397">
        <v>1.6374434902006503</v>
      </c>
      <c r="R12" s="398">
        <v>1.6966659157467898</v>
      </c>
    </row>
    <row r="14" spans="1:18" ht="15" thickBot="1" x14ac:dyDescent="0.35">
      <c r="A14" s="351" t="s">
        <v>880</v>
      </c>
      <c r="B14" s="351">
        <v>2007</v>
      </c>
      <c r="C14" s="351">
        <v>2008</v>
      </c>
      <c r="D14" s="351">
        <v>2009</v>
      </c>
      <c r="E14" s="351">
        <v>2010</v>
      </c>
      <c r="F14" s="351">
        <v>2011</v>
      </c>
      <c r="G14" s="351">
        <v>2012</v>
      </c>
      <c r="H14" s="351">
        <v>2013</v>
      </c>
      <c r="I14" s="351">
        <v>2014</v>
      </c>
      <c r="J14" s="351">
        <v>2015</v>
      </c>
      <c r="K14" s="351">
        <v>2016</v>
      </c>
      <c r="L14" s="351">
        <v>2017</v>
      </c>
      <c r="M14" s="351">
        <v>2018</v>
      </c>
      <c r="N14" s="351">
        <v>2019</v>
      </c>
      <c r="O14" s="351">
        <v>2020</v>
      </c>
      <c r="P14" s="351">
        <v>2021</v>
      </c>
      <c r="Q14" s="351">
        <v>2022</v>
      </c>
      <c r="R14" s="351">
        <v>2023</v>
      </c>
    </row>
    <row r="15" spans="1:18" x14ac:dyDescent="0.3">
      <c r="A15" s="357" t="s">
        <v>865</v>
      </c>
      <c r="B15" s="347">
        <f>+B6/B$12</f>
        <v>44063085</v>
      </c>
      <c r="C15" s="347">
        <f>+C6/C$12</f>
        <v>63941234.8575451</v>
      </c>
      <c r="D15" s="347">
        <f>+D6/D$12</f>
        <v>5182546.9698785078</v>
      </c>
      <c r="E15" s="347">
        <f>+E6/E$12</f>
        <v>61908097.602279469</v>
      </c>
      <c r="F15" s="347">
        <f>+F6/F$12</f>
        <v>31643132.288418777</v>
      </c>
      <c r="G15" s="347">
        <f>+G6/G$12</f>
        <v>53463941.713359885</v>
      </c>
      <c r="H15" s="347">
        <f>+H6/H$12</f>
        <v>43003947.255174845</v>
      </c>
      <c r="I15" s="347">
        <f>+I6/I$12</f>
        <v>18166721.919628836</v>
      </c>
      <c r="J15" s="347">
        <f>+J6/J$12</f>
        <v>7879121.7804660192</v>
      </c>
      <c r="K15" s="347">
        <f>+K6/K$12</f>
        <v>5463540.3952285443</v>
      </c>
      <c r="L15" s="347">
        <f>+L6/L$12</f>
        <v>19335370.748534087</v>
      </c>
      <c r="M15" s="347">
        <f>+M6/M$12</f>
        <v>16879710.234235365</v>
      </c>
      <c r="N15" s="347">
        <f>+N6/N$12</f>
        <v>15553860.045977011</v>
      </c>
      <c r="O15" s="347">
        <f>+O6/O$12</f>
        <v>12440714.442045517</v>
      </c>
      <c r="P15" s="347">
        <f>+P6/P$12</f>
        <v>18227283.695144169</v>
      </c>
      <c r="Q15" s="347">
        <f>+Q6/Q$12</f>
        <v>16346132.346051309</v>
      </c>
      <c r="R15" s="347">
        <f>+R6/R$12</f>
        <v>20634662.767177854</v>
      </c>
    </row>
    <row r="16" spans="1:18" x14ac:dyDescent="0.3">
      <c r="A16" s="358" t="s">
        <v>867</v>
      </c>
      <c r="B16" s="347">
        <f>+B7/B$12</f>
        <v>120891548</v>
      </c>
      <c r="C16" s="347">
        <f>+C7/C$12</f>
        <v>205653536.6065883</v>
      </c>
      <c r="D16" s="347">
        <f>+D7/D$12</f>
        <v>179762664.29484075</v>
      </c>
      <c r="E16" s="347">
        <f>+E7/E$12</f>
        <v>196995054.26049694</v>
      </c>
      <c r="F16" s="347">
        <f>+F7/F$12</f>
        <v>226614930.75672698</v>
      </c>
      <c r="G16" s="347">
        <f>+G7/G$12</f>
        <v>263146336.99746561</v>
      </c>
      <c r="H16" s="347">
        <f>+H7/H$12</f>
        <v>305672688.99609691</v>
      </c>
      <c r="I16" s="347">
        <f>+I7/I$12</f>
        <v>333435179.74632585</v>
      </c>
      <c r="J16" s="347">
        <f>+J7/J$12</f>
        <v>334652134.41982496</v>
      </c>
      <c r="K16" s="347">
        <f>+K7/K$12</f>
        <v>355253885.15095532</v>
      </c>
      <c r="L16" s="347">
        <f>+L7/L$12</f>
        <v>371820454.77952451</v>
      </c>
      <c r="M16" s="347">
        <f>+M7/M$12</f>
        <v>425042176.4071368</v>
      </c>
      <c r="N16" s="347">
        <f>+N7/N$12</f>
        <v>425695292.15695602</v>
      </c>
      <c r="O16" s="347">
        <f>+O7/O$12</f>
        <v>479846523.94755089</v>
      </c>
      <c r="P16" s="347">
        <f>+P7/P$12</f>
        <v>586143327.27892053</v>
      </c>
      <c r="Q16" s="347">
        <f>+Q7/Q$12</f>
        <v>589123175.71447444</v>
      </c>
      <c r="R16" s="347">
        <f>+R7/R$12</f>
        <v>551694524.7220341</v>
      </c>
    </row>
    <row r="17" spans="1:18" x14ac:dyDescent="0.3">
      <c r="A17" s="357" t="s">
        <v>868</v>
      </c>
      <c r="B17" s="347">
        <f>+B8/B$12</f>
        <v>386993191</v>
      </c>
      <c r="C17" s="347">
        <f>+C8/C$12</f>
        <v>416917666.3533625</v>
      </c>
      <c r="D17" s="347">
        <f>+D8/D$12</f>
        <v>465927113.91013873</v>
      </c>
      <c r="E17" s="347">
        <f>+E8/E$12</f>
        <v>467929342.25748807</v>
      </c>
      <c r="F17" s="347">
        <f>+F8/F$12</f>
        <v>510214158.28907162</v>
      </c>
      <c r="G17" s="347">
        <f>+G8/G$12</f>
        <v>498209164.80988419</v>
      </c>
      <c r="H17" s="347">
        <f>+H8/H$12</f>
        <v>534778589.6666187</v>
      </c>
      <c r="I17" s="347">
        <f>+I8/I$12</f>
        <v>573327146.64155471</v>
      </c>
      <c r="J17" s="347">
        <f>+J8/J$12</f>
        <v>618746439.32572806</v>
      </c>
      <c r="K17" s="347">
        <f>+K8/K$12</f>
        <v>703107158.04771447</v>
      </c>
      <c r="L17" s="347">
        <f>+L8/L$12</f>
        <v>755555365.11403871</v>
      </c>
      <c r="M17" s="347">
        <f>+M8/M$12</f>
        <v>765709604.46964145</v>
      </c>
      <c r="N17" s="347">
        <f>+N8/N$12</f>
        <v>828424492.39159727</v>
      </c>
      <c r="O17" s="347">
        <f>+O8/O$12</f>
        <v>881251930.86720681</v>
      </c>
      <c r="P17" s="347">
        <f>+P8/P$12</f>
        <v>902736644.5935477</v>
      </c>
      <c r="Q17" s="347">
        <f>+Q8/Q$12</f>
        <v>861575228.36230803</v>
      </c>
      <c r="R17" s="347">
        <f>+R8/R$12</f>
        <v>1002450245.0450773</v>
      </c>
    </row>
    <row r="18" spans="1:18" x14ac:dyDescent="0.3">
      <c r="A18" s="357" t="s">
        <v>869</v>
      </c>
      <c r="B18" s="347">
        <f>+B9/B$12</f>
        <v>40198348</v>
      </c>
      <c r="C18" s="347">
        <f>+C9/C$12</f>
        <v>42970998.80076544</v>
      </c>
      <c r="D18" s="347">
        <f>+D9/D$12</f>
        <v>135621970.53624403</v>
      </c>
      <c r="E18" s="347">
        <f>+E9/E$12</f>
        <v>133445073.27057216</v>
      </c>
      <c r="F18" s="347">
        <f>+F9/F$12</f>
        <v>133339059.59330057</v>
      </c>
      <c r="G18" s="347">
        <f>+G9/G$12</f>
        <v>184108165.9646633</v>
      </c>
      <c r="H18" s="347">
        <f>+H9/H$12</f>
        <v>174129652.26006976</v>
      </c>
      <c r="I18" s="347">
        <f>+I9/I$12</f>
        <v>213494134.94320834</v>
      </c>
      <c r="J18" s="347">
        <f>+J9/J$12</f>
        <v>209027412.98808157</v>
      </c>
      <c r="K18" s="347">
        <f>+K9/K$12</f>
        <v>199854334.80671382</v>
      </c>
      <c r="L18" s="347">
        <f>+L9/L$12</f>
        <v>213737791.34981683</v>
      </c>
      <c r="M18" s="347">
        <f>+M9/M$12</f>
        <v>200161365.10112572</v>
      </c>
      <c r="N18" s="347">
        <f>+N9/N$12</f>
        <v>192052423.06460562</v>
      </c>
      <c r="O18" s="347">
        <f>+O9/O$12</f>
        <v>459311083.23912853</v>
      </c>
      <c r="P18" s="347">
        <f>+P9/P$12</f>
        <v>418701575.57537138</v>
      </c>
      <c r="Q18" s="347">
        <f>+Q9/Q$12</f>
        <v>274418654.8660301</v>
      </c>
      <c r="R18" s="347">
        <f>+R9/R$12</f>
        <v>256230510.6533891</v>
      </c>
    </row>
    <row r="19" spans="1:18" x14ac:dyDescent="0.3">
      <c r="A19" s="359" t="s">
        <v>866</v>
      </c>
      <c r="B19" s="356">
        <f>+B10/B$12</f>
        <v>592146172</v>
      </c>
      <c r="C19" s="356">
        <f t="shared" ref="C19:K19" si="0">+C10/C$12</f>
        <v>729483436.61826134</v>
      </c>
      <c r="D19" s="356">
        <f t="shared" si="0"/>
        <v>786494295.71110201</v>
      </c>
      <c r="E19" s="356">
        <f t="shared" si="0"/>
        <v>860277567.3908366</v>
      </c>
      <c r="F19" s="356">
        <f t="shared" si="0"/>
        <v>901811280.92751789</v>
      </c>
      <c r="G19" s="356">
        <f t="shared" si="0"/>
        <v>998927609.48537302</v>
      </c>
      <c r="H19" s="356">
        <f t="shared" si="0"/>
        <v>1057584878.1779603</v>
      </c>
      <c r="I19" s="356">
        <f t="shared" si="0"/>
        <v>1138423183.2507179</v>
      </c>
      <c r="J19" s="356">
        <f t="shared" si="0"/>
        <v>1170305108.5141006</v>
      </c>
      <c r="K19" s="356">
        <f t="shared" si="0"/>
        <v>1263678918.4006121</v>
      </c>
      <c r="L19" s="356">
        <f>+L10/L$12</f>
        <v>1360448981.991914</v>
      </c>
      <c r="M19" s="356">
        <f t="shared" ref="M19:R19" si="1">+M10/M$12</f>
        <v>1407792856.2121394</v>
      </c>
      <c r="N19" s="356">
        <f t="shared" si="1"/>
        <v>1461726067.6591361</v>
      </c>
      <c r="O19" s="356">
        <f t="shared" si="1"/>
        <v>1832850252.4959316</v>
      </c>
      <c r="P19" s="356">
        <f t="shared" si="1"/>
        <v>1925808831.1429839</v>
      </c>
      <c r="Q19" s="356">
        <f t="shared" si="1"/>
        <v>1741463191.2888639</v>
      </c>
      <c r="R19" s="356">
        <f t="shared" si="1"/>
        <v>1831009943.1876783</v>
      </c>
    </row>
    <row r="20" spans="1:18" x14ac:dyDescent="0.3">
      <c r="B20" s="331"/>
      <c r="J20" s="415"/>
    </row>
    <row r="21" spans="1:18" x14ac:dyDescent="0.3">
      <c r="B21" s="347"/>
      <c r="C21" s="347"/>
    </row>
    <row r="22" spans="1:18" x14ac:dyDescent="0.3">
      <c r="B22" s="347"/>
      <c r="C22" s="347"/>
      <c r="O22" s="349"/>
    </row>
    <row r="23" spans="1:18" x14ac:dyDescent="0.3">
      <c r="H23" s="347"/>
      <c r="I23" s="331"/>
      <c r="L23" s="347"/>
    </row>
  </sheetData>
  <pageMargins left="0.7" right="0.7" top="0.75" bottom="0.75" header="0.3" footer="0.3"/>
  <ignoredErrors>
    <ignoredError sqref="B10:R10" formulaRange="1"/>
  </ignoredErrors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7EE40-E0D3-4E8F-BDAB-3669A60D55D3}">
  <dimension ref="A1:N38"/>
  <sheetViews>
    <sheetView workbookViewId="0"/>
  </sheetViews>
  <sheetFormatPr baseColWidth="10" defaultColWidth="11.44140625" defaultRowHeight="14.4" x14ac:dyDescent="0.3"/>
  <cols>
    <col min="1" max="1" width="12.6640625" style="366" customWidth="1"/>
    <col min="2" max="7" width="16.33203125" style="366" customWidth="1"/>
    <col min="8" max="14" width="8.6640625" style="366" customWidth="1"/>
    <col min="15" max="15" width="9.109375" style="366" customWidth="1"/>
    <col min="16" max="16" width="31.33203125" style="366" customWidth="1"/>
    <col min="17" max="30" width="8.88671875" style="366" customWidth="1"/>
    <col min="31" max="31" width="7.5546875" style="366" customWidth="1"/>
    <col min="32" max="32" width="8.5546875" style="366" customWidth="1"/>
    <col min="33" max="34" width="11.44140625" style="366"/>
    <col min="35" max="35" width="43" style="366" customWidth="1"/>
    <col min="36" max="36" width="3.33203125" style="366" customWidth="1"/>
    <col min="37" max="16384" width="11.44140625" style="366"/>
  </cols>
  <sheetData>
    <row r="1" spans="1:14" ht="18" x14ac:dyDescent="0.3">
      <c r="A1" s="229" t="s">
        <v>892</v>
      </c>
    </row>
    <row r="2" spans="1:14" ht="49.5" customHeight="1" x14ac:dyDescent="0.3">
      <c r="A2" s="489" t="s">
        <v>882</v>
      </c>
      <c r="B2" s="489"/>
      <c r="C2" s="489"/>
      <c r="D2" s="489"/>
      <c r="E2" s="489"/>
      <c r="F2" s="489"/>
      <c r="G2" s="489"/>
      <c r="H2" s="367"/>
      <c r="I2" s="367"/>
      <c r="J2" s="367"/>
      <c r="K2" s="367"/>
      <c r="L2" s="367"/>
      <c r="M2" s="367"/>
      <c r="N2" s="367"/>
    </row>
    <row r="3" spans="1:14" x14ac:dyDescent="0.3">
      <c r="A3" s="368"/>
      <c r="B3" s="368"/>
      <c r="C3" s="368"/>
      <c r="D3" s="368"/>
      <c r="E3" s="368"/>
      <c r="F3" s="368"/>
      <c r="G3" s="368"/>
      <c r="H3" s="368"/>
      <c r="I3" s="368"/>
      <c r="J3" s="368"/>
      <c r="K3" s="368"/>
      <c r="L3" s="368"/>
      <c r="M3" s="368"/>
      <c r="N3" s="368"/>
    </row>
    <row r="4" spans="1:14" s="369" customFormat="1" ht="13.8" customHeight="1" x14ac:dyDescent="0.3">
      <c r="A4" s="493" t="s">
        <v>849</v>
      </c>
      <c r="B4" s="495" t="s">
        <v>883</v>
      </c>
      <c r="C4" s="490" t="s">
        <v>884</v>
      </c>
      <c r="D4" s="497" t="s">
        <v>874</v>
      </c>
      <c r="E4" s="499" t="s">
        <v>885</v>
      </c>
      <c r="F4" s="499" t="s">
        <v>886</v>
      </c>
      <c r="G4" s="490" t="s">
        <v>887</v>
      </c>
      <c r="H4" s="492"/>
      <c r="I4" s="492"/>
    </row>
    <row r="5" spans="1:14" s="369" customFormat="1" ht="27" customHeight="1" x14ac:dyDescent="0.3">
      <c r="A5" s="494"/>
      <c r="B5" s="496"/>
      <c r="C5" s="491"/>
      <c r="D5" s="498"/>
      <c r="E5" s="500"/>
      <c r="F5" s="500"/>
      <c r="G5" s="491"/>
      <c r="H5" s="492"/>
      <c r="I5" s="492"/>
    </row>
    <row r="6" spans="1:14" x14ac:dyDescent="0.3">
      <c r="A6" s="370"/>
      <c r="B6" s="371"/>
      <c r="C6" s="372"/>
      <c r="D6" s="372"/>
      <c r="E6" s="372"/>
      <c r="F6" s="372"/>
      <c r="G6" s="372"/>
      <c r="H6" s="368"/>
      <c r="I6" s="368"/>
      <c r="J6" s="368"/>
      <c r="K6" s="368"/>
      <c r="L6" s="368"/>
      <c r="M6" s="368"/>
      <c r="N6" s="368"/>
    </row>
    <row r="7" spans="1:14" x14ac:dyDescent="0.3">
      <c r="A7" s="373">
        <v>1994</v>
      </c>
      <c r="B7" s="374">
        <v>98579</v>
      </c>
      <c r="C7" s="361">
        <v>71308</v>
      </c>
      <c r="D7" s="361">
        <v>8672</v>
      </c>
      <c r="E7" s="361">
        <v>21931</v>
      </c>
      <c r="F7" s="361">
        <v>12590</v>
      </c>
      <c r="G7" s="361">
        <v>15922</v>
      </c>
      <c r="H7" s="368"/>
      <c r="I7" s="368"/>
      <c r="J7" s="368"/>
      <c r="K7" s="368"/>
      <c r="L7" s="368"/>
      <c r="M7" s="368"/>
      <c r="N7" s="368"/>
    </row>
    <row r="8" spans="1:14" x14ac:dyDescent="0.3">
      <c r="A8" s="375">
        <v>1995</v>
      </c>
      <c r="B8" s="374">
        <v>120263</v>
      </c>
      <c r="C8" s="361">
        <v>85519</v>
      </c>
      <c r="D8" s="361">
        <v>11880</v>
      </c>
      <c r="E8" s="361">
        <v>29752</v>
      </c>
      <c r="F8" s="361">
        <v>15153</v>
      </c>
      <c r="G8" s="361">
        <v>22041</v>
      </c>
      <c r="H8" s="368"/>
      <c r="I8" s="368"/>
      <c r="J8" s="368"/>
      <c r="K8" s="368"/>
      <c r="L8" s="368"/>
      <c r="M8" s="368"/>
      <c r="N8" s="368"/>
    </row>
    <row r="9" spans="1:14" x14ac:dyDescent="0.3">
      <c r="A9" s="375">
        <v>1996</v>
      </c>
      <c r="B9" s="374">
        <v>135606</v>
      </c>
      <c r="C9" s="361">
        <v>97738</v>
      </c>
      <c r="D9" s="361">
        <v>14048</v>
      </c>
      <c r="E9" s="361">
        <v>30629</v>
      </c>
      <c r="F9" s="361">
        <v>18058</v>
      </c>
      <c r="G9" s="361">
        <v>24867</v>
      </c>
      <c r="H9" s="368"/>
      <c r="I9" s="368"/>
      <c r="J9" s="368"/>
      <c r="K9" s="368"/>
      <c r="L9" s="368"/>
      <c r="M9" s="368"/>
      <c r="N9" s="368"/>
    </row>
    <row r="10" spans="1:14" x14ac:dyDescent="0.3">
      <c r="A10" s="375">
        <v>1997</v>
      </c>
      <c r="B10" s="374">
        <v>154905</v>
      </c>
      <c r="C10" s="361">
        <v>109188</v>
      </c>
      <c r="D10" s="361">
        <v>15860</v>
      </c>
      <c r="E10" s="361">
        <v>36851</v>
      </c>
      <c r="F10" s="361">
        <v>22426</v>
      </c>
      <c r="G10" s="361">
        <v>29420</v>
      </c>
      <c r="H10" s="368"/>
      <c r="I10" s="368"/>
      <c r="J10" s="368"/>
      <c r="K10" s="368"/>
      <c r="L10" s="368"/>
      <c r="M10" s="368"/>
      <c r="N10" s="368"/>
    </row>
    <row r="11" spans="1:14" x14ac:dyDescent="0.3">
      <c r="A11" s="375">
        <v>1998</v>
      </c>
      <c r="B11" s="374">
        <v>162586</v>
      </c>
      <c r="C11" s="361">
        <v>116023</v>
      </c>
      <c r="D11" s="361">
        <v>17854</v>
      </c>
      <c r="E11" s="361">
        <v>37728</v>
      </c>
      <c r="F11" s="361">
        <v>22279</v>
      </c>
      <c r="G11" s="361">
        <v>31298</v>
      </c>
      <c r="H11" s="368"/>
      <c r="I11" s="368"/>
      <c r="J11" s="368"/>
      <c r="K11" s="368"/>
      <c r="L11" s="368"/>
      <c r="M11" s="368"/>
      <c r="N11" s="368"/>
    </row>
    <row r="12" spans="1:14" x14ac:dyDescent="0.3">
      <c r="A12" s="375">
        <v>1999</v>
      </c>
      <c r="B12" s="374">
        <v>169859</v>
      </c>
      <c r="C12" s="361">
        <v>119244</v>
      </c>
      <c r="D12" s="361">
        <v>19617</v>
      </c>
      <c r="E12" s="361">
        <v>35095</v>
      </c>
      <c r="F12" s="361">
        <v>26153</v>
      </c>
      <c r="G12" s="361">
        <v>30250</v>
      </c>
      <c r="H12" s="368"/>
      <c r="I12" s="368"/>
      <c r="J12" s="368"/>
      <c r="K12" s="368"/>
      <c r="L12" s="368"/>
      <c r="M12" s="368"/>
      <c r="N12" s="368"/>
    </row>
    <row r="13" spans="1:14" x14ac:dyDescent="0.3">
      <c r="A13" s="375">
        <v>2000</v>
      </c>
      <c r="B13" s="374">
        <v>180584</v>
      </c>
      <c r="C13" s="361">
        <v>128075</v>
      </c>
      <c r="D13" s="361">
        <v>20678</v>
      </c>
      <c r="E13" s="361">
        <v>35445</v>
      </c>
      <c r="F13" s="361">
        <v>30281</v>
      </c>
      <c r="G13" s="361">
        <v>33895</v>
      </c>
      <c r="H13" s="368"/>
      <c r="I13" s="368"/>
      <c r="J13" s="368"/>
      <c r="K13" s="368"/>
      <c r="L13" s="368"/>
      <c r="M13" s="368"/>
      <c r="N13" s="368"/>
    </row>
    <row r="14" spans="1:14" x14ac:dyDescent="0.3">
      <c r="A14" s="375">
        <v>2001</v>
      </c>
      <c r="B14" s="374">
        <v>182527</v>
      </c>
      <c r="C14" s="361">
        <v>131392</v>
      </c>
      <c r="D14" s="361">
        <v>21387</v>
      </c>
      <c r="E14" s="361">
        <v>33146</v>
      </c>
      <c r="F14" s="361">
        <v>30302</v>
      </c>
      <c r="G14" s="361">
        <v>33700</v>
      </c>
      <c r="H14" s="368"/>
      <c r="I14" s="368"/>
      <c r="J14" s="368"/>
      <c r="K14" s="368"/>
      <c r="L14" s="368"/>
      <c r="M14" s="368"/>
      <c r="N14" s="368"/>
    </row>
    <row r="15" spans="1:14" x14ac:dyDescent="0.3">
      <c r="A15" s="375">
        <v>2002</v>
      </c>
      <c r="B15" s="374">
        <v>192691</v>
      </c>
      <c r="C15" s="361">
        <v>137902</v>
      </c>
      <c r="D15" s="361">
        <v>21514</v>
      </c>
      <c r="E15" s="361">
        <v>34623</v>
      </c>
      <c r="F15" s="361">
        <v>33287</v>
      </c>
      <c r="G15" s="361">
        <v>34635</v>
      </c>
      <c r="H15" s="368"/>
      <c r="I15" s="368"/>
      <c r="J15" s="368"/>
      <c r="K15" s="368"/>
      <c r="L15" s="368"/>
      <c r="M15" s="368"/>
      <c r="N15" s="368"/>
    </row>
    <row r="16" spans="1:14" x14ac:dyDescent="0.3">
      <c r="A16" s="375">
        <v>2003</v>
      </c>
      <c r="B16" s="374">
        <v>204337</v>
      </c>
      <c r="C16" s="361">
        <v>144193</v>
      </c>
      <c r="D16" s="361">
        <v>23537</v>
      </c>
      <c r="E16" s="361">
        <v>35780</v>
      </c>
      <c r="F16" s="361">
        <v>38854</v>
      </c>
      <c r="G16" s="361">
        <v>38027</v>
      </c>
      <c r="H16" s="368"/>
      <c r="I16" s="368"/>
      <c r="J16" s="368"/>
      <c r="K16" s="368"/>
      <c r="L16" s="368"/>
      <c r="M16" s="368"/>
      <c r="N16" s="368"/>
    </row>
    <row r="17" spans="1:14" x14ac:dyDescent="0.3">
      <c r="A17" s="375">
        <v>2004</v>
      </c>
      <c r="B17" s="374">
        <v>227935</v>
      </c>
      <c r="C17" s="361">
        <v>154995</v>
      </c>
      <c r="D17" s="361">
        <v>25657</v>
      </c>
      <c r="E17" s="361">
        <v>38420</v>
      </c>
      <c r="F17" s="361">
        <v>52225</v>
      </c>
      <c r="G17" s="361">
        <v>43362</v>
      </c>
      <c r="H17" s="368"/>
      <c r="I17" s="368"/>
      <c r="J17" s="368"/>
      <c r="K17" s="368"/>
      <c r="L17" s="368"/>
      <c r="M17" s="368"/>
      <c r="N17" s="368"/>
    </row>
    <row r="18" spans="1:14" x14ac:dyDescent="0.3">
      <c r="A18" s="375">
        <v>2005</v>
      </c>
      <c r="B18" s="374">
        <v>250749</v>
      </c>
      <c r="C18" s="361">
        <v>162815</v>
      </c>
      <c r="D18" s="361">
        <v>28697</v>
      </c>
      <c r="E18" s="361">
        <v>43339</v>
      </c>
      <c r="F18" s="361">
        <v>67323</v>
      </c>
      <c r="G18" s="361">
        <v>51425</v>
      </c>
      <c r="H18" s="368"/>
      <c r="I18" s="368"/>
      <c r="J18" s="368"/>
      <c r="K18" s="368"/>
      <c r="L18" s="368"/>
      <c r="M18" s="368"/>
      <c r="N18" s="368"/>
    </row>
    <row r="19" spans="1:14" x14ac:dyDescent="0.3">
      <c r="A19" s="375">
        <v>2006</v>
      </c>
      <c r="B19" s="374">
        <v>290271</v>
      </c>
      <c r="C19" s="361">
        <v>174582</v>
      </c>
      <c r="D19" s="361">
        <v>31688</v>
      </c>
      <c r="E19" s="361">
        <v>57040</v>
      </c>
      <c r="F19" s="361">
        <v>88639</v>
      </c>
      <c r="G19" s="361">
        <v>61678</v>
      </c>
      <c r="H19" s="368"/>
      <c r="I19" s="368"/>
      <c r="J19" s="368"/>
      <c r="K19" s="368"/>
      <c r="L19" s="368"/>
      <c r="M19" s="368"/>
      <c r="N19" s="368"/>
    </row>
    <row r="20" spans="1:14" x14ac:dyDescent="0.3">
      <c r="A20" s="394">
        <v>2007</v>
      </c>
      <c r="B20" s="374">
        <v>319693</v>
      </c>
      <c r="C20" s="361">
        <v>192316</v>
      </c>
      <c r="D20" s="395">
        <v>33424</v>
      </c>
      <c r="E20" s="361">
        <v>70436</v>
      </c>
      <c r="F20" s="361">
        <v>100774</v>
      </c>
      <c r="G20" s="361">
        <v>77257</v>
      </c>
      <c r="H20" s="368"/>
      <c r="I20" s="368"/>
      <c r="J20" s="368"/>
      <c r="K20" s="368"/>
      <c r="L20" s="368"/>
      <c r="M20" s="368"/>
      <c r="N20" s="368"/>
    </row>
    <row r="21" spans="1:14" x14ac:dyDescent="0.3">
      <c r="A21" s="376">
        <v>2008</v>
      </c>
      <c r="B21" s="374">
        <v>352719</v>
      </c>
      <c r="C21" s="361">
        <v>220200</v>
      </c>
      <c r="D21" s="361">
        <v>36580</v>
      </c>
      <c r="E21" s="361">
        <v>92336</v>
      </c>
      <c r="F21" s="361">
        <v>104855</v>
      </c>
      <c r="G21" s="361">
        <v>101252</v>
      </c>
      <c r="H21" s="368"/>
      <c r="I21" s="368"/>
      <c r="J21" s="368"/>
      <c r="K21" s="368"/>
      <c r="L21" s="368"/>
      <c r="M21" s="368"/>
      <c r="N21" s="368"/>
    </row>
    <row r="22" spans="1:14" x14ac:dyDescent="0.3">
      <c r="A22" s="376">
        <v>2009</v>
      </c>
      <c r="B22" s="374">
        <v>363943</v>
      </c>
      <c r="C22" s="361">
        <v>232133</v>
      </c>
      <c r="D22" s="361">
        <v>41731</v>
      </c>
      <c r="E22" s="361">
        <v>72711</v>
      </c>
      <c r="F22" s="361">
        <v>96234</v>
      </c>
      <c r="G22" s="361">
        <v>78866</v>
      </c>
      <c r="H22" s="368"/>
      <c r="I22" s="368"/>
      <c r="J22" s="368"/>
      <c r="K22" s="368"/>
      <c r="L22" s="368"/>
      <c r="M22" s="368"/>
      <c r="N22" s="368"/>
    </row>
    <row r="23" spans="1:14" x14ac:dyDescent="0.3">
      <c r="A23" s="376">
        <v>2010</v>
      </c>
      <c r="B23" s="374">
        <v>416784</v>
      </c>
      <c r="C23" s="361">
        <v>257298</v>
      </c>
      <c r="D23" s="361">
        <v>43870</v>
      </c>
      <c r="E23" s="361">
        <v>99030</v>
      </c>
      <c r="F23" s="361">
        <v>115975</v>
      </c>
      <c r="G23" s="361">
        <v>99389</v>
      </c>
      <c r="H23" s="368"/>
      <c r="I23" s="368"/>
      <c r="J23" s="368"/>
      <c r="K23" s="368"/>
      <c r="L23" s="368"/>
      <c r="M23" s="368"/>
      <c r="N23" s="368"/>
    </row>
    <row r="24" spans="1:14" x14ac:dyDescent="0.3">
      <c r="A24" s="376">
        <v>2011</v>
      </c>
      <c r="B24" s="374">
        <v>473049</v>
      </c>
      <c r="C24" s="361">
        <v>285814</v>
      </c>
      <c r="D24" s="361">
        <v>49019</v>
      </c>
      <c r="E24" s="361">
        <v>114482</v>
      </c>
      <c r="F24" s="361">
        <v>144293</v>
      </c>
      <c r="G24" s="361">
        <v>120559</v>
      </c>
      <c r="H24" s="368"/>
      <c r="I24" s="368"/>
      <c r="J24" s="368"/>
      <c r="K24" s="368"/>
      <c r="L24" s="368"/>
      <c r="M24" s="368"/>
      <c r="N24" s="368"/>
    </row>
    <row r="25" spans="1:14" x14ac:dyDescent="0.3">
      <c r="A25" s="376">
        <v>2012</v>
      </c>
      <c r="B25" s="374">
        <v>508131</v>
      </c>
      <c r="C25" s="361">
        <v>316278</v>
      </c>
      <c r="D25" s="361">
        <v>55240</v>
      </c>
      <c r="E25" s="361">
        <v>125031</v>
      </c>
      <c r="F25" s="361">
        <v>139480</v>
      </c>
      <c r="G25" s="361">
        <v>127898</v>
      </c>
      <c r="H25" s="368"/>
      <c r="I25" s="368"/>
      <c r="J25" s="368"/>
      <c r="K25" s="368"/>
      <c r="L25" s="368"/>
      <c r="M25" s="368"/>
      <c r="N25" s="368"/>
    </row>
    <row r="26" spans="1:14" x14ac:dyDescent="0.3">
      <c r="A26" s="376">
        <v>2013</v>
      </c>
      <c r="B26" s="374">
        <v>543556</v>
      </c>
      <c r="C26" s="361">
        <v>342959</v>
      </c>
      <c r="D26" s="361">
        <v>62514</v>
      </c>
      <c r="E26" s="361">
        <v>139010</v>
      </c>
      <c r="F26" s="361">
        <v>134847</v>
      </c>
      <c r="G26" s="361">
        <v>135774</v>
      </c>
      <c r="H26" s="368"/>
      <c r="I26" s="368"/>
      <c r="J26" s="368"/>
      <c r="K26" s="368"/>
      <c r="L26" s="368"/>
      <c r="M26" s="368"/>
      <c r="N26" s="368"/>
    </row>
    <row r="27" spans="1:14" x14ac:dyDescent="0.3">
      <c r="A27" s="376">
        <v>2014</v>
      </c>
      <c r="B27" s="374">
        <v>570041</v>
      </c>
      <c r="C27" s="361">
        <v>368081</v>
      </c>
      <c r="D27" s="361">
        <v>70697</v>
      </c>
      <c r="E27" s="361">
        <v>140607</v>
      </c>
      <c r="F27" s="361">
        <v>128869</v>
      </c>
      <c r="G27" s="361">
        <v>138213</v>
      </c>
      <c r="H27" s="368"/>
      <c r="I27" s="368"/>
      <c r="J27" s="368"/>
      <c r="K27" s="368"/>
      <c r="L27" s="368"/>
      <c r="M27" s="368"/>
      <c r="N27" s="368"/>
    </row>
    <row r="28" spans="1:14" x14ac:dyDescent="0.3">
      <c r="A28" s="376">
        <v>2015</v>
      </c>
      <c r="B28" s="374">
        <v>604416</v>
      </c>
      <c r="C28" s="361">
        <v>394789</v>
      </c>
      <c r="D28" s="361">
        <v>78366</v>
      </c>
      <c r="E28" s="361">
        <v>146904</v>
      </c>
      <c r="F28" s="361">
        <v>128664</v>
      </c>
      <c r="G28" s="361">
        <v>144307</v>
      </c>
      <c r="H28" s="368"/>
      <c r="I28" s="368"/>
      <c r="J28" s="368"/>
      <c r="K28" s="368"/>
      <c r="L28" s="368"/>
      <c r="M28" s="368"/>
      <c r="N28" s="368"/>
    </row>
    <row r="29" spans="1:14" x14ac:dyDescent="0.3">
      <c r="A29" s="376">
        <v>2016</v>
      </c>
      <c r="B29" s="374">
        <v>647668</v>
      </c>
      <c r="C29" s="361">
        <v>421005</v>
      </c>
      <c r="D29" s="361">
        <v>85257</v>
      </c>
      <c r="E29" s="361">
        <v>142625</v>
      </c>
      <c r="F29" s="361">
        <v>146375</v>
      </c>
      <c r="G29" s="361">
        <v>147594</v>
      </c>
      <c r="H29" s="368"/>
      <c r="I29" s="368"/>
      <c r="J29" s="368"/>
      <c r="K29" s="368"/>
      <c r="L29" s="368"/>
      <c r="M29" s="368"/>
      <c r="N29" s="368"/>
    </row>
    <row r="30" spans="1:14" x14ac:dyDescent="0.3">
      <c r="A30" s="376">
        <v>2017</v>
      </c>
      <c r="B30" s="374">
        <v>687989</v>
      </c>
      <c r="C30" s="361">
        <v>441343</v>
      </c>
      <c r="D30" s="361">
        <v>90899</v>
      </c>
      <c r="E30" s="361">
        <v>142495</v>
      </c>
      <c r="F30" s="361">
        <v>170070</v>
      </c>
      <c r="G30" s="361">
        <v>156818</v>
      </c>
      <c r="H30" s="368"/>
      <c r="I30" s="368"/>
      <c r="J30" s="368"/>
      <c r="K30" s="368"/>
      <c r="L30" s="368"/>
      <c r="M30" s="368"/>
      <c r="N30" s="368"/>
    </row>
    <row r="31" spans="1:14" x14ac:dyDescent="0.3">
      <c r="A31" s="376">
        <v>2018</v>
      </c>
      <c r="B31" s="374">
        <v>731588</v>
      </c>
      <c r="C31" s="361">
        <v>467181</v>
      </c>
      <c r="D31" s="361">
        <v>95673</v>
      </c>
      <c r="E31" s="361">
        <v>155910</v>
      </c>
      <c r="F31" s="361">
        <v>184303</v>
      </c>
      <c r="G31" s="361">
        <v>171479</v>
      </c>
      <c r="H31" s="368"/>
      <c r="I31" s="368"/>
      <c r="J31" s="368"/>
      <c r="K31" s="368"/>
      <c r="L31" s="368"/>
      <c r="M31" s="368"/>
      <c r="N31" s="368"/>
    </row>
    <row r="32" spans="1:14" x14ac:dyDescent="0.3">
      <c r="A32" s="376">
        <v>2019</v>
      </c>
      <c r="B32" s="374">
        <v>761984</v>
      </c>
      <c r="C32" s="361">
        <v>493669</v>
      </c>
      <c r="D32" s="361">
        <v>100920</v>
      </c>
      <c r="E32" s="361">
        <v>158749</v>
      </c>
      <c r="F32" s="361">
        <v>183174</v>
      </c>
      <c r="G32" s="361">
        <v>174528</v>
      </c>
      <c r="H32" s="368"/>
      <c r="I32" s="368"/>
      <c r="J32" s="368"/>
      <c r="K32" s="368"/>
      <c r="L32" s="368"/>
      <c r="M32" s="368"/>
      <c r="N32" s="368"/>
    </row>
    <row r="33" spans="1:14" x14ac:dyDescent="0.3">
      <c r="A33" s="376">
        <v>2020</v>
      </c>
      <c r="B33" s="374">
        <v>703915</v>
      </c>
      <c r="C33" s="361">
        <v>452010</v>
      </c>
      <c r="D33" s="361">
        <v>111346</v>
      </c>
      <c r="E33" s="361">
        <v>128051</v>
      </c>
      <c r="F33" s="361">
        <v>161981</v>
      </c>
      <c r="G33" s="361">
        <v>149473</v>
      </c>
      <c r="H33" s="368"/>
      <c r="I33" s="368"/>
      <c r="J33" s="368"/>
      <c r="K33" s="368"/>
      <c r="L33" s="368"/>
      <c r="M33" s="368"/>
      <c r="N33" s="368"/>
    </row>
    <row r="34" spans="1:14" x14ac:dyDescent="0.3">
      <c r="A34" s="376" t="s">
        <v>888</v>
      </c>
      <c r="B34" s="374">
        <v>878281</v>
      </c>
      <c r="C34" s="361">
        <v>534793</v>
      </c>
      <c r="D34" s="361">
        <v>120762</v>
      </c>
      <c r="E34" s="361">
        <v>195987</v>
      </c>
      <c r="F34" s="361">
        <v>256773</v>
      </c>
      <c r="G34" s="361">
        <v>230034</v>
      </c>
      <c r="H34" s="368"/>
      <c r="I34" s="368"/>
      <c r="J34" s="368"/>
      <c r="K34" s="368"/>
      <c r="L34" s="368"/>
      <c r="M34" s="368"/>
      <c r="N34" s="368"/>
    </row>
    <row r="35" spans="1:14" x14ac:dyDescent="0.3">
      <c r="A35" s="376" t="s">
        <v>889</v>
      </c>
      <c r="B35" s="374">
        <v>943706</v>
      </c>
      <c r="C35" s="361">
        <v>602763</v>
      </c>
      <c r="D35" s="361">
        <v>126409</v>
      </c>
      <c r="E35" s="361">
        <v>211073</v>
      </c>
      <c r="F35" s="361">
        <v>272088</v>
      </c>
      <c r="G35" s="361">
        <v>268627</v>
      </c>
      <c r="H35" s="368"/>
      <c r="I35" s="368"/>
      <c r="J35" s="368"/>
      <c r="K35" s="368"/>
      <c r="L35" s="368"/>
      <c r="M35" s="368"/>
      <c r="N35" s="368"/>
    </row>
    <row r="36" spans="1:14" x14ac:dyDescent="0.3">
      <c r="A36" s="376" t="s">
        <v>890</v>
      </c>
      <c r="B36" s="374">
        <v>999447</v>
      </c>
      <c r="C36" s="361">
        <v>637307</v>
      </c>
      <c r="D36" s="361">
        <v>135567</v>
      </c>
      <c r="E36" s="361">
        <v>191738</v>
      </c>
      <c r="F36" s="361">
        <v>271203</v>
      </c>
      <c r="G36" s="361">
        <v>236368</v>
      </c>
      <c r="H36" s="368"/>
      <c r="I36" s="368"/>
      <c r="J36" s="368"/>
      <c r="K36" s="368"/>
      <c r="L36" s="368"/>
      <c r="M36" s="368"/>
      <c r="N36" s="368"/>
    </row>
    <row r="37" spans="1:14" x14ac:dyDescent="0.3">
      <c r="A37" s="377"/>
      <c r="B37" s="378"/>
      <c r="C37" s="379"/>
      <c r="D37" s="379"/>
      <c r="E37" s="379"/>
      <c r="F37" s="379"/>
      <c r="G37" s="379"/>
    </row>
    <row r="38" spans="1:14" s="382" customFormat="1" ht="13.8" x14ac:dyDescent="0.3">
      <c r="A38" s="380" t="s">
        <v>891</v>
      </c>
      <c r="B38" s="381"/>
      <c r="C38" s="381"/>
      <c r="D38" s="381"/>
      <c r="E38" s="381"/>
      <c r="F38" s="381"/>
      <c r="G38" s="381"/>
    </row>
  </sheetData>
  <mergeCells count="10">
    <mergeCell ref="A2:G2"/>
    <mergeCell ref="G4:G5"/>
    <mergeCell ref="H4:H5"/>
    <mergeCell ref="I4:I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3FAC8-6E7F-42B9-8EB3-49F8281120C5}">
  <dimension ref="A1:K82"/>
  <sheetViews>
    <sheetView workbookViewId="0"/>
  </sheetViews>
  <sheetFormatPr baseColWidth="10" defaultColWidth="11.44140625" defaultRowHeight="14.4" x14ac:dyDescent="0.3"/>
  <cols>
    <col min="1" max="1" width="12.109375" style="393" customWidth="1"/>
    <col min="2" max="7" width="14.6640625" style="366" customWidth="1"/>
    <col min="8" max="8" width="3" style="366" customWidth="1"/>
    <col min="9" max="9" width="9.109375" style="366" customWidth="1"/>
    <col min="10" max="10" width="9.44140625" style="366" customWidth="1"/>
    <col min="11" max="11" width="7.6640625" style="366" customWidth="1"/>
    <col min="12" max="13" width="9.33203125" style="366" customWidth="1"/>
    <col min="14" max="14" width="11.6640625" style="366" customWidth="1"/>
    <col min="15" max="15" width="9" style="366" customWidth="1"/>
    <col min="16" max="16" width="9.88671875" style="366" customWidth="1"/>
    <col min="17" max="17" width="10" style="366" customWidth="1"/>
    <col min="18" max="18" width="8" style="366" customWidth="1"/>
    <col min="19" max="16384" width="11.44140625" style="366"/>
  </cols>
  <sheetData>
    <row r="1" spans="1:9" ht="18" x14ac:dyDescent="0.3">
      <c r="A1" s="229" t="s">
        <v>895</v>
      </c>
    </row>
    <row r="2" spans="1:9" s="383" customFormat="1" ht="55.5" customHeight="1" x14ac:dyDescent="0.3">
      <c r="A2" s="501" t="s">
        <v>893</v>
      </c>
      <c r="B2" s="501"/>
      <c r="C2" s="501"/>
      <c r="D2" s="501"/>
      <c r="E2" s="501"/>
      <c r="F2" s="501"/>
      <c r="G2" s="501"/>
    </row>
    <row r="3" spans="1:9" x14ac:dyDescent="0.3">
      <c r="A3" s="502"/>
      <c r="B3" s="502"/>
      <c r="C3" s="502"/>
      <c r="D3" s="502"/>
      <c r="E3" s="502"/>
      <c r="F3" s="502"/>
      <c r="G3" s="502"/>
    </row>
    <row r="4" spans="1:9" s="369" customFormat="1" ht="24.9" customHeight="1" x14ac:dyDescent="0.3">
      <c r="A4" s="493" t="s">
        <v>849</v>
      </c>
      <c r="B4" s="490" t="s">
        <v>883</v>
      </c>
      <c r="C4" s="490" t="s">
        <v>884</v>
      </c>
      <c r="D4" s="490" t="s">
        <v>874</v>
      </c>
      <c r="E4" s="499" t="s">
        <v>894</v>
      </c>
      <c r="F4" s="499" t="s">
        <v>886</v>
      </c>
      <c r="G4" s="490" t="s">
        <v>887</v>
      </c>
      <c r="H4" s="492"/>
      <c r="I4" s="492"/>
    </row>
    <row r="5" spans="1:9" s="369" customFormat="1" ht="18.75" customHeight="1" x14ac:dyDescent="0.3">
      <c r="A5" s="503"/>
      <c r="B5" s="500"/>
      <c r="C5" s="500"/>
      <c r="D5" s="500"/>
      <c r="E5" s="500"/>
      <c r="F5" s="500"/>
      <c r="G5" s="500"/>
      <c r="H5" s="492"/>
      <c r="I5" s="492"/>
    </row>
    <row r="6" spans="1:9" s="369" customFormat="1" ht="3" customHeight="1" x14ac:dyDescent="0.3">
      <c r="A6" s="384"/>
      <c r="B6" s="385"/>
      <c r="C6" s="386"/>
      <c r="D6" s="386"/>
      <c r="E6" s="386"/>
      <c r="F6" s="386"/>
      <c r="G6" s="386"/>
      <c r="H6" s="387"/>
      <c r="I6" s="387"/>
    </row>
    <row r="7" spans="1:9" s="369" customFormat="1" ht="15" customHeight="1" x14ac:dyDescent="0.3">
      <c r="A7" s="375">
        <v>1950</v>
      </c>
      <c r="B7" s="374">
        <v>40920</v>
      </c>
      <c r="C7" s="361">
        <v>30156</v>
      </c>
      <c r="D7" s="361">
        <v>3396</v>
      </c>
      <c r="E7" s="361">
        <v>5164</v>
      </c>
      <c r="F7" s="361">
        <v>6185</v>
      </c>
      <c r="G7" s="361">
        <v>3981</v>
      </c>
      <c r="H7" s="388"/>
      <c r="I7" s="388"/>
    </row>
    <row r="8" spans="1:9" s="369" customFormat="1" ht="15" customHeight="1" x14ac:dyDescent="0.3">
      <c r="A8" s="375">
        <v>1951</v>
      </c>
      <c r="B8" s="374">
        <v>44711</v>
      </c>
      <c r="C8" s="361">
        <v>33508</v>
      </c>
      <c r="D8" s="361">
        <v>3493</v>
      </c>
      <c r="E8" s="361">
        <v>7027</v>
      </c>
      <c r="F8" s="361">
        <v>6063</v>
      </c>
      <c r="G8" s="361">
        <v>5380</v>
      </c>
      <c r="H8" s="388"/>
      <c r="I8" s="388"/>
    </row>
    <row r="9" spans="1:9" s="369" customFormat="1" ht="15" customHeight="1" x14ac:dyDescent="0.3">
      <c r="A9" s="375">
        <v>1952</v>
      </c>
      <c r="B9" s="374">
        <v>47347</v>
      </c>
      <c r="C9" s="361">
        <v>34356</v>
      </c>
      <c r="D9" s="361">
        <v>3887</v>
      </c>
      <c r="E9" s="361">
        <v>8105</v>
      </c>
      <c r="F9" s="361">
        <v>6965</v>
      </c>
      <c r="G9" s="361">
        <v>5966</v>
      </c>
      <c r="H9" s="388"/>
      <c r="I9" s="388"/>
    </row>
    <row r="10" spans="1:9" s="369" customFormat="1" ht="15" customHeight="1" x14ac:dyDescent="0.3">
      <c r="A10" s="375">
        <v>1953</v>
      </c>
      <c r="B10" s="374">
        <v>50085</v>
      </c>
      <c r="C10" s="361">
        <v>36175</v>
      </c>
      <c r="D10" s="361">
        <v>3966</v>
      </c>
      <c r="E10" s="361">
        <v>8792</v>
      </c>
      <c r="F10" s="361">
        <v>7626</v>
      </c>
      <c r="G10" s="361">
        <v>6474</v>
      </c>
      <c r="H10" s="388"/>
      <c r="I10" s="388"/>
    </row>
    <row r="11" spans="1:9" s="369" customFormat="1" ht="15" customHeight="1" x14ac:dyDescent="0.3">
      <c r="A11" s="375">
        <v>1954</v>
      </c>
      <c r="B11" s="374">
        <v>52762</v>
      </c>
      <c r="C11" s="361">
        <v>38076</v>
      </c>
      <c r="D11" s="361">
        <v>4703</v>
      </c>
      <c r="E11" s="361">
        <v>7522</v>
      </c>
      <c r="F11" s="361">
        <v>8145</v>
      </c>
      <c r="G11" s="361">
        <v>5684</v>
      </c>
      <c r="H11" s="388"/>
      <c r="I11" s="388"/>
    </row>
    <row r="12" spans="1:9" s="369" customFormat="1" ht="15" customHeight="1" x14ac:dyDescent="0.3">
      <c r="A12" s="375">
        <v>1955</v>
      </c>
      <c r="B12" s="374">
        <v>55858</v>
      </c>
      <c r="C12" s="361">
        <v>41149</v>
      </c>
      <c r="D12" s="361">
        <v>4701</v>
      </c>
      <c r="E12" s="361">
        <v>8735</v>
      </c>
      <c r="F12" s="361">
        <v>8548</v>
      </c>
      <c r="G12" s="361">
        <v>7275</v>
      </c>
      <c r="H12" s="388"/>
      <c r="I12" s="388"/>
    </row>
    <row r="13" spans="1:9" s="369" customFormat="1" ht="15" customHeight="1" x14ac:dyDescent="0.3">
      <c r="A13" s="375">
        <v>1956</v>
      </c>
      <c r="B13" s="374">
        <v>58484</v>
      </c>
      <c r="C13" s="361">
        <v>42263</v>
      </c>
      <c r="D13" s="361">
        <v>4976</v>
      </c>
      <c r="E13" s="361">
        <v>10536</v>
      </c>
      <c r="F13" s="361">
        <v>9253</v>
      </c>
      <c r="G13" s="361">
        <v>8544</v>
      </c>
      <c r="H13" s="388"/>
      <c r="I13" s="388"/>
    </row>
    <row r="14" spans="1:9" s="369" customFormat="1" ht="15" customHeight="1" x14ac:dyDescent="0.3">
      <c r="A14" s="375">
        <v>1957</v>
      </c>
      <c r="B14" s="374">
        <v>62371</v>
      </c>
      <c r="C14" s="361">
        <v>44707</v>
      </c>
      <c r="D14" s="361">
        <v>5760</v>
      </c>
      <c r="E14" s="361">
        <v>11776</v>
      </c>
      <c r="F14" s="361">
        <v>9520</v>
      </c>
      <c r="G14" s="361">
        <v>9392</v>
      </c>
      <c r="H14" s="388"/>
      <c r="I14" s="388"/>
    </row>
    <row r="15" spans="1:9" s="369" customFormat="1" ht="15" customHeight="1" x14ac:dyDescent="0.3">
      <c r="A15" s="375">
        <v>1958</v>
      </c>
      <c r="B15" s="374">
        <v>61706</v>
      </c>
      <c r="C15" s="361">
        <v>44274</v>
      </c>
      <c r="D15" s="361">
        <v>5756</v>
      </c>
      <c r="E15" s="361">
        <v>10377</v>
      </c>
      <c r="F15" s="361">
        <v>9587</v>
      </c>
      <c r="G15" s="361">
        <v>8288</v>
      </c>
      <c r="H15" s="388"/>
      <c r="I15" s="388"/>
    </row>
    <row r="16" spans="1:9" s="369" customFormat="1" ht="15" customHeight="1" x14ac:dyDescent="0.3">
      <c r="A16" s="375">
        <v>1959</v>
      </c>
      <c r="B16" s="374">
        <v>63653</v>
      </c>
      <c r="C16" s="361">
        <v>44719</v>
      </c>
      <c r="D16" s="361">
        <v>6449</v>
      </c>
      <c r="E16" s="361">
        <v>8579</v>
      </c>
      <c r="F16" s="361">
        <v>10843</v>
      </c>
      <c r="G16" s="361">
        <v>6937</v>
      </c>
      <c r="H16" s="388"/>
      <c r="I16" s="388"/>
    </row>
    <row r="17" spans="1:9" s="369" customFormat="1" ht="15" customHeight="1" x14ac:dyDescent="0.3">
      <c r="A17" s="375">
        <v>1960</v>
      </c>
      <c r="B17" s="374">
        <v>69946</v>
      </c>
      <c r="C17" s="361">
        <v>46682</v>
      </c>
      <c r="D17" s="361">
        <v>7578</v>
      </c>
      <c r="E17" s="361">
        <v>10046</v>
      </c>
      <c r="F17" s="361">
        <v>13935</v>
      </c>
      <c r="G17" s="361">
        <v>8295</v>
      </c>
      <c r="H17" s="388"/>
      <c r="I17" s="388"/>
    </row>
    <row r="18" spans="1:9" s="369" customFormat="1" ht="15" customHeight="1" x14ac:dyDescent="0.3">
      <c r="A18" s="375">
        <v>1961</v>
      </c>
      <c r="B18" s="374">
        <v>75085</v>
      </c>
      <c r="C18" s="361">
        <v>48688</v>
      </c>
      <c r="D18" s="361">
        <v>8758</v>
      </c>
      <c r="E18" s="361">
        <v>11283</v>
      </c>
      <c r="F18" s="361">
        <v>16444</v>
      </c>
      <c r="G18" s="361">
        <v>10088</v>
      </c>
      <c r="H18" s="388"/>
      <c r="I18" s="388"/>
    </row>
    <row r="19" spans="1:9" s="369" customFormat="1" ht="15" customHeight="1" x14ac:dyDescent="0.3">
      <c r="A19" s="375">
        <v>1962</v>
      </c>
      <c r="B19" s="374">
        <v>82620</v>
      </c>
      <c r="C19" s="361">
        <v>54666</v>
      </c>
      <c r="D19" s="361">
        <v>9200</v>
      </c>
      <c r="E19" s="361">
        <v>12579</v>
      </c>
      <c r="F19" s="361">
        <v>17555</v>
      </c>
      <c r="G19" s="361">
        <v>11380</v>
      </c>
      <c r="H19" s="388"/>
      <c r="I19" s="388"/>
    </row>
    <row r="20" spans="1:9" s="369" customFormat="1" ht="15" customHeight="1" x14ac:dyDescent="0.3">
      <c r="A20" s="375">
        <v>1963</v>
      </c>
      <c r="B20" s="374">
        <v>86196</v>
      </c>
      <c r="C20" s="361">
        <v>59612</v>
      </c>
      <c r="D20" s="361">
        <v>9737</v>
      </c>
      <c r="E20" s="361">
        <v>12193</v>
      </c>
      <c r="F20" s="361">
        <v>17239</v>
      </c>
      <c r="G20" s="361">
        <v>12585</v>
      </c>
      <c r="H20" s="388"/>
      <c r="I20" s="388"/>
    </row>
    <row r="21" spans="1:9" s="369" customFormat="1" ht="15" customHeight="1" x14ac:dyDescent="0.3">
      <c r="A21" s="375">
        <v>1964</v>
      </c>
      <c r="B21" s="374">
        <v>91840</v>
      </c>
      <c r="C21" s="361">
        <v>63353</v>
      </c>
      <c r="D21" s="361">
        <v>10956</v>
      </c>
      <c r="E21" s="361">
        <v>12544</v>
      </c>
      <c r="F21" s="361">
        <v>18428</v>
      </c>
      <c r="G21" s="361">
        <v>13441</v>
      </c>
      <c r="H21" s="388"/>
      <c r="I21" s="388"/>
    </row>
    <row r="22" spans="1:9" s="369" customFormat="1" ht="15" customHeight="1" x14ac:dyDescent="0.3">
      <c r="A22" s="375">
        <v>1965</v>
      </c>
      <c r="B22" s="374">
        <v>97003</v>
      </c>
      <c r="C22" s="361">
        <v>67778</v>
      </c>
      <c r="D22" s="361">
        <v>11698</v>
      </c>
      <c r="E22" s="361">
        <v>14278</v>
      </c>
      <c r="F22" s="361">
        <v>18962</v>
      </c>
      <c r="G22" s="361">
        <v>15713</v>
      </c>
      <c r="H22" s="388"/>
      <c r="I22" s="388"/>
    </row>
    <row r="23" spans="1:9" s="369" customFormat="1" ht="15" customHeight="1" x14ac:dyDescent="0.3">
      <c r="A23" s="375">
        <v>1966</v>
      </c>
      <c r="B23" s="374">
        <v>104995</v>
      </c>
      <c r="C23" s="361">
        <v>74505</v>
      </c>
      <c r="D23" s="361">
        <v>11713</v>
      </c>
      <c r="E23" s="361">
        <v>16737</v>
      </c>
      <c r="F23" s="361">
        <v>19850</v>
      </c>
      <c r="G23" s="361">
        <v>17810</v>
      </c>
      <c r="H23" s="388"/>
      <c r="I23" s="388"/>
    </row>
    <row r="24" spans="1:9" s="369" customFormat="1" ht="15" customHeight="1" x14ac:dyDescent="0.3">
      <c r="A24" s="375">
        <v>1967</v>
      </c>
      <c r="B24" s="374">
        <v>109040</v>
      </c>
      <c r="C24" s="361">
        <v>79682</v>
      </c>
      <c r="D24" s="361">
        <v>12118</v>
      </c>
      <c r="E24" s="361">
        <v>15969</v>
      </c>
      <c r="F24" s="361">
        <v>21019</v>
      </c>
      <c r="G24" s="361">
        <v>19748</v>
      </c>
      <c r="H24" s="388"/>
      <c r="I24" s="388"/>
    </row>
    <row r="25" spans="1:9" s="369" customFormat="1" ht="15" customHeight="1" x14ac:dyDescent="0.3">
      <c r="A25" s="375">
        <v>1968</v>
      </c>
      <c r="B25" s="374">
        <v>109206</v>
      </c>
      <c r="C25" s="361">
        <v>78662</v>
      </c>
      <c r="D25" s="361">
        <v>12893</v>
      </c>
      <c r="E25" s="361">
        <v>12511</v>
      </c>
      <c r="F25" s="361">
        <v>23093</v>
      </c>
      <c r="G25" s="361">
        <v>17953</v>
      </c>
      <c r="H25" s="388"/>
      <c r="I25" s="388"/>
    </row>
    <row r="26" spans="1:9" s="369" customFormat="1" ht="15" customHeight="1" x14ac:dyDescent="0.3">
      <c r="A26" s="375">
        <v>1969</v>
      </c>
      <c r="B26" s="374">
        <v>113044</v>
      </c>
      <c r="C26" s="361">
        <v>81410</v>
      </c>
      <c r="D26" s="361">
        <v>13604</v>
      </c>
      <c r="E26" s="361">
        <v>13188</v>
      </c>
      <c r="F26" s="361">
        <v>22684</v>
      </c>
      <c r="G26" s="361">
        <v>17842</v>
      </c>
      <c r="H26" s="388"/>
      <c r="I26" s="388"/>
    </row>
    <row r="27" spans="1:9" s="369" customFormat="1" ht="15" customHeight="1" x14ac:dyDescent="0.3">
      <c r="A27" s="375">
        <v>1970</v>
      </c>
      <c r="B27" s="374">
        <v>116849</v>
      </c>
      <c r="C27" s="361">
        <v>83297</v>
      </c>
      <c r="D27" s="361">
        <v>14280</v>
      </c>
      <c r="E27" s="361">
        <v>14355</v>
      </c>
      <c r="F27" s="361">
        <v>23981</v>
      </c>
      <c r="G27" s="361">
        <v>19064</v>
      </c>
      <c r="H27" s="388"/>
      <c r="I27" s="388"/>
    </row>
    <row r="28" spans="1:9" s="369" customFormat="1" ht="15" customHeight="1" x14ac:dyDescent="0.3">
      <c r="A28" s="375">
        <v>1971</v>
      </c>
      <c r="B28" s="374">
        <v>122213</v>
      </c>
      <c r="C28" s="361">
        <v>87096</v>
      </c>
      <c r="D28" s="361">
        <v>15264</v>
      </c>
      <c r="E28" s="361">
        <v>16499</v>
      </c>
      <c r="F28" s="361">
        <v>23279</v>
      </c>
      <c r="G28" s="361">
        <v>19925</v>
      </c>
      <c r="H28" s="388"/>
      <c r="I28" s="388"/>
    </row>
    <row r="29" spans="1:9" s="369" customFormat="1" ht="15" customHeight="1" x14ac:dyDescent="0.3">
      <c r="A29" s="375">
        <v>1972</v>
      </c>
      <c r="B29" s="374">
        <v>126463</v>
      </c>
      <c r="C29" s="361">
        <v>89075</v>
      </c>
      <c r="D29" s="361">
        <v>16274</v>
      </c>
      <c r="E29" s="361">
        <v>15542</v>
      </c>
      <c r="F29" s="361">
        <v>25443</v>
      </c>
      <c r="G29" s="361">
        <v>19871</v>
      </c>
      <c r="H29" s="388"/>
      <c r="I29" s="388"/>
    </row>
    <row r="30" spans="1:9" s="369" customFormat="1" ht="15" customHeight="1" x14ac:dyDescent="0.3">
      <c r="A30" s="375">
        <v>1973</v>
      </c>
      <c r="B30" s="374">
        <v>134401</v>
      </c>
      <c r="C30" s="361">
        <v>95745</v>
      </c>
      <c r="D30" s="361">
        <v>17253</v>
      </c>
      <c r="E30" s="361">
        <v>22987</v>
      </c>
      <c r="F30" s="361">
        <v>20733</v>
      </c>
      <c r="G30" s="361">
        <v>22317</v>
      </c>
      <c r="H30" s="388"/>
      <c r="I30" s="388"/>
    </row>
    <row r="31" spans="1:9" s="369" customFormat="1" ht="15" customHeight="1" x14ac:dyDescent="0.3">
      <c r="A31" s="375">
        <v>1974</v>
      </c>
      <c r="B31" s="374">
        <v>147017</v>
      </c>
      <c r="C31" s="361">
        <v>104616</v>
      </c>
      <c r="D31" s="361">
        <v>18290</v>
      </c>
      <c r="E31" s="361">
        <v>30677</v>
      </c>
      <c r="F31" s="361">
        <v>21812</v>
      </c>
      <c r="G31" s="361">
        <v>28378</v>
      </c>
      <c r="H31" s="388"/>
      <c r="I31" s="388"/>
    </row>
    <row r="32" spans="1:9" s="369" customFormat="1" ht="15" customHeight="1" x14ac:dyDescent="0.3">
      <c r="A32" s="375">
        <v>1975</v>
      </c>
      <c r="B32" s="374">
        <v>153340</v>
      </c>
      <c r="C32" s="361">
        <v>108208</v>
      </c>
      <c r="D32" s="361">
        <v>20315</v>
      </c>
      <c r="E32" s="361">
        <v>30070</v>
      </c>
      <c r="F32" s="361">
        <v>22314</v>
      </c>
      <c r="G32" s="361">
        <v>27567</v>
      </c>
      <c r="H32" s="388"/>
      <c r="I32" s="388"/>
    </row>
    <row r="33" spans="1:9" s="369" customFormat="1" ht="15" customHeight="1" x14ac:dyDescent="0.3">
      <c r="A33" s="375">
        <v>1976</v>
      </c>
      <c r="B33" s="374">
        <v>155559</v>
      </c>
      <c r="C33" s="361">
        <v>109208</v>
      </c>
      <c r="D33" s="361">
        <v>21292</v>
      </c>
      <c r="E33" s="361">
        <v>26073</v>
      </c>
      <c r="F33" s="361">
        <v>23080</v>
      </c>
      <c r="G33" s="361">
        <v>24094</v>
      </c>
      <c r="H33" s="388"/>
      <c r="I33" s="388"/>
    </row>
    <row r="34" spans="1:9" s="369" customFormat="1" ht="15" customHeight="1" x14ac:dyDescent="0.3">
      <c r="A34" s="375">
        <v>1977</v>
      </c>
      <c r="B34" s="374">
        <v>156102</v>
      </c>
      <c r="C34" s="361">
        <v>106956</v>
      </c>
      <c r="D34" s="361">
        <v>24362</v>
      </c>
      <c r="E34" s="361">
        <v>22895</v>
      </c>
      <c r="F34" s="361">
        <v>26068</v>
      </c>
      <c r="G34" s="361">
        <v>24179</v>
      </c>
      <c r="H34" s="388"/>
      <c r="I34" s="388"/>
    </row>
    <row r="35" spans="1:9" s="369" customFormat="1" ht="15" customHeight="1" x14ac:dyDescent="0.3">
      <c r="A35" s="375">
        <v>1978</v>
      </c>
      <c r="B35" s="374">
        <v>151977</v>
      </c>
      <c r="C35" s="361">
        <v>98306</v>
      </c>
      <c r="D35" s="361">
        <v>21274</v>
      </c>
      <c r="E35" s="361">
        <v>21242</v>
      </c>
      <c r="F35" s="361">
        <v>29442</v>
      </c>
      <c r="G35" s="361">
        <v>18287</v>
      </c>
      <c r="H35" s="388"/>
      <c r="I35" s="388"/>
    </row>
    <row r="36" spans="1:9" s="369" customFormat="1" ht="15" customHeight="1" x14ac:dyDescent="0.3">
      <c r="A36" s="375">
        <v>1979</v>
      </c>
      <c r="B36" s="374">
        <v>158194</v>
      </c>
      <c r="C36" s="361">
        <v>97732</v>
      </c>
      <c r="D36" s="361">
        <v>19469</v>
      </c>
      <c r="E36" s="361">
        <v>24795</v>
      </c>
      <c r="F36" s="361">
        <v>34347</v>
      </c>
      <c r="G36" s="361">
        <v>18149</v>
      </c>
      <c r="H36" s="388"/>
      <c r="I36" s="388"/>
    </row>
    <row r="37" spans="1:9" s="369" customFormat="1" ht="15" customHeight="1" x14ac:dyDescent="0.3">
      <c r="A37" s="375">
        <v>1980</v>
      </c>
      <c r="B37" s="374">
        <v>167596</v>
      </c>
      <c r="C37" s="361">
        <v>104622</v>
      </c>
      <c r="D37" s="361">
        <v>24185</v>
      </c>
      <c r="E37" s="361">
        <v>33910</v>
      </c>
      <c r="F37" s="361">
        <v>30971</v>
      </c>
      <c r="G37" s="361">
        <v>26092</v>
      </c>
      <c r="H37" s="388"/>
      <c r="I37" s="388"/>
    </row>
    <row r="38" spans="1:9" s="369" customFormat="1" ht="15" customHeight="1" x14ac:dyDescent="0.3">
      <c r="A38" s="375">
        <v>1981</v>
      </c>
      <c r="B38" s="374">
        <v>176901</v>
      </c>
      <c r="C38" s="361">
        <v>112440</v>
      </c>
      <c r="D38" s="361">
        <v>23736</v>
      </c>
      <c r="E38" s="361">
        <v>41432</v>
      </c>
      <c r="F38" s="361">
        <v>30173</v>
      </c>
      <c r="G38" s="361">
        <v>30880</v>
      </c>
      <c r="H38" s="388"/>
      <c r="I38" s="388"/>
    </row>
    <row r="39" spans="1:9" s="369" customFormat="1" ht="15" customHeight="1" x14ac:dyDescent="0.3">
      <c r="A39" s="375">
        <v>1982</v>
      </c>
      <c r="B39" s="374">
        <v>176507</v>
      </c>
      <c r="C39" s="361">
        <v>109726</v>
      </c>
      <c r="D39" s="361">
        <v>25954</v>
      </c>
      <c r="E39" s="361">
        <v>38621</v>
      </c>
      <c r="F39" s="361">
        <v>33166</v>
      </c>
      <c r="G39" s="361">
        <v>30960</v>
      </c>
      <c r="H39" s="388"/>
      <c r="I39" s="388"/>
    </row>
    <row r="40" spans="1:9" s="369" customFormat="1" ht="15" customHeight="1" x14ac:dyDescent="0.3">
      <c r="A40" s="375">
        <v>1983</v>
      </c>
      <c r="B40" s="374">
        <v>158136</v>
      </c>
      <c r="C40" s="361">
        <v>103589</v>
      </c>
      <c r="D40" s="361">
        <v>23837</v>
      </c>
      <c r="E40" s="361">
        <v>24980</v>
      </c>
      <c r="F40" s="361">
        <v>29360</v>
      </c>
      <c r="G40" s="361">
        <v>23630</v>
      </c>
      <c r="H40" s="388"/>
      <c r="I40" s="388"/>
    </row>
    <row r="41" spans="1:9" s="369" customFormat="1" ht="15" customHeight="1" x14ac:dyDescent="0.3">
      <c r="A41" s="375">
        <v>1984</v>
      </c>
      <c r="B41" s="374">
        <v>163842</v>
      </c>
      <c r="C41" s="361">
        <v>106445</v>
      </c>
      <c r="D41" s="361">
        <v>22270</v>
      </c>
      <c r="E41" s="361">
        <v>23483</v>
      </c>
      <c r="F41" s="361">
        <v>31541</v>
      </c>
      <c r="G41" s="361">
        <v>19897</v>
      </c>
      <c r="H41" s="388"/>
      <c r="I41" s="388"/>
    </row>
    <row r="42" spans="1:9" s="369" customFormat="1" ht="15" customHeight="1" x14ac:dyDescent="0.3">
      <c r="A42" s="375">
        <v>1985</v>
      </c>
      <c r="B42" s="374">
        <v>167219</v>
      </c>
      <c r="C42" s="361">
        <v>108307</v>
      </c>
      <c r="D42" s="361">
        <v>23252</v>
      </c>
      <c r="E42" s="361">
        <v>20049</v>
      </c>
      <c r="F42" s="361">
        <v>32835</v>
      </c>
      <c r="G42" s="361">
        <v>17224</v>
      </c>
      <c r="H42" s="388"/>
      <c r="I42" s="388"/>
    </row>
    <row r="43" spans="1:9" s="369" customFormat="1" ht="15" customHeight="1" x14ac:dyDescent="0.3">
      <c r="A43" s="375">
        <v>1986</v>
      </c>
      <c r="B43" s="374">
        <v>182981</v>
      </c>
      <c r="C43" s="361">
        <v>124563</v>
      </c>
      <c r="D43" s="361">
        <v>25101</v>
      </c>
      <c r="E43" s="361">
        <v>26022</v>
      </c>
      <c r="F43" s="361">
        <v>28455</v>
      </c>
      <c r="G43" s="361">
        <v>21160</v>
      </c>
      <c r="H43" s="388"/>
      <c r="I43" s="388"/>
    </row>
    <row r="44" spans="1:9" s="369" customFormat="1" ht="15" customHeight="1" x14ac:dyDescent="0.3">
      <c r="A44" s="375">
        <v>1987</v>
      </c>
      <c r="B44" s="374">
        <v>200778</v>
      </c>
      <c r="C44" s="361">
        <v>138641</v>
      </c>
      <c r="D44" s="361">
        <v>26538</v>
      </c>
      <c r="E44" s="361">
        <v>31871</v>
      </c>
      <c r="F44" s="361">
        <v>27437</v>
      </c>
      <c r="G44" s="361">
        <v>23709</v>
      </c>
      <c r="H44" s="388"/>
      <c r="I44" s="388"/>
    </row>
    <row r="45" spans="1:9" s="369" customFormat="1" ht="15" customHeight="1" x14ac:dyDescent="0.3">
      <c r="A45" s="375">
        <v>1988</v>
      </c>
      <c r="B45" s="374">
        <v>181822</v>
      </c>
      <c r="C45" s="361">
        <v>127082</v>
      </c>
      <c r="D45" s="361">
        <v>22354</v>
      </c>
      <c r="E45" s="361">
        <v>28057</v>
      </c>
      <c r="F45" s="361">
        <v>25607</v>
      </c>
      <c r="G45" s="361">
        <v>21278</v>
      </c>
      <c r="H45" s="388"/>
      <c r="I45" s="388"/>
    </row>
    <row r="46" spans="1:9" s="369" customFormat="1" ht="15" customHeight="1" x14ac:dyDescent="0.3">
      <c r="A46" s="375">
        <v>1989</v>
      </c>
      <c r="B46" s="374">
        <v>159436</v>
      </c>
      <c r="C46" s="361">
        <v>106319</v>
      </c>
      <c r="D46" s="361">
        <v>18091</v>
      </c>
      <c r="E46" s="361">
        <v>22100</v>
      </c>
      <c r="F46" s="361">
        <v>30425</v>
      </c>
      <c r="G46" s="361">
        <v>17499</v>
      </c>
      <c r="H46" s="388"/>
      <c r="I46" s="388"/>
    </row>
    <row r="47" spans="1:9" s="369" customFormat="1" ht="15" customHeight="1" x14ac:dyDescent="0.3">
      <c r="A47" s="375">
        <v>1990</v>
      </c>
      <c r="B47" s="374">
        <v>151492</v>
      </c>
      <c r="C47" s="361">
        <v>105735</v>
      </c>
      <c r="D47" s="361">
        <v>16249</v>
      </c>
      <c r="E47" s="361">
        <v>22232</v>
      </c>
      <c r="F47" s="361">
        <v>26872</v>
      </c>
      <c r="G47" s="361">
        <v>19596</v>
      </c>
      <c r="H47" s="388"/>
      <c r="I47" s="388"/>
    </row>
    <row r="48" spans="1:9" s="369" customFormat="1" ht="15" customHeight="1" x14ac:dyDescent="0.3">
      <c r="A48" s="375">
        <v>1991</v>
      </c>
      <c r="B48" s="374">
        <v>154854</v>
      </c>
      <c r="C48" s="361">
        <v>109665</v>
      </c>
      <c r="D48" s="361">
        <v>16568</v>
      </c>
      <c r="E48" s="361">
        <v>23167</v>
      </c>
      <c r="F48" s="361">
        <v>28424</v>
      </c>
      <c r="G48" s="361">
        <v>22970</v>
      </c>
      <c r="H48" s="388"/>
      <c r="I48" s="388"/>
    </row>
    <row r="49" spans="1:11" s="369" customFormat="1" ht="15" customHeight="1" x14ac:dyDescent="0.3">
      <c r="A49" s="375">
        <v>1992</v>
      </c>
      <c r="B49" s="374">
        <v>154017</v>
      </c>
      <c r="C49" s="361">
        <v>108852</v>
      </c>
      <c r="D49" s="361">
        <v>17037</v>
      </c>
      <c r="E49" s="361">
        <v>23461</v>
      </c>
      <c r="F49" s="361">
        <v>29666</v>
      </c>
      <c r="G49" s="361">
        <v>24999</v>
      </c>
      <c r="H49" s="388"/>
      <c r="I49" s="388"/>
    </row>
    <row r="50" spans="1:11" s="369" customFormat="1" ht="15" customHeight="1" x14ac:dyDescent="0.3">
      <c r="A50" s="375">
        <v>1993</v>
      </c>
      <c r="B50" s="374">
        <v>162093</v>
      </c>
      <c r="C50" s="361">
        <v>113680</v>
      </c>
      <c r="D50" s="361">
        <v>17563</v>
      </c>
      <c r="E50" s="361">
        <v>26210</v>
      </c>
      <c r="F50" s="361">
        <v>30588</v>
      </c>
      <c r="G50" s="361">
        <v>25948</v>
      </c>
      <c r="H50" s="388"/>
      <c r="I50" s="388"/>
    </row>
    <row r="51" spans="1:11" s="369" customFormat="1" ht="15" customHeight="1" x14ac:dyDescent="0.3">
      <c r="A51" s="375">
        <v>1994</v>
      </c>
      <c r="B51" s="374">
        <v>182044</v>
      </c>
      <c r="C51" s="361">
        <v>124433</v>
      </c>
      <c r="D51" s="361">
        <v>19086</v>
      </c>
      <c r="E51" s="361">
        <v>34865</v>
      </c>
      <c r="F51" s="361">
        <v>36520</v>
      </c>
      <c r="G51" s="361">
        <v>32860</v>
      </c>
      <c r="H51" s="388"/>
      <c r="I51" s="388"/>
      <c r="K51" s="389"/>
    </row>
    <row r="52" spans="1:11" s="369" customFormat="1" ht="15" customHeight="1" x14ac:dyDescent="0.3">
      <c r="A52" s="375">
        <v>1995</v>
      </c>
      <c r="B52" s="374">
        <v>195536</v>
      </c>
      <c r="C52" s="361">
        <v>136275</v>
      </c>
      <c r="D52" s="361">
        <v>20708</v>
      </c>
      <c r="E52" s="361">
        <v>41789</v>
      </c>
      <c r="F52" s="361">
        <v>38529</v>
      </c>
      <c r="G52" s="361">
        <v>41765</v>
      </c>
      <c r="H52" s="388"/>
      <c r="I52" s="388"/>
      <c r="K52" s="389"/>
    </row>
    <row r="53" spans="1:11" s="369" customFormat="1" ht="15" customHeight="1" x14ac:dyDescent="0.3">
      <c r="A53" s="375">
        <v>1996</v>
      </c>
      <c r="B53" s="374">
        <v>201009</v>
      </c>
      <c r="C53" s="361">
        <v>139501</v>
      </c>
      <c r="D53" s="361">
        <v>21619</v>
      </c>
      <c r="E53" s="361">
        <v>39738</v>
      </c>
      <c r="F53" s="361">
        <v>41958</v>
      </c>
      <c r="G53" s="361">
        <v>41807</v>
      </c>
      <c r="H53" s="388"/>
      <c r="I53" s="388"/>
      <c r="K53" s="389"/>
    </row>
    <row r="54" spans="1:11" s="369" customFormat="1" ht="15" customHeight="1" x14ac:dyDescent="0.3">
      <c r="A54" s="375">
        <v>1997</v>
      </c>
      <c r="B54" s="374">
        <v>214028</v>
      </c>
      <c r="C54" s="361">
        <v>144555</v>
      </c>
      <c r="D54" s="361">
        <v>23262</v>
      </c>
      <c r="E54" s="361">
        <v>45665</v>
      </c>
      <c r="F54" s="361">
        <v>47454</v>
      </c>
      <c r="G54" s="361">
        <v>46908</v>
      </c>
      <c r="H54" s="388"/>
      <c r="I54" s="388"/>
      <c r="K54" s="389"/>
    </row>
    <row r="55" spans="1:11" s="369" customFormat="1" ht="15" customHeight="1" x14ac:dyDescent="0.3">
      <c r="A55" s="375">
        <v>1998</v>
      </c>
      <c r="B55" s="374">
        <v>213190</v>
      </c>
      <c r="C55" s="361">
        <v>141698</v>
      </c>
      <c r="D55" s="361">
        <v>23844</v>
      </c>
      <c r="E55" s="361">
        <v>44724</v>
      </c>
      <c r="F55" s="361">
        <v>50511</v>
      </c>
      <c r="G55" s="361">
        <v>47587</v>
      </c>
      <c r="H55" s="388"/>
      <c r="I55" s="388"/>
      <c r="K55" s="389"/>
    </row>
    <row r="56" spans="1:11" s="369" customFormat="1" ht="15" customHeight="1" x14ac:dyDescent="0.3">
      <c r="A56" s="375">
        <v>1999</v>
      </c>
      <c r="B56" s="374">
        <v>216377</v>
      </c>
      <c r="C56" s="361">
        <v>139666</v>
      </c>
      <c r="D56" s="361">
        <v>24679</v>
      </c>
      <c r="E56" s="361">
        <v>38706</v>
      </c>
      <c r="F56" s="361">
        <v>54019</v>
      </c>
      <c r="G56" s="361">
        <v>40693</v>
      </c>
      <c r="H56" s="388"/>
      <c r="I56" s="388"/>
      <c r="K56" s="389"/>
    </row>
    <row r="57" spans="1:11" s="369" customFormat="1" ht="15" customHeight="1" x14ac:dyDescent="0.3">
      <c r="A57" s="375">
        <v>2000</v>
      </c>
      <c r="B57" s="374">
        <v>222207</v>
      </c>
      <c r="C57" s="361">
        <v>143191</v>
      </c>
      <c r="D57" s="361">
        <v>25444</v>
      </c>
      <c r="E57" s="361">
        <v>37579</v>
      </c>
      <c r="F57" s="361">
        <v>58232</v>
      </c>
      <c r="G57" s="361">
        <v>42239</v>
      </c>
      <c r="H57" s="388"/>
      <c r="I57" s="388"/>
      <c r="K57" s="389"/>
    </row>
    <row r="58" spans="1:11" s="369" customFormat="1" ht="15" customHeight="1" x14ac:dyDescent="0.3">
      <c r="A58" s="375">
        <v>2001</v>
      </c>
      <c r="B58" s="374">
        <v>223580</v>
      </c>
      <c r="C58" s="361">
        <v>144629</v>
      </c>
      <c r="D58" s="361">
        <v>25240</v>
      </c>
      <c r="E58" s="361">
        <v>34983</v>
      </c>
      <c r="F58" s="361">
        <v>62192</v>
      </c>
      <c r="G58" s="361">
        <v>43464</v>
      </c>
      <c r="H58" s="388"/>
      <c r="I58" s="388"/>
      <c r="K58" s="389"/>
    </row>
    <row r="59" spans="1:11" s="369" customFormat="1" ht="15" customHeight="1" x14ac:dyDescent="0.3">
      <c r="A59" s="375">
        <v>2002</v>
      </c>
      <c r="B59" s="374">
        <v>235773</v>
      </c>
      <c r="C59" s="361">
        <v>151674</v>
      </c>
      <c r="D59" s="361">
        <v>25240</v>
      </c>
      <c r="E59" s="361">
        <v>36367</v>
      </c>
      <c r="F59" s="361">
        <v>67056</v>
      </c>
      <c r="G59" s="361">
        <v>44564</v>
      </c>
      <c r="H59" s="388"/>
      <c r="I59" s="388"/>
      <c r="K59" s="389"/>
    </row>
    <row r="60" spans="1:11" s="369" customFormat="1" ht="15" customHeight="1" x14ac:dyDescent="0.3">
      <c r="A60" s="375">
        <v>2003</v>
      </c>
      <c r="B60" s="374">
        <v>245593</v>
      </c>
      <c r="C60" s="361">
        <v>155487</v>
      </c>
      <c r="D60" s="361">
        <v>26224</v>
      </c>
      <c r="E60" s="361">
        <v>38212</v>
      </c>
      <c r="F60" s="361">
        <v>71301</v>
      </c>
      <c r="G60" s="361">
        <v>45631</v>
      </c>
      <c r="H60" s="388"/>
      <c r="I60" s="388"/>
      <c r="K60" s="389"/>
    </row>
    <row r="61" spans="1:11" s="369" customFormat="1" ht="15" customHeight="1" x14ac:dyDescent="0.3">
      <c r="A61" s="375">
        <v>2004</v>
      </c>
      <c r="B61" s="374">
        <v>257770</v>
      </c>
      <c r="C61" s="361">
        <v>160769</v>
      </c>
      <c r="D61" s="361">
        <v>27299</v>
      </c>
      <c r="E61" s="361">
        <v>38288</v>
      </c>
      <c r="F61" s="361">
        <v>81793</v>
      </c>
      <c r="G61" s="361">
        <v>50379</v>
      </c>
      <c r="H61" s="388"/>
      <c r="I61" s="388"/>
      <c r="K61" s="389"/>
    </row>
    <row r="62" spans="1:11" s="369" customFormat="1" ht="15" customHeight="1" x14ac:dyDescent="0.3">
      <c r="A62" s="375">
        <v>2005</v>
      </c>
      <c r="B62" s="374">
        <v>273971</v>
      </c>
      <c r="C62" s="361">
        <v>166654</v>
      </c>
      <c r="D62" s="361">
        <v>29783</v>
      </c>
      <c r="E62" s="361">
        <v>40672</v>
      </c>
      <c r="F62" s="361">
        <v>93376</v>
      </c>
      <c r="G62" s="361">
        <v>56514</v>
      </c>
      <c r="H62" s="388"/>
      <c r="I62" s="388"/>
      <c r="K62" s="389"/>
    </row>
    <row r="63" spans="1:11" s="369" customFormat="1" ht="15" customHeight="1" x14ac:dyDescent="0.3">
      <c r="A63" s="375">
        <v>2006</v>
      </c>
      <c r="B63" s="374">
        <v>294598</v>
      </c>
      <c r="C63" s="361">
        <v>177006</v>
      </c>
      <c r="D63" s="361">
        <v>32046</v>
      </c>
      <c r="E63" s="361">
        <v>54757</v>
      </c>
      <c r="F63" s="361">
        <v>94480</v>
      </c>
      <c r="G63" s="361">
        <v>63691</v>
      </c>
      <c r="H63" s="388"/>
      <c r="I63" s="388"/>
      <c r="K63" s="389"/>
    </row>
    <row r="64" spans="1:11" s="369" customFormat="1" ht="15" customHeight="1" x14ac:dyDescent="0.3">
      <c r="A64" s="394">
        <v>2007</v>
      </c>
      <c r="B64" s="374">
        <v>319693</v>
      </c>
      <c r="C64" s="361">
        <v>192316</v>
      </c>
      <c r="D64" s="395">
        <v>33424</v>
      </c>
      <c r="E64" s="361">
        <v>70436</v>
      </c>
      <c r="F64" s="361">
        <v>100774</v>
      </c>
      <c r="G64" s="361">
        <v>77257</v>
      </c>
      <c r="H64" s="388"/>
      <c r="I64" s="388"/>
      <c r="K64" s="389"/>
    </row>
    <row r="65" spans="1:11" s="369" customFormat="1" ht="15" customHeight="1" x14ac:dyDescent="0.3">
      <c r="A65" s="376">
        <v>2008</v>
      </c>
      <c r="B65" s="374">
        <v>348870</v>
      </c>
      <c r="C65" s="361">
        <v>209428</v>
      </c>
      <c r="D65" s="361">
        <v>35043</v>
      </c>
      <c r="E65" s="361">
        <v>92339</v>
      </c>
      <c r="F65" s="361">
        <v>108616</v>
      </c>
      <c r="G65" s="361">
        <v>96556</v>
      </c>
      <c r="H65" s="388"/>
      <c r="I65" s="388"/>
      <c r="K65" s="389"/>
    </row>
    <row r="66" spans="1:11" s="369" customFormat="1" ht="15" customHeight="1" x14ac:dyDescent="0.3">
      <c r="A66" s="376">
        <v>2009</v>
      </c>
      <c r="B66" s="374">
        <v>352693</v>
      </c>
      <c r="C66" s="361">
        <v>215863</v>
      </c>
      <c r="D66" s="361">
        <v>39272</v>
      </c>
      <c r="E66" s="361">
        <v>73683</v>
      </c>
      <c r="F66" s="361">
        <v>105040</v>
      </c>
      <c r="G66" s="361">
        <v>81165</v>
      </c>
      <c r="H66" s="388"/>
      <c r="I66" s="388"/>
      <c r="K66" s="389"/>
    </row>
    <row r="67" spans="1:11" s="369" customFormat="1" ht="15" customHeight="1" x14ac:dyDescent="0.3">
      <c r="A67" s="376">
        <v>2010</v>
      </c>
      <c r="B67" s="374">
        <v>382081</v>
      </c>
      <c r="C67" s="361">
        <v>235508</v>
      </c>
      <c r="D67" s="361">
        <v>40804</v>
      </c>
      <c r="E67" s="361">
        <v>100073</v>
      </c>
      <c r="F67" s="361">
        <v>108435</v>
      </c>
      <c r="G67" s="361">
        <v>102739</v>
      </c>
      <c r="H67" s="388"/>
      <c r="I67" s="388"/>
      <c r="K67" s="389"/>
    </row>
    <row r="68" spans="1:11" s="369" customFormat="1" ht="15" customHeight="1" x14ac:dyDescent="0.3">
      <c r="A68" s="376">
        <v>2011</v>
      </c>
      <c r="B68" s="374">
        <v>406256</v>
      </c>
      <c r="C68" s="361">
        <v>252468</v>
      </c>
      <c r="D68" s="361">
        <v>43817</v>
      </c>
      <c r="E68" s="361">
        <v>112291</v>
      </c>
      <c r="F68" s="361">
        <v>114387</v>
      </c>
      <c r="G68" s="361">
        <v>116707</v>
      </c>
      <c r="H68" s="388"/>
      <c r="I68" s="388"/>
      <c r="K68" s="389"/>
    </row>
    <row r="69" spans="1:11" s="369" customFormat="1" ht="15" customHeight="1" x14ac:dyDescent="0.3">
      <c r="A69" s="376">
        <v>2012</v>
      </c>
      <c r="B69" s="374">
        <v>431199</v>
      </c>
      <c r="C69" s="361">
        <v>271240</v>
      </c>
      <c r="D69" s="361">
        <v>47442</v>
      </c>
      <c r="E69" s="361">
        <v>122952</v>
      </c>
      <c r="F69" s="361">
        <v>117940</v>
      </c>
      <c r="G69" s="361">
        <v>128375</v>
      </c>
      <c r="H69" s="388"/>
      <c r="I69" s="388"/>
      <c r="K69" s="389"/>
    </row>
    <row r="70" spans="1:11" s="369" customFormat="1" ht="15" customHeight="1" x14ac:dyDescent="0.3">
      <c r="A70" s="376">
        <v>2013</v>
      </c>
      <c r="B70" s="374">
        <v>456435</v>
      </c>
      <c r="C70" s="361">
        <v>286789</v>
      </c>
      <c r="D70" s="361">
        <v>51019</v>
      </c>
      <c r="E70" s="361">
        <v>133408</v>
      </c>
      <c r="F70" s="361">
        <v>117274</v>
      </c>
      <c r="G70" s="361">
        <v>132055</v>
      </c>
      <c r="H70" s="388"/>
      <c r="I70" s="388"/>
      <c r="K70" s="389"/>
    </row>
    <row r="71" spans="1:11" s="369" customFormat="1" ht="15" customHeight="1" x14ac:dyDescent="0.3">
      <c r="A71" s="376">
        <v>2014</v>
      </c>
      <c r="B71" s="374">
        <v>467308</v>
      </c>
      <c r="C71" s="361">
        <v>298901</v>
      </c>
      <c r="D71" s="361">
        <v>54342</v>
      </c>
      <c r="E71" s="361">
        <v>131998</v>
      </c>
      <c r="F71" s="361">
        <v>112814</v>
      </c>
      <c r="G71" s="361">
        <v>130747</v>
      </c>
      <c r="H71" s="388"/>
      <c r="I71" s="388"/>
      <c r="K71" s="389"/>
    </row>
    <row r="72" spans="1:11" s="369" customFormat="1" ht="15" customHeight="1" x14ac:dyDescent="0.3">
      <c r="A72" s="376">
        <v>2015</v>
      </c>
      <c r="B72" s="374">
        <v>482506</v>
      </c>
      <c r="C72" s="361">
        <v>310912</v>
      </c>
      <c r="D72" s="361">
        <v>58712</v>
      </c>
      <c r="E72" s="361">
        <v>127278</v>
      </c>
      <c r="F72" s="361">
        <v>117622</v>
      </c>
      <c r="G72" s="361">
        <v>132018</v>
      </c>
      <c r="H72" s="388"/>
      <c r="I72" s="388"/>
      <c r="K72" s="389"/>
    </row>
    <row r="73" spans="1:11" s="369" customFormat="1" ht="15" customHeight="1" x14ac:dyDescent="0.3">
      <c r="A73" s="376">
        <v>2016</v>
      </c>
      <c r="B73" s="374">
        <v>501581</v>
      </c>
      <c r="C73" s="361">
        <v>322549</v>
      </c>
      <c r="D73" s="361">
        <v>61749</v>
      </c>
      <c r="E73" s="361">
        <v>119929</v>
      </c>
      <c r="F73" s="361">
        <v>131443</v>
      </c>
      <c r="G73" s="361">
        <v>134089</v>
      </c>
      <c r="H73" s="388"/>
      <c r="I73" s="388"/>
      <c r="K73" s="389"/>
    </row>
    <row r="74" spans="1:11" s="369" customFormat="1" ht="15" customHeight="1" x14ac:dyDescent="0.3">
      <c r="A74" s="376">
        <v>2017</v>
      </c>
      <c r="B74" s="374">
        <v>514215</v>
      </c>
      <c r="C74" s="361">
        <v>331078</v>
      </c>
      <c r="D74" s="361">
        <v>63759</v>
      </c>
      <c r="E74" s="361">
        <v>119967</v>
      </c>
      <c r="F74" s="361">
        <v>143019</v>
      </c>
      <c r="G74" s="361">
        <v>143608</v>
      </c>
      <c r="H74" s="388"/>
      <c r="I74" s="388"/>
      <c r="K74" s="389"/>
    </row>
    <row r="75" spans="1:11" s="369" customFormat="1" ht="15" customHeight="1" x14ac:dyDescent="0.3">
      <c r="A75" s="376">
        <v>2018</v>
      </c>
      <c r="B75" s="374">
        <v>534626</v>
      </c>
      <c r="C75" s="361">
        <v>343760</v>
      </c>
      <c r="D75" s="361">
        <v>65492</v>
      </c>
      <c r="E75" s="361">
        <v>126197</v>
      </c>
      <c r="F75" s="361">
        <v>147829</v>
      </c>
      <c r="G75" s="361">
        <v>148652</v>
      </c>
      <c r="H75" s="388"/>
      <c r="I75" s="388"/>
      <c r="K75" s="389"/>
    </row>
    <row r="76" spans="1:11" s="369" customFormat="1" ht="15" customHeight="1" x14ac:dyDescent="0.3">
      <c r="A76" s="376">
        <v>2019</v>
      </c>
      <c r="B76" s="374">
        <v>546605</v>
      </c>
      <c r="C76" s="361">
        <v>354913</v>
      </c>
      <c r="D76" s="361">
        <v>67840</v>
      </c>
      <c r="E76" s="361">
        <v>126654</v>
      </c>
      <c r="F76" s="361">
        <v>148314</v>
      </c>
      <c r="G76" s="361">
        <v>151116</v>
      </c>
      <c r="H76" s="388"/>
      <c r="I76" s="388"/>
      <c r="K76" s="389"/>
    </row>
    <row r="77" spans="1:11" s="369" customFormat="1" ht="15" customHeight="1" x14ac:dyDescent="0.3">
      <c r="A77" s="376">
        <v>2020</v>
      </c>
      <c r="B77" s="374">
        <v>486843</v>
      </c>
      <c r="C77" s="361">
        <v>319919</v>
      </c>
      <c r="D77" s="361">
        <v>73636</v>
      </c>
      <c r="E77" s="361">
        <v>96310</v>
      </c>
      <c r="F77" s="361">
        <v>124596</v>
      </c>
      <c r="G77" s="361">
        <v>127618</v>
      </c>
      <c r="H77" s="388"/>
      <c r="I77" s="388"/>
      <c r="K77" s="389"/>
    </row>
    <row r="78" spans="1:11" s="369" customFormat="1" ht="15" customHeight="1" x14ac:dyDescent="0.3">
      <c r="A78" s="376" t="s">
        <v>888</v>
      </c>
      <c r="B78" s="374">
        <v>551898</v>
      </c>
      <c r="C78" s="361">
        <v>360044</v>
      </c>
      <c r="D78" s="361">
        <v>77353</v>
      </c>
      <c r="E78" s="361">
        <v>132119</v>
      </c>
      <c r="F78" s="361">
        <v>142367</v>
      </c>
      <c r="G78" s="361">
        <v>159985</v>
      </c>
      <c r="H78" s="388"/>
      <c r="I78" s="388"/>
      <c r="K78" s="389"/>
    </row>
    <row r="79" spans="1:11" s="369" customFormat="1" ht="15" customHeight="1" x14ac:dyDescent="0.3">
      <c r="A79" s="376" t="s">
        <v>889</v>
      </c>
      <c r="B79" s="374">
        <v>567401</v>
      </c>
      <c r="C79" s="361">
        <v>372821</v>
      </c>
      <c r="D79" s="361">
        <v>77199</v>
      </c>
      <c r="E79" s="361">
        <v>134387</v>
      </c>
      <c r="F79" s="361">
        <v>148688</v>
      </c>
      <c r="G79" s="361">
        <v>165694</v>
      </c>
      <c r="H79" s="388"/>
      <c r="I79" s="388"/>
      <c r="K79" s="389"/>
    </row>
    <row r="80" spans="1:11" s="369" customFormat="1" ht="15" customHeight="1" x14ac:dyDescent="0.3">
      <c r="A80" s="376" t="s">
        <v>890</v>
      </c>
      <c r="B80" s="374">
        <v>565113</v>
      </c>
      <c r="C80" s="361">
        <v>373034</v>
      </c>
      <c r="D80" s="361">
        <v>79902</v>
      </c>
      <c r="E80" s="361">
        <v>120758</v>
      </c>
      <c r="F80" s="361">
        <v>154374</v>
      </c>
      <c r="G80" s="361">
        <v>162955</v>
      </c>
      <c r="H80" s="388"/>
      <c r="I80" s="388"/>
      <c r="K80" s="389"/>
    </row>
    <row r="81" spans="1:7" ht="3" customHeight="1" x14ac:dyDescent="0.3">
      <c r="A81" s="377"/>
      <c r="B81" s="390"/>
      <c r="C81" s="391"/>
      <c r="D81" s="391"/>
      <c r="E81" s="391"/>
      <c r="F81" s="391"/>
      <c r="G81" s="391"/>
    </row>
    <row r="82" spans="1:7" s="382" customFormat="1" ht="15" customHeight="1" x14ac:dyDescent="0.3">
      <c r="A82" s="380" t="s">
        <v>891</v>
      </c>
      <c r="B82" s="392"/>
      <c r="C82" s="392"/>
      <c r="D82" s="392"/>
      <c r="E82" s="392"/>
      <c r="F82" s="392"/>
      <c r="G82" s="392"/>
    </row>
  </sheetData>
  <mergeCells count="11">
    <mergeCell ref="H4:H5"/>
    <mergeCell ref="I4:I5"/>
    <mergeCell ref="A2:G2"/>
    <mergeCell ref="A3:G3"/>
    <mergeCell ref="A4:A5"/>
    <mergeCell ref="B4:B5"/>
    <mergeCell ref="C4:C5"/>
    <mergeCell ref="D4:D5"/>
    <mergeCell ref="E4:E5"/>
    <mergeCell ref="F4:F5"/>
    <mergeCell ref="G4:G5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856C2-1B2C-4696-AF92-2E171BB5B608}">
  <dimension ref="B1:K9"/>
  <sheetViews>
    <sheetView showGridLines="0" workbookViewId="0">
      <selection activeCell="B3" sqref="B3:J13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x14ac:dyDescent="0.4">
      <c r="B1" s="403" t="s">
        <v>902</v>
      </c>
      <c r="C1" s="403"/>
      <c r="D1" s="403"/>
      <c r="E1" s="403"/>
      <c r="F1" s="403"/>
      <c r="G1" s="403"/>
      <c r="H1" s="403"/>
      <c r="I1" s="403"/>
    </row>
    <row r="2" spans="2:11" ht="15" thickBot="1" x14ac:dyDescent="0.35">
      <c r="B2" s="339"/>
      <c r="C2" s="339"/>
      <c r="D2" s="339"/>
      <c r="E2" s="339"/>
      <c r="F2" s="339"/>
      <c r="G2" s="339"/>
      <c r="H2" s="339"/>
      <c r="I2" s="339"/>
      <c r="J2" s="339"/>
    </row>
    <row r="3" spans="2:11" ht="19.2" customHeight="1" x14ac:dyDescent="0.3">
      <c r="B3" s="505" t="s">
        <v>903</v>
      </c>
      <c r="C3" s="505" t="s">
        <v>2</v>
      </c>
      <c r="D3" s="505"/>
      <c r="E3" s="505"/>
      <c r="F3" s="505"/>
      <c r="G3" s="505"/>
      <c r="H3" s="505"/>
      <c r="I3" s="507" t="s">
        <v>904</v>
      </c>
      <c r="J3" s="507"/>
      <c r="K3" s="399"/>
    </row>
    <row r="4" spans="2:11" ht="16.8" customHeight="1" thickBot="1" x14ac:dyDescent="0.35">
      <c r="B4" s="506"/>
      <c r="C4" s="506"/>
      <c r="D4" s="506"/>
      <c r="E4" s="506"/>
      <c r="F4" s="506"/>
      <c r="G4" s="506"/>
      <c r="H4" s="506"/>
      <c r="I4" s="400" t="s">
        <v>906</v>
      </c>
      <c r="J4" s="400" t="s">
        <v>905</v>
      </c>
      <c r="K4" s="399"/>
    </row>
    <row r="5" spans="2:11" ht="21" customHeight="1" x14ac:dyDescent="0.3">
      <c r="B5" s="402" t="s">
        <v>907</v>
      </c>
      <c r="C5" s="508" t="s">
        <v>912</v>
      </c>
      <c r="D5" s="508"/>
      <c r="E5" s="508"/>
      <c r="F5" s="508"/>
      <c r="G5" s="508"/>
      <c r="H5" s="508"/>
      <c r="I5" s="401" t="s">
        <v>916</v>
      </c>
      <c r="J5" s="401" t="s">
        <v>917</v>
      </c>
    </row>
    <row r="6" spans="2:11" ht="21" customHeight="1" x14ac:dyDescent="0.3">
      <c r="B6" s="402" t="s">
        <v>908</v>
      </c>
      <c r="C6" s="504" t="s">
        <v>914</v>
      </c>
      <c r="D6" s="504"/>
      <c r="E6" s="504"/>
      <c r="F6" s="504"/>
      <c r="G6" s="504"/>
      <c r="H6" s="504"/>
      <c r="I6" s="401" t="s">
        <v>918</v>
      </c>
      <c r="J6" s="401" t="s">
        <v>919</v>
      </c>
    </row>
    <row r="7" spans="2:11" ht="21" customHeight="1" x14ac:dyDescent="0.3">
      <c r="B7" s="402" t="s">
        <v>909</v>
      </c>
      <c r="C7" s="504" t="s">
        <v>915</v>
      </c>
      <c r="D7" s="504"/>
      <c r="E7" s="504"/>
      <c r="F7" s="504"/>
      <c r="G7" s="504"/>
      <c r="H7" s="504"/>
      <c r="I7" s="401" t="s">
        <v>920</v>
      </c>
      <c r="J7" s="401" t="s">
        <v>921</v>
      </c>
    </row>
    <row r="8" spans="2:11" ht="21" customHeight="1" x14ac:dyDescent="0.3">
      <c r="B8" s="402" t="s">
        <v>910</v>
      </c>
      <c r="C8" s="504" t="s">
        <v>913</v>
      </c>
      <c r="D8" s="504"/>
      <c r="E8" s="504"/>
      <c r="F8" s="504"/>
      <c r="G8" s="504"/>
      <c r="H8" s="504"/>
      <c r="I8" s="401" t="s">
        <v>922</v>
      </c>
      <c r="J8" s="401" t="s">
        <v>923</v>
      </c>
    </row>
    <row r="9" spans="2:11" ht="21" customHeight="1" x14ac:dyDescent="0.3">
      <c r="B9" s="402" t="s">
        <v>911</v>
      </c>
      <c r="C9" s="504" t="s">
        <v>12</v>
      </c>
      <c r="D9" s="504"/>
      <c r="E9" s="504"/>
      <c r="F9" s="504"/>
      <c r="G9" s="504"/>
      <c r="H9" s="504"/>
      <c r="I9" s="401" t="s">
        <v>924</v>
      </c>
      <c r="J9" s="401" t="s">
        <v>925</v>
      </c>
    </row>
  </sheetData>
  <mergeCells count="8">
    <mergeCell ref="C9:H9"/>
    <mergeCell ref="B3:B4"/>
    <mergeCell ref="C3:H4"/>
    <mergeCell ref="I3:J3"/>
    <mergeCell ref="C5:H5"/>
    <mergeCell ref="C6:H6"/>
    <mergeCell ref="C7:H7"/>
    <mergeCell ref="C8:H8"/>
  </mergeCells>
  <phoneticPr fontId="38" type="noConversion"/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13161-D72B-4282-BDF7-B6CBE6DFA8C3}">
  <dimension ref="B1:K10"/>
  <sheetViews>
    <sheetView showGridLines="0" workbookViewId="0">
      <selection activeCell="B1" sqref="B1:J10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customHeight="1" x14ac:dyDescent="0.3">
      <c r="B1" s="509" t="s">
        <v>931</v>
      </c>
      <c r="C1" s="509"/>
      <c r="D1" s="509"/>
      <c r="E1" s="509"/>
      <c r="F1" s="509"/>
      <c r="G1" s="509"/>
      <c r="H1" s="509"/>
      <c r="I1" s="509"/>
      <c r="J1" s="509"/>
    </row>
    <row r="2" spans="2:11" ht="21" customHeight="1" x14ac:dyDescent="0.3">
      <c r="B2" s="509"/>
      <c r="C2" s="509"/>
      <c r="D2" s="509"/>
      <c r="E2" s="509"/>
      <c r="F2" s="509"/>
      <c r="G2" s="509"/>
      <c r="H2" s="509"/>
      <c r="I2" s="509"/>
      <c r="J2" s="509"/>
    </row>
    <row r="3" spans="2:11" ht="15" thickBot="1" x14ac:dyDescent="0.35">
      <c r="B3" s="339"/>
      <c r="C3" s="339"/>
      <c r="D3" s="339"/>
      <c r="E3" s="339"/>
      <c r="F3" s="339"/>
      <c r="G3" s="339"/>
      <c r="H3" s="339"/>
      <c r="I3" s="339"/>
      <c r="J3" s="339"/>
    </row>
    <row r="4" spans="2:11" ht="19.2" customHeight="1" x14ac:dyDescent="0.3">
      <c r="B4" s="505" t="s">
        <v>903</v>
      </c>
      <c r="C4" s="505" t="s">
        <v>2</v>
      </c>
      <c r="D4" s="505"/>
      <c r="E4" s="505"/>
      <c r="F4" s="505"/>
      <c r="G4" s="505"/>
      <c r="H4" s="505"/>
      <c r="I4" s="507" t="s">
        <v>904</v>
      </c>
      <c r="J4" s="507"/>
      <c r="K4" s="399"/>
    </row>
    <row r="5" spans="2:11" ht="16.8" customHeight="1" thickBot="1" x14ac:dyDescent="0.35">
      <c r="B5" s="506"/>
      <c r="C5" s="506"/>
      <c r="D5" s="506"/>
      <c r="E5" s="506"/>
      <c r="F5" s="506"/>
      <c r="G5" s="506"/>
      <c r="H5" s="506"/>
      <c r="I5" s="400" t="s">
        <v>906</v>
      </c>
      <c r="J5" s="400" t="s">
        <v>905</v>
      </c>
      <c r="K5" s="399"/>
    </row>
    <row r="6" spans="2:11" ht="21" customHeight="1" x14ac:dyDescent="0.3">
      <c r="B6" s="402" t="s">
        <v>907</v>
      </c>
      <c r="C6" s="508" t="s">
        <v>932</v>
      </c>
      <c r="D6" s="508"/>
      <c r="E6" s="508"/>
      <c r="F6" s="508"/>
      <c r="G6" s="508"/>
      <c r="H6" s="508"/>
      <c r="I6" s="401">
        <v>13.7</v>
      </c>
      <c r="J6" s="401">
        <v>17.100000000000001</v>
      </c>
    </row>
    <row r="7" spans="2:11" ht="21" customHeight="1" x14ac:dyDescent="0.3">
      <c r="B7" s="402" t="s">
        <v>908</v>
      </c>
      <c r="C7" s="504" t="s">
        <v>933</v>
      </c>
      <c r="D7" s="504"/>
      <c r="E7" s="504"/>
      <c r="F7" s="504"/>
      <c r="G7" s="504"/>
      <c r="H7" s="504"/>
      <c r="I7" s="401">
        <v>7.8</v>
      </c>
      <c r="J7" s="401">
        <v>10.5</v>
      </c>
    </row>
    <row r="8" spans="2:11" ht="21" customHeight="1" x14ac:dyDescent="0.3">
      <c r="B8" s="402" t="s">
        <v>909</v>
      </c>
      <c r="C8" s="504" t="s">
        <v>934</v>
      </c>
      <c r="D8" s="504"/>
      <c r="E8" s="504"/>
      <c r="F8" s="504"/>
      <c r="G8" s="504"/>
      <c r="H8" s="504"/>
      <c r="I8" s="401">
        <v>3.9</v>
      </c>
      <c r="J8" s="401">
        <v>5.2</v>
      </c>
    </row>
    <row r="9" spans="2:11" ht="21" customHeight="1" x14ac:dyDescent="0.3">
      <c r="B9" s="402" t="s">
        <v>910</v>
      </c>
      <c r="C9" s="504" t="s">
        <v>935</v>
      </c>
      <c r="D9" s="504"/>
      <c r="E9" s="504"/>
      <c r="F9" s="504"/>
      <c r="G9" s="504"/>
      <c r="H9" s="504"/>
      <c r="I9" s="401">
        <v>2.2999999999999998</v>
      </c>
      <c r="J9" s="401">
        <v>3.7</v>
      </c>
    </row>
    <row r="10" spans="2:11" ht="21" customHeight="1" x14ac:dyDescent="0.3">
      <c r="B10" s="402" t="s">
        <v>911</v>
      </c>
      <c r="C10" s="504" t="s">
        <v>936</v>
      </c>
      <c r="D10" s="504"/>
      <c r="E10" s="504"/>
      <c r="F10" s="504"/>
      <c r="G10" s="504"/>
      <c r="H10" s="504"/>
      <c r="I10" s="401">
        <v>0.1</v>
      </c>
      <c r="J10" s="401">
        <v>0.9</v>
      </c>
    </row>
  </sheetData>
  <mergeCells count="9">
    <mergeCell ref="C9:H9"/>
    <mergeCell ref="C10:H10"/>
    <mergeCell ref="B1:J2"/>
    <mergeCell ref="B4:B5"/>
    <mergeCell ref="C4:H5"/>
    <mergeCell ref="I4:J4"/>
    <mergeCell ref="C6:H6"/>
    <mergeCell ref="C7:H7"/>
    <mergeCell ref="C8:H8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176C-2038-4702-887F-50DE2550BE53}">
  <dimension ref="A1:L22"/>
  <sheetViews>
    <sheetView workbookViewId="0">
      <selection activeCell="A2" sqref="A2"/>
    </sheetView>
  </sheetViews>
  <sheetFormatPr baseColWidth="10" defaultRowHeight="14.4" x14ac:dyDescent="0.3"/>
  <cols>
    <col min="2" max="2" width="21.5546875" customWidth="1"/>
    <col min="3" max="3" width="26.21875" customWidth="1"/>
    <col min="4" max="4" width="31.109375" customWidth="1"/>
    <col min="5" max="5" width="32" customWidth="1"/>
    <col min="9" max="9" width="14.5546875" customWidth="1"/>
  </cols>
  <sheetData>
    <row r="1" spans="1:12" ht="18" x14ac:dyDescent="0.3">
      <c r="A1" s="229" t="s">
        <v>900</v>
      </c>
    </row>
    <row r="2" spans="1:12" ht="18" x14ac:dyDescent="0.3">
      <c r="A2" s="304" t="s">
        <v>926</v>
      </c>
    </row>
    <row r="3" spans="1:12" x14ac:dyDescent="0.3">
      <c r="A3" s="231" t="s">
        <v>901</v>
      </c>
      <c r="J3" s="419"/>
      <c r="K3" s="416"/>
    </row>
    <row r="4" spans="1:12" x14ac:dyDescent="0.3">
      <c r="J4" s="419"/>
      <c r="K4" s="416"/>
    </row>
    <row r="5" spans="1:12" ht="18.600000000000001" thickBot="1" x14ac:dyDescent="0.4">
      <c r="A5" s="406" t="s">
        <v>849</v>
      </c>
      <c r="B5" s="407" t="s">
        <v>927</v>
      </c>
      <c r="C5" s="407" t="s">
        <v>928</v>
      </c>
      <c r="D5" s="407" t="s">
        <v>929</v>
      </c>
      <c r="E5" s="407" t="s">
        <v>930</v>
      </c>
      <c r="J5" s="419"/>
    </row>
    <row r="6" spans="1:12" ht="15.6" x14ac:dyDescent="0.3">
      <c r="A6" s="405">
        <v>2007</v>
      </c>
      <c r="B6">
        <v>42.4</v>
      </c>
      <c r="C6">
        <v>11.2</v>
      </c>
      <c r="D6">
        <f>39.1</f>
        <v>39.1</v>
      </c>
      <c r="E6">
        <v>9.9600000000000009</v>
      </c>
      <c r="J6" s="419"/>
    </row>
    <row r="7" spans="1:12" ht="15.6" x14ac:dyDescent="0.3">
      <c r="A7" s="405">
        <v>2008</v>
      </c>
      <c r="B7">
        <v>37.299999999999997</v>
      </c>
      <c r="C7">
        <v>10.9</v>
      </c>
      <c r="D7" s="404">
        <f>38.6</f>
        <v>38.6</v>
      </c>
      <c r="E7" s="404">
        <v>13.49</v>
      </c>
    </row>
    <row r="8" spans="1:12" ht="15.6" x14ac:dyDescent="0.3">
      <c r="A8" s="405">
        <v>2009</v>
      </c>
      <c r="B8">
        <v>33.5</v>
      </c>
      <c r="C8">
        <v>9.5</v>
      </c>
      <c r="D8">
        <v>35.200000000000003</v>
      </c>
      <c r="E8" s="404">
        <v>10.92</v>
      </c>
      <c r="L8" s="404"/>
    </row>
    <row r="9" spans="1:12" ht="15.6" x14ac:dyDescent="0.3">
      <c r="A9" s="405">
        <v>2010</v>
      </c>
      <c r="B9">
        <v>30.8</v>
      </c>
      <c r="C9">
        <v>7.6</v>
      </c>
      <c r="D9" s="417">
        <f>31.4</f>
        <v>31.4</v>
      </c>
      <c r="E9" s="404">
        <v>9.7100000000000009</v>
      </c>
    </row>
    <row r="10" spans="1:12" ht="15.6" x14ac:dyDescent="0.3">
      <c r="A10" s="405">
        <v>2011</v>
      </c>
      <c r="B10">
        <v>27.8</v>
      </c>
      <c r="C10">
        <v>6.3</v>
      </c>
      <c r="D10" s="418">
        <v>29.4</v>
      </c>
      <c r="E10" s="404">
        <v>8.2100000000000009</v>
      </c>
      <c r="F10" s="404"/>
    </row>
    <row r="11" spans="1:12" ht="15.6" x14ac:dyDescent="0.3">
      <c r="A11" s="405">
        <v>2012</v>
      </c>
      <c r="B11">
        <v>25.8</v>
      </c>
      <c r="C11">
        <v>6</v>
      </c>
      <c r="D11" s="418">
        <v>30.6</v>
      </c>
      <c r="E11" s="404">
        <v>8.41</v>
      </c>
      <c r="F11" s="404"/>
    </row>
    <row r="12" spans="1:12" ht="15.6" x14ac:dyDescent="0.3">
      <c r="A12" s="405">
        <v>2013</v>
      </c>
      <c r="B12">
        <v>23.9</v>
      </c>
      <c r="C12">
        <v>4.7</v>
      </c>
      <c r="D12">
        <v>29.5</v>
      </c>
      <c r="E12" s="404">
        <v>7.5</v>
      </c>
    </row>
    <row r="13" spans="1:12" ht="15.6" x14ac:dyDescent="0.3">
      <c r="A13" s="405">
        <v>2014</v>
      </c>
      <c r="B13">
        <v>22.7</v>
      </c>
      <c r="C13">
        <v>4.3</v>
      </c>
      <c r="D13" s="404">
        <v>27.4</v>
      </c>
      <c r="E13" s="404">
        <v>5.46</v>
      </c>
    </row>
    <row r="14" spans="1:12" ht="15.6" x14ac:dyDescent="0.3">
      <c r="A14" s="405">
        <v>2015</v>
      </c>
      <c r="B14">
        <v>21.8</v>
      </c>
      <c r="C14">
        <v>4.0999999999999996</v>
      </c>
      <c r="D14">
        <v>25.9</v>
      </c>
      <c r="E14" s="404">
        <v>6.31</v>
      </c>
      <c r="F14" s="404"/>
    </row>
    <row r="15" spans="1:12" ht="15.6" x14ac:dyDescent="0.3">
      <c r="A15" s="405">
        <v>2016</v>
      </c>
      <c r="B15">
        <v>20.7</v>
      </c>
      <c r="C15">
        <v>3.8</v>
      </c>
      <c r="D15" s="404">
        <v>24.5</v>
      </c>
      <c r="E15" s="404">
        <v>4.4400000000000004</v>
      </c>
      <c r="F15" s="404"/>
    </row>
    <row r="16" spans="1:12" ht="15.6" x14ac:dyDescent="0.3">
      <c r="A16" s="405">
        <v>2017</v>
      </c>
      <c r="B16">
        <v>21.7</v>
      </c>
      <c r="C16">
        <v>3.8</v>
      </c>
      <c r="D16">
        <v>23.5</v>
      </c>
      <c r="E16" s="404">
        <v>4.34</v>
      </c>
      <c r="F16" s="404"/>
    </row>
    <row r="17" spans="1:6" ht="15.6" x14ac:dyDescent="0.3">
      <c r="A17" s="405">
        <v>2018</v>
      </c>
      <c r="B17">
        <v>20.5</v>
      </c>
      <c r="C17">
        <v>2.8</v>
      </c>
      <c r="D17" s="404">
        <v>20.8</v>
      </c>
      <c r="E17" s="404">
        <v>3.24</v>
      </c>
      <c r="F17" s="404"/>
    </row>
    <row r="18" spans="1:6" ht="15.6" x14ac:dyDescent="0.3">
      <c r="A18" s="405">
        <v>2019</v>
      </c>
      <c r="B18">
        <v>20.2</v>
      </c>
      <c r="C18">
        <v>2.9</v>
      </c>
      <c r="D18">
        <v>24.7</v>
      </c>
      <c r="E18" s="404">
        <v>6.26</v>
      </c>
      <c r="F18" s="404"/>
    </row>
    <row r="19" spans="1:6" ht="15.6" x14ac:dyDescent="0.3">
      <c r="A19" s="405">
        <v>2020</v>
      </c>
      <c r="B19">
        <v>30.1</v>
      </c>
      <c r="C19">
        <v>5.0999999999999996</v>
      </c>
      <c r="D19" s="404">
        <v>31.9</v>
      </c>
      <c r="E19" s="404">
        <v>6.18</v>
      </c>
      <c r="F19" s="404"/>
    </row>
    <row r="20" spans="1:6" ht="15.6" x14ac:dyDescent="0.3">
      <c r="A20" s="405">
        <v>2021</v>
      </c>
      <c r="B20">
        <v>25.9</v>
      </c>
      <c r="C20">
        <v>4.0999999999999996</v>
      </c>
      <c r="D20" s="404">
        <v>26.8</v>
      </c>
      <c r="E20" s="404">
        <v>5.82</v>
      </c>
      <c r="F20" s="404"/>
    </row>
    <row r="21" spans="1:6" ht="15.6" x14ac:dyDescent="0.3">
      <c r="A21" s="405">
        <v>2022</v>
      </c>
      <c r="B21">
        <v>27.5</v>
      </c>
      <c r="C21">
        <v>5</v>
      </c>
      <c r="D21" s="404">
        <v>28.4</v>
      </c>
      <c r="E21" s="404">
        <v>4.38</v>
      </c>
      <c r="F21" s="404"/>
    </row>
    <row r="22" spans="1:6" ht="15.6" x14ac:dyDescent="0.3">
      <c r="A22" s="405">
        <v>2023</v>
      </c>
      <c r="B22" s="404">
        <v>29</v>
      </c>
      <c r="C22">
        <v>5.7</v>
      </c>
      <c r="D22" s="404">
        <v>31.6</v>
      </c>
      <c r="E22" s="404">
        <v>6.97</v>
      </c>
      <c r="F22" s="404"/>
    </row>
  </sheetData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17073-6C76-4AC0-B1BC-F6DB2D4A3308}">
  <dimension ref="A1:E17"/>
  <sheetViews>
    <sheetView workbookViewId="0">
      <selection activeCell="A7" sqref="A7"/>
    </sheetView>
  </sheetViews>
  <sheetFormatPr baseColWidth="10" defaultRowHeight="14.4" x14ac:dyDescent="0.3"/>
  <cols>
    <col min="1" max="1" width="28.109375" customWidth="1"/>
    <col min="2" max="2" width="17.6640625" customWidth="1"/>
    <col min="3" max="3" width="19.77734375" customWidth="1"/>
    <col min="4" max="4" width="18.6640625" customWidth="1"/>
  </cols>
  <sheetData>
    <row r="1" spans="1:5" ht="18" x14ac:dyDescent="0.3">
      <c r="A1" s="229" t="s">
        <v>943</v>
      </c>
    </row>
    <row r="2" spans="1:5" ht="18" x14ac:dyDescent="0.3">
      <c r="A2" s="304" t="s">
        <v>944</v>
      </c>
    </row>
    <row r="3" spans="1:5" x14ac:dyDescent="0.3">
      <c r="A3" s="231" t="s">
        <v>957</v>
      </c>
    </row>
    <row r="5" spans="1:5" ht="15" thickBot="1" x14ac:dyDescent="0.35">
      <c r="A5" s="414" t="s">
        <v>952</v>
      </c>
      <c r="B5" s="413" t="s">
        <v>945</v>
      </c>
      <c r="C5" s="413" t="s">
        <v>954</v>
      </c>
      <c r="D5" s="412" t="s">
        <v>946</v>
      </c>
    </row>
    <row r="6" spans="1:5" x14ac:dyDescent="0.3">
      <c r="A6" s="410" t="s">
        <v>942</v>
      </c>
      <c r="B6" s="409">
        <v>20.085515000000001</v>
      </c>
      <c r="C6" s="409">
        <f>+(15.7+19.2)/2</f>
        <v>17.45</v>
      </c>
      <c r="D6" s="411">
        <f>+(13+16.1)/2</f>
        <v>14.55</v>
      </c>
      <c r="E6" s="404"/>
    </row>
    <row r="7" spans="1:5" x14ac:dyDescent="0.3">
      <c r="A7" s="410" t="s">
        <v>941</v>
      </c>
      <c r="B7" s="409">
        <v>25.755697999999999</v>
      </c>
      <c r="C7" s="409">
        <f>+(19.4+31.1)/2</f>
        <v>25.25</v>
      </c>
      <c r="D7" s="408">
        <f>+(19.7+24.9)/2</f>
        <v>22.299999999999997</v>
      </c>
    </row>
    <row r="8" spans="1:5" x14ac:dyDescent="0.3">
      <c r="A8" s="410" t="s">
        <v>947</v>
      </c>
      <c r="B8" s="409">
        <v>77.612793999999994</v>
      </c>
      <c r="C8" s="409">
        <f>+(69+77.1)/2</f>
        <v>73.05</v>
      </c>
      <c r="D8" s="411">
        <f>+(48.4+57.1)/2</f>
        <v>52.75</v>
      </c>
    </row>
    <row r="9" spans="1:5" x14ac:dyDescent="0.3">
      <c r="A9" s="410" t="s">
        <v>951</v>
      </c>
      <c r="B9" s="409">
        <v>36.116833999999997</v>
      </c>
      <c r="C9" s="409">
        <f>+(30.9+38)/2</f>
        <v>34.450000000000003</v>
      </c>
      <c r="D9" s="411">
        <f>+(23+30.3)/2</f>
        <v>26.65</v>
      </c>
    </row>
    <row r="10" spans="1:5" x14ac:dyDescent="0.3">
      <c r="A10" s="410" t="s">
        <v>948</v>
      </c>
      <c r="B10" s="409">
        <v>73.680940000000007</v>
      </c>
      <c r="C10" s="409">
        <f>+(78.6+85.7)/2</f>
        <v>82.15</v>
      </c>
      <c r="D10" s="408">
        <f>+(46.7+57.1)/2</f>
        <v>51.900000000000006</v>
      </c>
    </row>
    <row r="11" spans="1:5" x14ac:dyDescent="0.3">
      <c r="A11" s="410" t="s">
        <v>940</v>
      </c>
      <c r="B11" s="409">
        <v>68.548835999999994</v>
      </c>
      <c r="C11" s="409">
        <f>+(58.8+66.4)/2</f>
        <v>62.6</v>
      </c>
      <c r="D11" s="411">
        <f>+(43.4+51.3)/2</f>
        <v>47.349999999999994</v>
      </c>
    </row>
    <row r="12" spans="1:5" x14ac:dyDescent="0.3">
      <c r="A12" s="410" t="s">
        <v>939</v>
      </c>
      <c r="B12" s="409">
        <v>32.331760000000003</v>
      </c>
      <c r="C12" s="409">
        <f>+(26.5+33)/2</f>
        <v>29.75</v>
      </c>
      <c r="D12" s="411">
        <f>+(21.2+27.4)/2</f>
        <v>24.299999999999997</v>
      </c>
    </row>
    <row r="13" spans="1:5" x14ac:dyDescent="0.3">
      <c r="A13" s="410" t="s">
        <v>938</v>
      </c>
      <c r="B13" s="409">
        <v>73.206646000000006</v>
      </c>
      <c r="C13" s="409">
        <f>+(63.6+71.8)/2</f>
        <v>67.7</v>
      </c>
      <c r="D13" s="411">
        <f>+(43.9+52.1)/2</f>
        <v>48</v>
      </c>
    </row>
    <row r="14" spans="1:5" x14ac:dyDescent="0.3">
      <c r="A14" s="410" t="s">
        <v>953</v>
      </c>
      <c r="B14" s="409">
        <v>83.869085999999996</v>
      </c>
      <c r="C14" s="409">
        <f>+(55.3+62.5)/2</f>
        <v>58.9</v>
      </c>
      <c r="D14" s="408">
        <f>+(44.4+54)/2</f>
        <v>49.2</v>
      </c>
    </row>
    <row r="15" spans="1:5" x14ac:dyDescent="0.3">
      <c r="A15" s="410" t="s">
        <v>937</v>
      </c>
      <c r="B15" s="409">
        <v>58.531388</v>
      </c>
      <c r="C15" s="409">
        <f>+(56.5+64.7)/2</f>
        <v>60.6</v>
      </c>
      <c r="D15" s="411">
        <f>+(41.4+51.1)/2</f>
        <v>46.25</v>
      </c>
    </row>
    <row r="16" spans="1:5" x14ac:dyDescent="0.3">
      <c r="A16" s="410" t="s">
        <v>949</v>
      </c>
      <c r="B16" s="409">
        <v>58.637436999999998</v>
      </c>
      <c r="C16" s="409">
        <f>+(58.5+66.4)/2</f>
        <v>62.45</v>
      </c>
      <c r="D16" s="411">
        <f>+(38.9+49.8)/2</f>
        <v>44.349999999999994</v>
      </c>
    </row>
    <row r="17" spans="1:4" x14ac:dyDescent="0.3">
      <c r="A17" s="410" t="s">
        <v>950</v>
      </c>
      <c r="B17" s="409">
        <v>48.815461999999997</v>
      </c>
      <c r="C17" s="409">
        <f>+(29.3+37.1)/2</f>
        <v>33.200000000000003</v>
      </c>
      <c r="D17" s="408">
        <f>+(27.6+38.8)/2</f>
        <v>33.200000000000003</v>
      </c>
    </row>
  </sheetData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5E980-E2A6-4424-8CC8-37479A230F42}">
  <dimension ref="A1:F22"/>
  <sheetViews>
    <sheetView workbookViewId="0">
      <selection sqref="A1:A3"/>
    </sheetView>
  </sheetViews>
  <sheetFormatPr baseColWidth="10" defaultRowHeight="14.4" x14ac:dyDescent="0.3"/>
  <cols>
    <col min="2" max="2" width="26.44140625" customWidth="1"/>
    <col min="3" max="3" width="21.21875" customWidth="1"/>
    <col min="4" max="4" width="23" customWidth="1"/>
    <col min="5" max="5" width="21.88671875" customWidth="1"/>
    <col min="6" max="6" width="25.33203125" customWidth="1"/>
  </cols>
  <sheetData>
    <row r="1" spans="1:6" ht="18" x14ac:dyDescent="0.3">
      <c r="A1" s="229" t="s">
        <v>955</v>
      </c>
    </row>
    <row r="2" spans="1:6" ht="18" x14ac:dyDescent="0.3">
      <c r="A2" s="304" t="s">
        <v>956</v>
      </c>
    </row>
    <row r="3" spans="1:6" x14ac:dyDescent="0.3">
      <c r="A3" s="231" t="s">
        <v>957</v>
      </c>
    </row>
    <row r="5" spans="1:6" ht="18.600000000000001" thickBot="1" x14ac:dyDescent="0.4">
      <c r="A5" s="406" t="s">
        <v>849</v>
      </c>
      <c r="B5" s="339" t="s">
        <v>959</v>
      </c>
      <c r="C5" s="339" t="s">
        <v>958</v>
      </c>
      <c r="D5" s="339" t="s">
        <v>960</v>
      </c>
      <c r="E5" s="339" t="s">
        <v>961</v>
      </c>
      <c r="F5" s="339" t="s">
        <v>962</v>
      </c>
    </row>
    <row r="6" spans="1:6" ht="15.6" x14ac:dyDescent="0.3">
      <c r="A6" s="405">
        <v>2007</v>
      </c>
      <c r="B6" s="420">
        <v>6.1</v>
      </c>
      <c r="C6" s="420">
        <v>1.3</v>
      </c>
      <c r="D6" s="420">
        <v>2.7</v>
      </c>
      <c r="E6" s="420">
        <v>17.2</v>
      </c>
      <c r="F6" s="422">
        <v>2.9</v>
      </c>
    </row>
    <row r="7" spans="1:6" ht="15.6" x14ac:dyDescent="0.3">
      <c r="A7" s="405">
        <v>2008</v>
      </c>
      <c r="B7" s="420">
        <v>5.8</v>
      </c>
      <c r="C7" s="420">
        <v>1.2</v>
      </c>
      <c r="D7" s="420">
        <v>2.5</v>
      </c>
      <c r="E7" s="420">
        <v>15.6</v>
      </c>
      <c r="F7" s="422">
        <v>2.2999999999999998</v>
      </c>
    </row>
    <row r="8" spans="1:6" ht="15.6" x14ac:dyDescent="0.3">
      <c r="A8" s="405">
        <v>2009</v>
      </c>
      <c r="B8" s="420">
        <v>8</v>
      </c>
      <c r="C8" s="420">
        <v>0.5</v>
      </c>
      <c r="D8" s="420">
        <v>2.8</v>
      </c>
      <c r="E8" s="420">
        <v>12.3</v>
      </c>
      <c r="F8" s="422">
        <v>1.5</v>
      </c>
    </row>
    <row r="9" spans="1:6" ht="15.6" x14ac:dyDescent="0.3">
      <c r="A9" s="405">
        <v>2010</v>
      </c>
      <c r="B9" s="420">
        <v>6.2</v>
      </c>
      <c r="C9" s="420">
        <v>0.2</v>
      </c>
      <c r="D9" s="420">
        <v>1</v>
      </c>
      <c r="E9" s="420">
        <v>12.9</v>
      </c>
      <c r="F9" s="422">
        <v>1.6</v>
      </c>
    </row>
    <row r="10" spans="1:6" ht="15.6" x14ac:dyDescent="0.3">
      <c r="A10" s="405">
        <v>2011</v>
      </c>
      <c r="B10" s="420">
        <v>5.7</v>
      </c>
      <c r="C10" s="420">
        <v>0.6</v>
      </c>
      <c r="D10" s="420">
        <v>1.2</v>
      </c>
      <c r="E10" s="420">
        <v>7.1</v>
      </c>
      <c r="F10" s="422">
        <v>1.7</v>
      </c>
    </row>
    <row r="11" spans="1:6" ht="15.6" x14ac:dyDescent="0.3">
      <c r="A11" s="405">
        <v>2012</v>
      </c>
      <c r="B11" s="420">
        <v>9</v>
      </c>
      <c r="C11" s="420">
        <v>1.1000000000000001</v>
      </c>
      <c r="D11" s="420">
        <v>1.2</v>
      </c>
      <c r="E11" s="420">
        <v>7.8</v>
      </c>
      <c r="F11" s="422">
        <v>0.7</v>
      </c>
    </row>
    <row r="12" spans="1:6" ht="15.6" x14ac:dyDescent="0.3">
      <c r="A12" s="405">
        <v>2013</v>
      </c>
      <c r="B12" s="420">
        <v>5</v>
      </c>
      <c r="C12" s="420">
        <v>0.7</v>
      </c>
      <c r="D12" s="420">
        <v>1.3</v>
      </c>
      <c r="E12" s="420">
        <v>7</v>
      </c>
      <c r="F12" s="422">
        <v>1.8</v>
      </c>
    </row>
    <row r="13" spans="1:6" ht="15.6" x14ac:dyDescent="0.3">
      <c r="A13" s="405">
        <v>2014</v>
      </c>
      <c r="B13" s="420">
        <v>5.4</v>
      </c>
      <c r="C13" s="420">
        <v>0.8</v>
      </c>
      <c r="D13" s="421">
        <v>0.5</v>
      </c>
      <c r="E13" s="420">
        <v>5.7</v>
      </c>
      <c r="F13" s="422">
        <v>1.7</v>
      </c>
    </row>
    <row r="14" spans="1:6" ht="15.6" x14ac:dyDescent="0.3">
      <c r="A14" s="405">
        <v>2015</v>
      </c>
      <c r="B14" s="420">
        <v>6.7</v>
      </c>
      <c r="C14" s="420">
        <v>1.2</v>
      </c>
      <c r="D14" s="421">
        <v>0.9</v>
      </c>
      <c r="E14" s="420">
        <v>7.2</v>
      </c>
      <c r="F14" s="422">
        <v>1.5</v>
      </c>
    </row>
    <row r="15" spans="1:6" ht="15.6" x14ac:dyDescent="0.3">
      <c r="A15" s="405">
        <v>2016</v>
      </c>
      <c r="B15" s="420">
        <v>4.8</v>
      </c>
      <c r="C15" s="420">
        <v>0.2</v>
      </c>
      <c r="D15" s="421">
        <v>1.2</v>
      </c>
      <c r="E15" s="420">
        <v>7.2</v>
      </c>
      <c r="F15" s="422">
        <v>2.1</v>
      </c>
    </row>
    <row r="16" spans="1:6" ht="15.6" x14ac:dyDescent="0.3">
      <c r="A16" s="405">
        <v>2017</v>
      </c>
      <c r="B16" s="420">
        <v>5.2</v>
      </c>
      <c r="C16" s="420">
        <v>0.3</v>
      </c>
      <c r="D16" s="421">
        <v>0.9</v>
      </c>
      <c r="E16" s="420">
        <v>7.4</v>
      </c>
      <c r="F16" s="422">
        <v>2.1</v>
      </c>
    </row>
    <row r="17" spans="1:6" ht="15.6" x14ac:dyDescent="0.3">
      <c r="A17" s="405">
        <v>2018</v>
      </c>
      <c r="B17" s="420">
        <v>4.8</v>
      </c>
      <c r="C17" s="420">
        <v>0.4</v>
      </c>
      <c r="D17" s="421">
        <v>0.3</v>
      </c>
      <c r="E17" s="420">
        <v>5.5</v>
      </c>
      <c r="F17" s="422">
        <v>1.7</v>
      </c>
    </row>
    <row r="18" spans="1:6" ht="15.6" x14ac:dyDescent="0.3">
      <c r="A18" s="405">
        <v>2019</v>
      </c>
      <c r="B18" s="420">
        <v>4</v>
      </c>
      <c r="C18" s="420">
        <v>0.7</v>
      </c>
      <c r="D18" s="421">
        <v>0.6</v>
      </c>
      <c r="E18" s="420">
        <v>4.4000000000000004</v>
      </c>
      <c r="F18" s="422">
        <v>1.7</v>
      </c>
    </row>
    <row r="19" spans="1:6" ht="15.6" x14ac:dyDescent="0.3">
      <c r="A19" s="405">
        <v>2020</v>
      </c>
      <c r="B19" s="420">
        <v>3</v>
      </c>
      <c r="C19" s="420">
        <v>0.5</v>
      </c>
      <c r="D19" s="421">
        <v>1.3</v>
      </c>
      <c r="E19" s="420">
        <v>4.5999999999999996</v>
      </c>
      <c r="F19" s="422">
        <v>2.8</v>
      </c>
    </row>
    <row r="20" spans="1:6" ht="15.6" x14ac:dyDescent="0.3">
      <c r="A20" s="405">
        <v>2021</v>
      </c>
      <c r="B20" s="420">
        <v>3.6</v>
      </c>
      <c r="C20" s="420">
        <v>1</v>
      </c>
      <c r="D20" s="421">
        <v>2.1</v>
      </c>
      <c r="E20" s="420">
        <v>3.1</v>
      </c>
      <c r="F20" s="422">
        <v>2.4</v>
      </c>
    </row>
    <row r="21" spans="1:6" ht="15.6" x14ac:dyDescent="0.3">
      <c r="A21" s="405">
        <v>2022</v>
      </c>
      <c r="B21" s="420">
        <v>5.2</v>
      </c>
      <c r="C21" s="420">
        <v>0.5</v>
      </c>
      <c r="D21" s="421">
        <v>1.7</v>
      </c>
      <c r="E21" s="420">
        <v>4.3</v>
      </c>
      <c r="F21" s="422">
        <v>1.5</v>
      </c>
    </row>
    <row r="22" spans="1:6" ht="15.6" x14ac:dyDescent="0.3">
      <c r="A22" s="405">
        <v>2023</v>
      </c>
      <c r="B22" s="420">
        <v>4.9000000000000004</v>
      </c>
      <c r="C22" s="420">
        <v>0.9</v>
      </c>
      <c r="D22" s="423">
        <v>0.9</v>
      </c>
      <c r="E22" s="420">
        <v>4.5999999999999996</v>
      </c>
      <c r="F22" s="422">
        <v>2.6</v>
      </c>
    </row>
  </sheetData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9EF72-02A3-4FDF-B801-CE89C536D5E3}">
  <dimension ref="A1:J22"/>
  <sheetViews>
    <sheetView workbookViewId="0">
      <selection activeCell="B6" sqref="B6:B22"/>
    </sheetView>
  </sheetViews>
  <sheetFormatPr baseColWidth="10" defaultRowHeight="14.4" x14ac:dyDescent="0.3"/>
  <cols>
    <col min="2" max="2" width="22.33203125" customWidth="1"/>
    <col min="3" max="3" width="22.6640625" customWidth="1"/>
    <col min="4" max="4" width="25" customWidth="1"/>
    <col min="6" max="6" width="18.5546875" customWidth="1"/>
  </cols>
  <sheetData>
    <row r="1" spans="1:10" ht="18" x14ac:dyDescent="0.3">
      <c r="A1" s="229" t="s">
        <v>963</v>
      </c>
    </row>
    <row r="2" spans="1:10" ht="18" x14ac:dyDescent="0.3">
      <c r="A2" s="304" t="s">
        <v>1012</v>
      </c>
    </row>
    <row r="3" spans="1:10" x14ac:dyDescent="0.3">
      <c r="A3" s="231" t="s">
        <v>964</v>
      </c>
    </row>
    <row r="5" spans="1:10" ht="15" thickBot="1" x14ac:dyDescent="0.35">
      <c r="A5" s="351" t="s">
        <v>849</v>
      </c>
      <c r="B5" s="339" t="str">
        <f>'c-497'!B5</f>
        <v>pbi_percapita</v>
      </c>
      <c r="C5" s="339" t="str">
        <f>'c-502'!D5</f>
        <v>pobreza_total_la_libertad</v>
      </c>
      <c r="D5" s="339" t="str">
        <f>'c-502'!E5</f>
        <v>pobreza_extrema_la_libertad</v>
      </c>
      <c r="E5" s="339" t="s">
        <v>974</v>
      </c>
      <c r="F5" s="339" t="s">
        <v>975</v>
      </c>
    </row>
    <row r="6" spans="1:10" x14ac:dyDescent="0.3">
      <c r="A6" s="352">
        <v>2007</v>
      </c>
      <c r="B6" s="404">
        <f>'c-497'!B6</f>
        <v>8803.1484016765935</v>
      </c>
      <c r="C6">
        <f>'c-502'!D6</f>
        <v>39.1</v>
      </c>
      <c r="D6">
        <f>'c-502'!E6</f>
        <v>9.9600000000000009</v>
      </c>
    </row>
    <row r="7" spans="1:10" x14ac:dyDescent="0.3">
      <c r="A7" s="352">
        <v>2008</v>
      </c>
      <c r="B7" s="404">
        <f>'c-497'!B7</f>
        <v>9337.0296606858574</v>
      </c>
      <c r="C7">
        <f>'c-502'!D7</f>
        <v>38.6</v>
      </c>
      <c r="D7">
        <f>'c-502'!E7</f>
        <v>13.49</v>
      </c>
      <c r="E7">
        <f>+(B7-B6)/B6</f>
        <v>6.0646627166660527E-2</v>
      </c>
      <c r="F7">
        <f>+(C7-C6)/C6</f>
        <v>-1.278772378516624E-2</v>
      </c>
    </row>
    <row r="8" spans="1:10" x14ac:dyDescent="0.3">
      <c r="A8" s="352">
        <v>2009</v>
      </c>
      <c r="B8" s="404">
        <f>'c-497'!B8</f>
        <v>9280.5420164941006</v>
      </c>
      <c r="C8">
        <f>'c-502'!D8</f>
        <v>35.200000000000003</v>
      </c>
      <c r="D8">
        <f>'c-502'!E8</f>
        <v>10.92</v>
      </c>
      <c r="E8">
        <f t="shared" ref="E8:E22" si="0">+(B8-B7)/B7</f>
        <v>-6.0498516385357011E-3</v>
      </c>
      <c r="F8">
        <f t="shared" ref="F8:F22" si="1">+(C8-C7)/C7</f>
        <v>-8.8082901554404111E-2</v>
      </c>
    </row>
    <row r="9" spans="1:10" x14ac:dyDescent="0.3">
      <c r="A9" s="352">
        <v>2010</v>
      </c>
      <c r="B9" s="404">
        <f>'c-497'!B9</f>
        <v>9711.3356956180905</v>
      </c>
      <c r="C9">
        <f>'c-502'!D9</f>
        <v>31.4</v>
      </c>
      <c r="D9">
        <f>'c-502'!E9</f>
        <v>9.7100000000000009</v>
      </c>
      <c r="E9">
        <f t="shared" si="0"/>
        <v>4.6419021470766465E-2</v>
      </c>
      <c r="F9">
        <f t="shared" si="1"/>
        <v>-0.10795454545454557</v>
      </c>
    </row>
    <row r="10" spans="1:10" x14ac:dyDescent="0.3">
      <c r="A10" s="352">
        <v>2011</v>
      </c>
      <c r="B10" s="404">
        <f>'c-497'!B10</f>
        <v>10040.236250178377</v>
      </c>
      <c r="C10">
        <f>'c-502'!D10</f>
        <v>29.4</v>
      </c>
      <c r="D10">
        <f>'c-502'!E10</f>
        <v>8.2100000000000009</v>
      </c>
      <c r="E10">
        <f t="shared" si="0"/>
        <v>3.3867694915406123E-2</v>
      </c>
      <c r="F10">
        <f t="shared" si="1"/>
        <v>-6.3694267515923567E-2</v>
      </c>
    </row>
    <row r="11" spans="1:10" x14ac:dyDescent="0.3">
      <c r="A11" s="352">
        <v>2012</v>
      </c>
      <c r="B11" s="404">
        <f>'c-497'!B11</f>
        <v>10694.172859712929</v>
      </c>
      <c r="C11">
        <f>'c-502'!D11</f>
        <v>30.6</v>
      </c>
      <c r="D11">
        <f>'c-502'!E11</f>
        <v>8.41</v>
      </c>
      <c r="E11">
        <f t="shared" si="0"/>
        <v>6.5131595835001804E-2</v>
      </c>
      <c r="F11">
        <f t="shared" si="1"/>
        <v>4.0816326530612346E-2</v>
      </c>
      <c r="J11" s="424"/>
    </row>
    <row r="12" spans="1:10" x14ac:dyDescent="0.3">
      <c r="A12" s="352">
        <v>2013</v>
      </c>
      <c r="B12" s="404">
        <f>'c-497'!B12</f>
        <v>11033.865779682905</v>
      </c>
      <c r="C12">
        <f>'c-502'!D12</f>
        <v>29.5</v>
      </c>
      <c r="D12">
        <f>'c-502'!E12</f>
        <v>7.5</v>
      </c>
      <c r="E12">
        <f t="shared" si="0"/>
        <v>3.1764300467749675E-2</v>
      </c>
      <c r="F12">
        <f t="shared" si="1"/>
        <v>-3.5947712418300699E-2</v>
      </c>
    </row>
    <row r="13" spans="1:10" x14ac:dyDescent="0.3">
      <c r="A13" s="352">
        <v>2014</v>
      </c>
      <c r="B13" s="404">
        <f>'c-497'!B13</f>
        <v>11051.57725883638</v>
      </c>
      <c r="C13">
        <f>'c-502'!D13</f>
        <v>27.4</v>
      </c>
      <c r="D13">
        <f>'c-502'!E13</f>
        <v>5.46</v>
      </c>
      <c r="E13">
        <f t="shared" si="0"/>
        <v>1.6051925505644504E-3</v>
      </c>
      <c r="F13">
        <f t="shared" si="1"/>
        <v>-7.1186440677966145E-2</v>
      </c>
    </row>
    <row r="14" spans="1:10" x14ac:dyDescent="0.3">
      <c r="A14" s="352">
        <v>2015</v>
      </c>
      <c r="B14" s="404">
        <f>'c-497'!B14</f>
        <v>11132.060647057144</v>
      </c>
      <c r="C14">
        <f>'c-502'!D14</f>
        <v>25.9</v>
      </c>
      <c r="D14">
        <f>'c-502'!E14</f>
        <v>6.31</v>
      </c>
      <c r="E14">
        <f t="shared" si="0"/>
        <v>7.2825250492107698E-3</v>
      </c>
      <c r="F14">
        <f t="shared" si="1"/>
        <v>-5.4744525547445258E-2</v>
      </c>
    </row>
    <row r="15" spans="1:10" x14ac:dyDescent="0.3">
      <c r="A15" s="352">
        <v>2016</v>
      </c>
      <c r="B15" s="404">
        <f>'c-497'!B15</f>
        <v>11018.733362790848</v>
      </c>
      <c r="C15">
        <f>'c-502'!D15</f>
        <v>24.5</v>
      </c>
      <c r="D15">
        <f>'c-502'!E15</f>
        <v>4.4400000000000004</v>
      </c>
      <c r="E15">
        <f t="shared" si="0"/>
        <v>-1.0180261126789181E-2</v>
      </c>
      <c r="F15">
        <f t="shared" si="1"/>
        <v>-5.4054054054054002E-2</v>
      </c>
    </row>
    <row r="16" spans="1:10" x14ac:dyDescent="0.3">
      <c r="A16" s="352">
        <v>2017</v>
      </c>
      <c r="B16" s="404">
        <f>'c-497'!B16</f>
        <v>10969.245585942526</v>
      </c>
      <c r="C16">
        <f>'c-502'!D16</f>
        <v>23.5</v>
      </c>
      <c r="D16">
        <f>'c-502'!E16</f>
        <v>4.34</v>
      </c>
      <c r="E16">
        <f t="shared" si="0"/>
        <v>-4.4912400744206464E-3</v>
      </c>
      <c r="F16">
        <f t="shared" si="1"/>
        <v>-4.0816326530612242E-2</v>
      </c>
    </row>
    <row r="17" spans="1:6" x14ac:dyDescent="0.3">
      <c r="A17" s="352">
        <v>2018</v>
      </c>
      <c r="B17" s="404">
        <f>'c-497'!B17</f>
        <v>11266.529137720332</v>
      </c>
      <c r="C17">
        <f>'c-502'!D17</f>
        <v>20.8</v>
      </c>
      <c r="D17">
        <f>'c-502'!E17</f>
        <v>3.24</v>
      </c>
      <c r="E17">
        <f t="shared" si="0"/>
        <v>2.7101549459224897E-2</v>
      </c>
      <c r="F17">
        <f t="shared" si="1"/>
        <v>-0.11489361702127657</v>
      </c>
    </row>
    <row r="18" spans="1:6" x14ac:dyDescent="0.3">
      <c r="A18" s="352">
        <v>2019</v>
      </c>
      <c r="B18" s="404">
        <f>'c-497'!B18</f>
        <v>11433.538343583847</v>
      </c>
      <c r="C18">
        <f>'c-502'!D18</f>
        <v>24.7</v>
      </c>
      <c r="D18">
        <f>'c-502'!E18</f>
        <v>6.26</v>
      </c>
      <c r="E18">
        <f t="shared" si="0"/>
        <v>1.4823483241557319E-2</v>
      </c>
      <c r="F18">
        <f t="shared" si="1"/>
        <v>0.18749999999999992</v>
      </c>
    </row>
    <row r="19" spans="1:6" x14ac:dyDescent="0.3">
      <c r="A19" s="352">
        <v>2020</v>
      </c>
      <c r="B19" s="404">
        <f>'c-497'!B19</f>
        <v>10523.9990063324</v>
      </c>
      <c r="C19">
        <f>'c-502'!D19</f>
        <v>31.9</v>
      </c>
      <c r="D19">
        <f>'c-502'!E19</f>
        <v>6.18</v>
      </c>
      <c r="E19">
        <f t="shared" si="0"/>
        <v>-7.9550119124920951E-2</v>
      </c>
      <c r="F19">
        <f t="shared" si="1"/>
        <v>0.291497975708502</v>
      </c>
    </row>
    <row r="20" spans="1:6" x14ac:dyDescent="0.3">
      <c r="A20" s="352">
        <v>2021</v>
      </c>
      <c r="B20" s="404">
        <f>'c-497'!B20</f>
        <v>11486.580372293374</v>
      </c>
      <c r="C20">
        <f>'c-502'!D20</f>
        <v>26.8</v>
      </c>
      <c r="D20">
        <f>'c-502'!E20</f>
        <v>5.82</v>
      </c>
      <c r="E20">
        <f t="shared" si="0"/>
        <v>9.1465360779849819E-2</v>
      </c>
      <c r="F20">
        <f t="shared" si="1"/>
        <v>-0.15987460815047017</v>
      </c>
    </row>
    <row r="21" spans="1:6" x14ac:dyDescent="0.3">
      <c r="A21" s="352">
        <v>2022</v>
      </c>
      <c r="B21" s="404">
        <f>'c-497'!B21</f>
        <v>11501.470867862585</v>
      </c>
      <c r="C21">
        <f>'c-502'!D21</f>
        <v>28.4</v>
      </c>
      <c r="D21">
        <f>'c-502'!E21</f>
        <v>4.38</v>
      </c>
      <c r="E21">
        <f t="shared" si="0"/>
        <v>1.2963384302892885E-3</v>
      </c>
      <c r="F21">
        <f t="shared" si="1"/>
        <v>5.9701492537313348E-2</v>
      </c>
    </row>
    <row r="22" spans="1:6" x14ac:dyDescent="0.3">
      <c r="A22" s="352">
        <v>2023</v>
      </c>
      <c r="B22" s="404">
        <f>'c-497'!B22</f>
        <v>11058.544738420362</v>
      </c>
      <c r="C22">
        <f>'c-502'!D22</f>
        <v>31.6</v>
      </c>
      <c r="D22">
        <f>'c-502'!E22</f>
        <v>6.97</v>
      </c>
      <c r="E22">
        <f t="shared" si="0"/>
        <v>-3.8510390064965296E-2</v>
      </c>
      <c r="F22">
        <f t="shared" si="1"/>
        <v>0.11267605633802827</v>
      </c>
    </row>
  </sheetData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B52BC-E0BF-4259-B148-4681B1BCD588}">
  <dimension ref="B1:H20"/>
  <sheetViews>
    <sheetView showGridLines="0" topLeftCell="A4" workbookViewId="0">
      <selection activeCell="E6" sqref="E6:E7"/>
    </sheetView>
  </sheetViews>
  <sheetFormatPr baseColWidth="10" defaultRowHeight="14.4" x14ac:dyDescent="0.3"/>
  <cols>
    <col min="2" max="2" width="22.21875" customWidth="1"/>
    <col min="3" max="3" width="25.109375" customWidth="1"/>
    <col min="4" max="4" width="12.77734375" customWidth="1"/>
    <col min="5" max="5" width="18.44140625" customWidth="1"/>
    <col min="6" max="6" width="26.77734375" customWidth="1"/>
    <col min="7" max="7" width="14.5546875" customWidth="1"/>
    <col min="8" max="8" width="19.109375" customWidth="1"/>
  </cols>
  <sheetData>
    <row r="1" spans="2:8" ht="14.4" customHeight="1" x14ac:dyDescent="0.3">
      <c r="B1" s="509" t="s">
        <v>967</v>
      </c>
      <c r="C1" s="509"/>
      <c r="D1" s="509"/>
      <c r="E1" s="509"/>
      <c r="F1" s="509"/>
      <c r="G1" s="509"/>
      <c r="H1" s="509"/>
    </row>
    <row r="2" spans="2:8" ht="14.4" customHeight="1" x14ac:dyDescent="0.3">
      <c r="B2" s="509"/>
      <c r="C2" s="509"/>
      <c r="D2" s="509"/>
      <c r="E2" s="509"/>
      <c r="F2" s="509"/>
      <c r="G2" s="509"/>
      <c r="H2" s="509"/>
    </row>
    <row r="3" spans="2:8" ht="10.8" customHeight="1" thickBot="1" x14ac:dyDescent="0.35">
      <c r="B3" s="339"/>
      <c r="C3" s="339"/>
      <c r="D3" s="339"/>
      <c r="E3" s="339"/>
      <c r="F3" s="339"/>
      <c r="G3" s="339"/>
      <c r="H3" s="339"/>
    </row>
    <row r="4" spans="2:8" ht="18" customHeight="1" x14ac:dyDescent="0.4">
      <c r="B4" s="532" t="s">
        <v>849</v>
      </c>
      <c r="C4" s="513" t="s">
        <v>990</v>
      </c>
      <c r="D4" s="513" t="s">
        <v>969</v>
      </c>
      <c r="E4" s="429" t="s">
        <v>991</v>
      </c>
      <c r="F4" s="429" t="s">
        <v>970</v>
      </c>
      <c r="G4" s="513" t="s">
        <v>972</v>
      </c>
      <c r="H4" s="515" t="s">
        <v>973</v>
      </c>
    </row>
    <row r="5" spans="2:8" ht="19.8" customHeight="1" x14ac:dyDescent="0.4">
      <c r="B5" s="533"/>
      <c r="C5" s="514"/>
      <c r="D5" s="514"/>
      <c r="E5" s="430" t="s">
        <v>968</v>
      </c>
      <c r="F5" s="430" t="s">
        <v>971</v>
      </c>
      <c r="G5" s="514"/>
      <c r="H5" s="516"/>
    </row>
    <row r="6" spans="2:8" ht="21" customHeight="1" x14ac:dyDescent="0.4">
      <c r="B6" s="434">
        <v>2007</v>
      </c>
      <c r="C6" s="432">
        <f>+'c-505'!B6</f>
        <v>8803.1484016765935</v>
      </c>
      <c r="D6" s="431">
        <f>+'c-505'!C6</f>
        <v>39.1</v>
      </c>
      <c r="E6" s="520">
        <f>+AVERAGE('c-505'!E7:E22) *100</f>
        <v>1.5163864208540585</v>
      </c>
      <c r="F6" s="522">
        <f>+AVERAGE('c-505'!F7:F22) *100</f>
        <v>-0.69903044747317911</v>
      </c>
      <c r="G6" s="534">
        <f>+E12</f>
        <v>-0.9208920495795867</v>
      </c>
      <c r="H6" s="517" t="str">
        <f>IF(G6&lt;-1,B16,IF(G6&lt;0,B17,IF(G6=0,B18,IF(E6&gt;0,B19,B20))))</f>
        <v>Pro-pobre débil</v>
      </c>
    </row>
    <row r="7" spans="2:8" ht="21" customHeight="1" thickBot="1" x14ac:dyDescent="0.45">
      <c r="B7" s="435">
        <v>2023</v>
      </c>
      <c r="C7" s="436">
        <f>+'c-505'!B22</f>
        <v>11058.544738420362</v>
      </c>
      <c r="D7" s="433">
        <f>+'c-505'!C22</f>
        <v>31.6</v>
      </c>
      <c r="E7" s="521"/>
      <c r="F7" s="523"/>
      <c r="G7" s="535"/>
      <c r="H7" s="518"/>
    </row>
    <row r="10" spans="2:8" ht="15.6" customHeight="1" thickBot="1" x14ac:dyDescent="0.35">
      <c r="B10" s="519" t="s">
        <v>978</v>
      </c>
      <c r="C10" s="519"/>
      <c r="D10" s="519"/>
      <c r="E10" s="519"/>
      <c r="F10" s="426"/>
      <c r="G10" s="426"/>
    </row>
    <row r="11" spans="2:8" ht="18.600000000000001" customHeight="1" x14ac:dyDescent="0.3">
      <c r="B11" t="s">
        <v>980</v>
      </c>
      <c r="C11" s="425" t="s">
        <v>976</v>
      </c>
      <c r="D11" s="425" t="s">
        <v>977</v>
      </c>
      <c r="E11" t="s">
        <v>979</v>
      </c>
    </row>
    <row r="12" spans="2:8" x14ac:dyDescent="0.3">
      <c r="B12" s="420">
        <f>+B7-B6</f>
        <v>16</v>
      </c>
      <c r="C12" s="427">
        <f>+(C7/C6)^(1/B12) -1</f>
        <v>1.4357973200977758E-2</v>
      </c>
      <c r="D12" s="427">
        <f>+(D7/D6) ^(1/B12) -1</f>
        <v>-1.3222143368857187E-2</v>
      </c>
      <c r="E12" s="428">
        <f>+D12/C12</f>
        <v>-0.9208920495795867</v>
      </c>
    </row>
    <row r="14" spans="2:8" ht="15" thickBot="1" x14ac:dyDescent="0.35">
      <c r="B14" t="s">
        <v>1002</v>
      </c>
    </row>
    <row r="15" spans="2:8" ht="28.8" customHeight="1" thickBot="1" x14ac:dyDescent="0.35">
      <c r="B15" s="437" t="s">
        <v>981</v>
      </c>
      <c r="C15" s="438" t="s">
        <v>983</v>
      </c>
      <c r="D15" s="524" t="s">
        <v>982</v>
      </c>
      <c r="E15" s="524"/>
      <c r="F15" s="525"/>
    </row>
    <row r="16" spans="2:8" ht="25.8" customHeight="1" x14ac:dyDescent="0.3">
      <c r="B16" s="443" t="s">
        <v>984</v>
      </c>
      <c r="C16" s="444" t="s">
        <v>992</v>
      </c>
      <c r="D16" s="526" t="s">
        <v>985</v>
      </c>
      <c r="E16" s="527"/>
      <c r="F16" s="528"/>
    </row>
    <row r="17" spans="2:6" ht="25.8" customHeight="1" x14ac:dyDescent="0.3">
      <c r="B17" s="440" t="s">
        <v>986</v>
      </c>
      <c r="C17" s="439" t="s">
        <v>993</v>
      </c>
      <c r="D17" s="529" t="s">
        <v>997</v>
      </c>
      <c r="E17" s="530"/>
      <c r="F17" s="531"/>
    </row>
    <row r="18" spans="2:6" ht="25.8" customHeight="1" x14ac:dyDescent="0.3">
      <c r="B18" s="440" t="s">
        <v>987</v>
      </c>
      <c r="C18" s="439" t="s">
        <v>994</v>
      </c>
      <c r="D18" s="529" t="s">
        <v>998</v>
      </c>
      <c r="E18" s="530"/>
      <c r="F18" s="531"/>
    </row>
    <row r="19" spans="2:6" ht="25.8" customHeight="1" x14ac:dyDescent="0.3">
      <c r="B19" s="440" t="s">
        <v>988</v>
      </c>
      <c r="C19" s="439" t="s">
        <v>995</v>
      </c>
      <c r="D19" s="529" t="s">
        <v>999</v>
      </c>
      <c r="E19" s="530"/>
      <c r="F19" s="531"/>
    </row>
    <row r="20" spans="2:6" ht="26.4" customHeight="1" thickBot="1" x14ac:dyDescent="0.35">
      <c r="B20" s="441" t="s">
        <v>989</v>
      </c>
      <c r="C20" s="442" t="s">
        <v>996</v>
      </c>
      <c r="D20" s="510" t="s">
        <v>1000</v>
      </c>
      <c r="E20" s="511"/>
      <c r="F20" s="512"/>
    </row>
  </sheetData>
  <mergeCells count="17">
    <mergeCell ref="B1:H2"/>
    <mergeCell ref="B4:B5"/>
    <mergeCell ref="G6:G7"/>
    <mergeCell ref="D20:F20"/>
    <mergeCell ref="C4:C5"/>
    <mergeCell ref="D4:D5"/>
    <mergeCell ref="G4:G5"/>
    <mergeCell ref="H4:H5"/>
    <mergeCell ref="H6:H7"/>
    <mergeCell ref="B10:E10"/>
    <mergeCell ref="E6:E7"/>
    <mergeCell ref="F6:F7"/>
    <mergeCell ref="D15:F15"/>
    <mergeCell ref="D16:F16"/>
    <mergeCell ref="D17:F17"/>
    <mergeCell ref="D18:F18"/>
    <mergeCell ref="D19:F19"/>
  </mergeCells>
  <conditionalFormatting sqref="B16:B20">
    <cfRule type="duplicateValues" dxfId="1" priority="1"/>
  </conditionalFormatting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8B23F-811F-4E63-8484-205CE23F2BEF}">
  <dimension ref="B1:O47"/>
  <sheetViews>
    <sheetView showGridLines="0" topLeftCell="A33" zoomScale="145" zoomScaleNormal="145" workbookViewId="0">
      <selection activeCell="D31" sqref="D31"/>
    </sheetView>
  </sheetViews>
  <sheetFormatPr baseColWidth="10" defaultRowHeight="14.4" x14ac:dyDescent="0.3"/>
  <cols>
    <col min="2" max="2" width="22.109375" customWidth="1"/>
    <col min="3" max="3" width="22" customWidth="1"/>
    <col min="4" max="4" width="17.44140625" customWidth="1"/>
    <col min="5" max="5" width="14.77734375" customWidth="1"/>
    <col min="6" max="6" width="17.33203125" customWidth="1"/>
    <col min="7" max="7" width="14.5546875" customWidth="1"/>
    <col min="8" max="8" width="16" customWidth="1"/>
    <col min="9" max="9" width="13.5546875" customWidth="1"/>
    <col min="11" max="11" width="20.5546875" customWidth="1"/>
    <col min="12" max="12" width="17.5546875" customWidth="1"/>
    <col min="15" max="15" width="38.33203125" customWidth="1"/>
  </cols>
  <sheetData>
    <row r="1" spans="2:15" x14ac:dyDescent="0.3">
      <c r="C1" s="509" t="s">
        <v>1001</v>
      </c>
      <c r="D1" s="509"/>
      <c r="E1" s="509"/>
      <c r="F1" s="509"/>
    </row>
    <row r="2" spans="2:15" ht="15" thickBot="1" x14ac:dyDescent="0.35">
      <c r="C2" s="509"/>
      <c r="D2" s="509"/>
      <c r="E2" s="509"/>
      <c r="F2" s="509"/>
      <c r="K2" t="s">
        <v>1002</v>
      </c>
    </row>
    <row r="3" spans="2:15" ht="18.600000000000001" customHeight="1" thickBot="1" x14ac:dyDescent="0.35">
      <c r="C3" s="446"/>
      <c r="D3" s="339"/>
      <c r="E3" s="339"/>
      <c r="F3" s="339"/>
      <c r="K3" s="437" t="s">
        <v>981</v>
      </c>
      <c r="L3" s="445" t="s">
        <v>983</v>
      </c>
      <c r="M3" s="524" t="s">
        <v>982</v>
      </c>
      <c r="N3" s="524"/>
      <c r="O3" s="525"/>
    </row>
    <row r="4" spans="2:15" ht="18.600000000000001" customHeight="1" x14ac:dyDescent="0.4">
      <c r="B4" s="543" t="s">
        <v>1003</v>
      </c>
      <c r="C4" s="536" t="s">
        <v>849</v>
      </c>
      <c r="D4" s="513" t="s">
        <v>990</v>
      </c>
      <c r="E4" s="513" t="s">
        <v>969</v>
      </c>
      <c r="F4" s="429" t="s">
        <v>991</v>
      </c>
      <c r="G4" s="513" t="s">
        <v>972</v>
      </c>
      <c r="H4" s="515" t="s">
        <v>973</v>
      </c>
      <c r="K4" s="443" t="s">
        <v>984</v>
      </c>
      <c r="L4" s="444" t="s">
        <v>992</v>
      </c>
      <c r="M4" s="540" t="s">
        <v>985</v>
      </c>
      <c r="N4" s="541"/>
      <c r="O4" s="542"/>
    </row>
    <row r="5" spans="2:15" ht="20.399999999999999" customHeight="1" thickBot="1" x14ac:dyDescent="0.45">
      <c r="B5" s="544"/>
      <c r="C5" s="537"/>
      <c r="D5" s="514"/>
      <c r="E5" s="514"/>
      <c r="F5" s="430" t="s">
        <v>968</v>
      </c>
      <c r="G5" s="514"/>
      <c r="H5" s="516"/>
      <c r="K5" s="440" t="s">
        <v>986</v>
      </c>
      <c r="L5" s="439" t="s">
        <v>993</v>
      </c>
      <c r="M5" s="529" t="s">
        <v>997</v>
      </c>
      <c r="N5" s="530"/>
      <c r="O5" s="531"/>
    </row>
    <row r="6" spans="2:15" ht="18.899999999999999" customHeight="1" x14ac:dyDescent="0.35">
      <c r="B6" s="545" t="str">
        <f>+'c-503'!A6</f>
        <v>TRUJILLO</v>
      </c>
      <c r="C6" s="456">
        <v>2007</v>
      </c>
      <c r="D6" s="457">
        <v>8803.1484016765935</v>
      </c>
      <c r="E6" s="460">
        <f>+'c-503'!B6</f>
        <v>20.085515000000001</v>
      </c>
      <c r="F6" s="538">
        <f>+AVERAGE('c-505'!E7:E22) *100</f>
        <v>1.5163864208540585</v>
      </c>
      <c r="G6" s="534">
        <f>+C36</f>
        <v>-1.3785812578637278</v>
      </c>
      <c r="H6" s="517" t="str">
        <f>IF(G6&lt;-1,"Pro-pobre fuerte",IF(G6&lt;0,"Pro-pobre débil",IF(G6=0,"Neutro",IF(F6&gt;0,"Por goteo","Empobrecedor"))))</f>
        <v>Pro-pobre fuerte</v>
      </c>
      <c r="K6" s="440" t="s">
        <v>987</v>
      </c>
      <c r="L6" s="439" t="s">
        <v>994</v>
      </c>
      <c r="M6" s="529" t="s">
        <v>998</v>
      </c>
      <c r="N6" s="530"/>
      <c r="O6" s="531"/>
    </row>
    <row r="7" spans="2:15" ht="18.899999999999999" customHeight="1" thickBot="1" x14ac:dyDescent="0.4">
      <c r="B7" s="546"/>
      <c r="C7" s="458">
        <v>2018</v>
      </c>
      <c r="D7" s="459">
        <v>11058.544738420362</v>
      </c>
      <c r="E7" s="461">
        <f>+'c-503'!D6</f>
        <v>14.55</v>
      </c>
      <c r="F7" s="539"/>
      <c r="G7" s="535"/>
      <c r="H7" s="518"/>
      <c r="K7" s="440" t="s">
        <v>988</v>
      </c>
      <c r="L7" s="439" t="s">
        <v>995</v>
      </c>
      <c r="M7" s="529" t="s">
        <v>999</v>
      </c>
      <c r="N7" s="530"/>
      <c r="O7" s="531"/>
    </row>
    <row r="8" spans="2:15" ht="18.899999999999999" customHeight="1" thickBot="1" x14ac:dyDescent="0.4">
      <c r="B8" s="545" t="str">
        <f>+'c-503'!A7</f>
        <v>ASCOPE</v>
      </c>
      <c r="C8" s="456">
        <v>2007</v>
      </c>
      <c r="D8" s="457">
        <v>8803.1484016765935</v>
      </c>
      <c r="E8" s="460">
        <f>+'c-503'!B7</f>
        <v>25.755697999999999</v>
      </c>
      <c r="F8" s="538">
        <f>+AVERAGE('c-505'!E7:E22) *100</f>
        <v>1.5163864208540585</v>
      </c>
      <c r="G8" s="534">
        <f>+C37</f>
        <v>-0.62102047515497194</v>
      </c>
      <c r="H8" s="517" t="str">
        <f>IF(G8&lt;-1,"Pro-pobre fuerte",IF(G8&lt;0,"Pro-pobre débil",IF(G8=0,"Neutro",IF(F8&gt;0,"Por goteo","Empobrecedor"))))</f>
        <v>Pro-pobre débil</v>
      </c>
      <c r="K8" s="441" t="s">
        <v>989</v>
      </c>
      <c r="L8" s="442" t="s">
        <v>996</v>
      </c>
      <c r="M8" s="510" t="s">
        <v>1000</v>
      </c>
      <c r="N8" s="511"/>
      <c r="O8" s="512"/>
    </row>
    <row r="9" spans="2:15" ht="18.899999999999999" customHeight="1" thickBot="1" x14ac:dyDescent="0.4">
      <c r="B9" s="546"/>
      <c r="C9" s="458">
        <v>2018</v>
      </c>
      <c r="D9" s="459">
        <v>11058.544738420362</v>
      </c>
      <c r="E9" s="461">
        <f>+'c-503'!D7</f>
        <v>22.299999999999997</v>
      </c>
      <c r="F9" s="539"/>
      <c r="G9" s="535"/>
      <c r="H9" s="518"/>
      <c r="K9" s="446"/>
      <c r="L9" s="447"/>
      <c r="M9" s="448"/>
      <c r="N9" s="448"/>
      <c r="O9" s="448"/>
    </row>
    <row r="10" spans="2:15" ht="18.899999999999999" customHeight="1" x14ac:dyDescent="0.35">
      <c r="B10" s="545" t="str">
        <f>+'c-503'!A8</f>
        <v>BOLIVAR</v>
      </c>
      <c r="C10" s="456">
        <v>2007</v>
      </c>
      <c r="D10" s="457">
        <v>8803.1484016765935</v>
      </c>
      <c r="E10" s="460">
        <f>+'c-503'!B8</f>
        <v>77.612793999999994</v>
      </c>
      <c r="F10" s="538">
        <f>+AVERAGE('c-505'!E7:E22) *100</f>
        <v>1.5163864208540585</v>
      </c>
      <c r="G10" s="534">
        <f>+C38</f>
        <v>-1.6464616310080251</v>
      </c>
      <c r="H10" s="517" t="str">
        <f>IF(G10&lt;-1,"Pro-pobre fuerte",IF(G10&lt;0,"Pro-pobre débil",IF(G10=0,"Neutro",IF(F10&gt;0,"Por goteo","Empobrecedor"))))</f>
        <v>Pro-pobre fuerte</v>
      </c>
      <c r="K10" s="446"/>
      <c r="L10" s="447"/>
      <c r="M10" s="448"/>
      <c r="N10" s="448"/>
      <c r="O10" s="448"/>
    </row>
    <row r="11" spans="2:15" ht="18.899999999999999" customHeight="1" thickBot="1" x14ac:dyDescent="0.4">
      <c r="B11" s="546"/>
      <c r="C11" s="458">
        <v>2018</v>
      </c>
      <c r="D11" s="459">
        <v>11058.544738420362</v>
      </c>
      <c r="E11" s="461">
        <f>+'c-503'!D8</f>
        <v>52.75</v>
      </c>
      <c r="F11" s="539"/>
      <c r="G11" s="535"/>
      <c r="H11" s="518"/>
      <c r="K11" s="446"/>
      <c r="L11" s="447"/>
      <c r="M11" s="448"/>
      <c r="N11" s="448"/>
      <c r="O11" s="448"/>
    </row>
    <row r="12" spans="2:15" ht="18.899999999999999" customHeight="1" x14ac:dyDescent="0.35">
      <c r="B12" s="545" t="str">
        <f>+'c-503'!A9</f>
        <v>CHEPEN</v>
      </c>
      <c r="C12" s="456">
        <v>2007</v>
      </c>
      <c r="D12" s="457">
        <v>8803.1484016765935</v>
      </c>
      <c r="E12" s="460">
        <f>+'c-503'!B9</f>
        <v>36.116833999999997</v>
      </c>
      <c r="F12" s="538">
        <f>+AVERAGE('c-505'!E7:E22) *100</f>
        <v>1.5163864208540585</v>
      </c>
      <c r="G12" s="534">
        <f>+C39</f>
        <v>-1.3008269854916492</v>
      </c>
      <c r="H12" s="517" t="str">
        <f>IF(G12&lt;-1,"Pro-pobre fuerte",IF(G12&lt;0,"Pro-pobre débil",IF(G12=0,"Neutro",IF(F12&gt;0,"Por goteo","Empobrecedor"))))</f>
        <v>Pro-pobre fuerte</v>
      </c>
      <c r="K12" s="446"/>
      <c r="L12" s="447"/>
      <c r="M12" s="448"/>
      <c r="N12" s="448"/>
      <c r="O12" s="448"/>
    </row>
    <row r="13" spans="2:15" ht="18.899999999999999" customHeight="1" thickBot="1" x14ac:dyDescent="0.4">
      <c r="B13" s="546"/>
      <c r="C13" s="458">
        <v>2018</v>
      </c>
      <c r="D13" s="459">
        <v>11058.544738420362</v>
      </c>
      <c r="E13" s="461">
        <f>+'c-503'!D9</f>
        <v>26.65</v>
      </c>
      <c r="F13" s="539"/>
      <c r="G13" s="535"/>
      <c r="H13" s="518"/>
      <c r="K13" s="446"/>
      <c r="L13" s="447"/>
      <c r="M13" s="448"/>
      <c r="N13" s="448"/>
      <c r="O13" s="448"/>
    </row>
    <row r="14" spans="2:15" ht="18.899999999999999" customHeight="1" x14ac:dyDescent="0.35">
      <c r="B14" s="545" t="str">
        <f>+'c-503'!A10</f>
        <v>JULCAN</v>
      </c>
      <c r="C14" s="456">
        <v>2007</v>
      </c>
      <c r="D14" s="457">
        <v>8803.1484016765935</v>
      </c>
      <c r="E14" s="460">
        <f>+'c-503'!B10</f>
        <v>73.680940000000007</v>
      </c>
      <c r="F14" s="538">
        <f>+AVERAGE('c-505'!E7:E22) *100</f>
        <v>1.5163864208540585</v>
      </c>
      <c r="G14" s="534">
        <f>+C40</f>
        <v>-1.4964835213964283</v>
      </c>
      <c r="H14" s="517" t="str">
        <f>IF(G14&lt;-1,"Pro-pobre fuerte",IF(G14&lt;0,"Pro-pobre débil",IF(G14=0,"Neutro",IF(F14&gt;0,"Por goteo","Empobrecedor"))))</f>
        <v>Pro-pobre fuerte</v>
      </c>
      <c r="K14" s="446"/>
      <c r="L14" s="447"/>
      <c r="M14" s="448"/>
      <c r="N14" s="448"/>
      <c r="O14" s="448"/>
    </row>
    <row r="15" spans="2:15" ht="18.899999999999999" customHeight="1" thickBot="1" x14ac:dyDescent="0.4">
      <c r="B15" s="546"/>
      <c r="C15" s="458">
        <v>2018</v>
      </c>
      <c r="D15" s="459">
        <v>11058.544738420362</v>
      </c>
      <c r="E15" s="461">
        <f>+'c-503'!D10</f>
        <v>51.900000000000006</v>
      </c>
      <c r="F15" s="539"/>
      <c r="G15" s="535"/>
      <c r="H15" s="518"/>
      <c r="K15" s="446"/>
      <c r="L15" s="447"/>
      <c r="M15" s="448"/>
      <c r="N15" s="448"/>
      <c r="O15" s="448"/>
    </row>
    <row r="16" spans="2:15" ht="18.899999999999999" customHeight="1" x14ac:dyDescent="0.35">
      <c r="B16" s="545" t="str">
        <f>+'c-503'!A11</f>
        <v>OTUZCO</v>
      </c>
      <c r="C16" s="456">
        <v>2007</v>
      </c>
      <c r="D16" s="457">
        <v>8803.1484016765935</v>
      </c>
      <c r="E16" s="460">
        <f>+'c-503'!B11</f>
        <v>68.548835999999994</v>
      </c>
      <c r="F16" s="538">
        <f>+AVERAGE('c-505'!E7:E22) *100</f>
        <v>1.5163864208540585</v>
      </c>
      <c r="G16" s="534">
        <f>+C41</f>
        <v>-1.5785934256425826</v>
      </c>
      <c r="H16" s="517" t="str">
        <f>IF(G16&lt;-1,"Pro-pobre fuerte",IF(G16&lt;0,"Pro-pobre débil",IF(G16=0,"Neutro",IF(F16&gt;0,"Por goteo","Empobrecedor"))))</f>
        <v>Pro-pobre fuerte</v>
      </c>
      <c r="K16" s="446"/>
      <c r="L16" s="447"/>
      <c r="M16" s="448"/>
      <c r="N16" s="448"/>
      <c r="O16" s="448"/>
    </row>
    <row r="17" spans="2:15" ht="18.899999999999999" customHeight="1" thickBot="1" x14ac:dyDescent="0.4">
      <c r="B17" s="546"/>
      <c r="C17" s="458">
        <v>2018</v>
      </c>
      <c r="D17" s="459">
        <v>11058.544738420362</v>
      </c>
      <c r="E17" s="461">
        <f>+'c-503'!D11</f>
        <v>47.349999999999994</v>
      </c>
      <c r="F17" s="539"/>
      <c r="G17" s="535"/>
      <c r="H17" s="518"/>
      <c r="K17" s="446"/>
      <c r="L17" s="447"/>
      <c r="M17" s="448"/>
      <c r="N17" s="448"/>
      <c r="O17" s="448"/>
    </row>
    <row r="18" spans="2:15" ht="18.899999999999999" customHeight="1" x14ac:dyDescent="0.35">
      <c r="B18" s="545" t="str">
        <f>+'c-503'!A12</f>
        <v>PACASMAYO</v>
      </c>
      <c r="C18" s="456">
        <v>2007</v>
      </c>
      <c r="D18" s="457">
        <v>8803.1484016765935</v>
      </c>
      <c r="E18" s="460">
        <f>+'c-503'!B12</f>
        <v>32.331760000000003</v>
      </c>
      <c r="F18" s="538">
        <f>+AVERAGE('c-505'!E7:E22) *100</f>
        <v>1.5163864208540585</v>
      </c>
      <c r="G18" s="534">
        <f>+C42</f>
        <v>-1.2231187779949564</v>
      </c>
      <c r="H18" s="517" t="str">
        <f>IF(G18&lt;-1,"Pro-pobre fuerte",IF(G18&lt;0,"Pro-pobre débil",IF(G18=0,"Neutro",IF(F18&gt;0,"Por goteo","Empobrecedor"))))</f>
        <v>Pro-pobre fuerte</v>
      </c>
      <c r="K18" s="446"/>
      <c r="L18" s="447"/>
      <c r="M18" s="448"/>
      <c r="N18" s="448"/>
      <c r="O18" s="448"/>
    </row>
    <row r="19" spans="2:15" ht="18.899999999999999" customHeight="1" thickBot="1" x14ac:dyDescent="0.4">
      <c r="B19" s="547"/>
      <c r="C19" s="458">
        <v>2018</v>
      </c>
      <c r="D19" s="459">
        <v>11058.544738420362</v>
      </c>
      <c r="E19" s="461">
        <f>+'c-503'!D12</f>
        <v>24.299999999999997</v>
      </c>
      <c r="F19" s="539"/>
      <c r="G19" s="535"/>
      <c r="H19" s="518"/>
      <c r="K19" s="446"/>
      <c r="L19" s="447"/>
      <c r="M19" s="448"/>
      <c r="N19" s="448"/>
      <c r="O19" s="448"/>
    </row>
    <row r="20" spans="2:15" ht="18.899999999999999" customHeight="1" x14ac:dyDescent="0.35">
      <c r="B20" s="545" t="str">
        <f>+'c-503'!A13</f>
        <v>PATAZ</v>
      </c>
      <c r="C20" s="456">
        <v>2007</v>
      </c>
      <c r="D20" s="457">
        <v>8803.1484016765935</v>
      </c>
      <c r="E20" s="460">
        <f>+'c-503'!B13</f>
        <v>73.206646000000006</v>
      </c>
      <c r="F20" s="538">
        <f>+AVERAGE('c-505'!E7:E22) *100</f>
        <v>1.5163864208540585</v>
      </c>
      <c r="G20" s="534">
        <f>+C43</f>
        <v>-1.7966777937183953</v>
      </c>
      <c r="H20" s="517" t="str">
        <f>IF(G20&lt;-1,"Pro-pobre fuerte",IF(G20&lt;0,"Pro-pobre débil",IF(G20=0,"Neutro",IF(F20&gt;0,"Por goteo","Empobrecedor"))))</f>
        <v>Pro-pobre fuerte</v>
      </c>
      <c r="K20" s="446"/>
      <c r="L20" s="447"/>
      <c r="M20" s="448"/>
      <c r="N20" s="448"/>
      <c r="O20" s="448"/>
    </row>
    <row r="21" spans="2:15" ht="18.899999999999999" customHeight="1" thickBot="1" x14ac:dyDescent="0.4">
      <c r="B21" s="547"/>
      <c r="C21" s="458">
        <v>2018</v>
      </c>
      <c r="D21" s="459">
        <v>11058.544738420362</v>
      </c>
      <c r="E21" s="461">
        <f>+'c-503'!D13</f>
        <v>48</v>
      </c>
      <c r="F21" s="539"/>
      <c r="G21" s="535"/>
      <c r="H21" s="518"/>
      <c r="K21" s="446"/>
      <c r="L21" s="447"/>
      <c r="M21" s="448"/>
      <c r="N21" s="448"/>
      <c r="O21" s="448"/>
    </row>
    <row r="22" spans="2:15" ht="18.899999999999999" customHeight="1" x14ac:dyDescent="0.35">
      <c r="B22" s="545" t="str">
        <f>+'c-503'!A14</f>
        <v>SANCHEZ CARRION</v>
      </c>
      <c r="C22" s="456">
        <v>2007</v>
      </c>
      <c r="D22" s="457">
        <v>8803.1484016765935</v>
      </c>
      <c r="E22" s="460">
        <f>+'c-503'!B14</f>
        <v>83.869085999999996</v>
      </c>
      <c r="F22" s="538">
        <f>+AVERAGE('c-505'!E7:E22) *100</f>
        <v>1.5163864208540585</v>
      </c>
      <c r="G22" s="534">
        <f>+C44</f>
        <v>-2.2589807515371154</v>
      </c>
      <c r="H22" s="517" t="str">
        <f>IF(G22&lt;-1,"Pro-pobre fuerte",IF(G22&lt;0,"Pro-pobre débil",IF(G22=0,"Neutro",IF(F22&gt;0,"Por goteo","Empobrecedor"))))</f>
        <v>Pro-pobre fuerte</v>
      </c>
      <c r="K22" s="446"/>
      <c r="L22" s="447"/>
      <c r="M22" s="448"/>
      <c r="N22" s="448"/>
      <c r="O22" s="448"/>
    </row>
    <row r="23" spans="2:15" ht="18.899999999999999" customHeight="1" thickBot="1" x14ac:dyDescent="0.4">
      <c r="B23" s="546"/>
      <c r="C23" s="458">
        <v>2018</v>
      </c>
      <c r="D23" s="459">
        <v>11058.544738420362</v>
      </c>
      <c r="E23" s="461">
        <f>+'c-503'!D14</f>
        <v>49.2</v>
      </c>
      <c r="F23" s="539"/>
      <c r="G23" s="535"/>
      <c r="H23" s="518"/>
      <c r="K23" s="446"/>
      <c r="L23" s="447"/>
      <c r="M23" s="448"/>
      <c r="N23" s="448"/>
      <c r="O23" s="448"/>
    </row>
    <row r="24" spans="2:15" ht="18.899999999999999" customHeight="1" x14ac:dyDescent="0.35">
      <c r="B24" s="545" t="str">
        <f>+'c-503'!A15</f>
        <v>SANTIAGO DE CHUCO</v>
      </c>
      <c r="C24" s="456">
        <v>2007</v>
      </c>
      <c r="D24" s="457">
        <v>8803.1484016765935</v>
      </c>
      <c r="E24" s="460">
        <f>+'c-503'!B15</f>
        <v>58.531388</v>
      </c>
      <c r="F24" s="538">
        <f>+AVERAGE('c-505'!E7:E22) *100</f>
        <v>1.5163864208540585</v>
      </c>
      <c r="G24" s="534">
        <f>+C45</f>
        <v>-1.0109485281556643</v>
      </c>
      <c r="H24" s="517" t="str">
        <f>IF(G24&lt;-1,"Pro-pobre fuerte",IF(G24&lt;0,"Pro-pobre débil",IF(G24=0,"Neutro",IF(F24&gt;0,"Por goteo","Empobrecedor"))))</f>
        <v>Pro-pobre fuerte</v>
      </c>
      <c r="K24" s="446"/>
      <c r="L24" s="447"/>
      <c r="M24" s="448"/>
      <c r="N24" s="448"/>
      <c r="O24" s="448"/>
    </row>
    <row r="25" spans="2:15" ht="18.899999999999999" customHeight="1" thickBot="1" x14ac:dyDescent="0.4">
      <c r="B25" s="546"/>
      <c r="C25" s="458">
        <v>2018</v>
      </c>
      <c r="D25" s="459">
        <v>11058.544738420362</v>
      </c>
      <c r="E25" s="461">
        <f>+'c-503'!D15</f>
        <v>46.25</v>
      </c>
      <c r="F25" s="539"/>
      <c r="G25" s="535"/>
      <c r="H25" s="518"/>
      <c r="K25" s="446"/>
      <c r="L25" s="447"/>
      <c r="M25" s="448"/>
      <c r="N25" s="448"/>
      <c r="O25" s="448"/>
    </row>
    <row r="26" spans="2:15" ht="18.899999999999999" customHeight="1" x14ac:dyDescent="0.35">
      <c r="B26" s="549" t="str">
        <f>+'c-503'!A16</f>
        <v>GRAN CHIMU</v>
      </c>
      <c r="C26" s="456">
        <v>2007</v>
      </c>
      <c r="D26" s="457">
        <v>8803.1484016765935</v>
      </c>
      <c r="E26" s="460">
        <f>+'c-503'!B16</f>
        <v>58.637436999999998</v>
      </c>
      <c r="F26" s="538">
        <f>+AVERAGE('c-505'!E7:E22) *100</f>
        <v>1.5163864208540585</v>
      </c>
      <c r="G26" s="534">
        <f>+C46</f>
        <v>-1.1964216906030829</v>
      </c>
      <c r="H26" s="517" t="str">
        <f>IF(G26&lt;-1,"Pro-pobre fuerte",IF(G26&lt;0,"Pro-pobre débil",IF(G26=0,"Neutro",IF(F26&gt;0,"Por goteo","Empobrecedor"))))</f>
        <v>Pro-pobre fuerte</v>
      </c>
      <c r="K26" s="446"/>
      <c r="L26" s="447"/>
      <c r="M26" s="448"/>
      <c r="N26" s="448"/>
      <c r="O26" s="448"/>
    </row>
    <row r="27" spans="2:15" ht="18.899999999999999" customHeight="1" thickBot="1" x14ac:dyDescent="0.4">
      <c r="B27" s="550"/>
      <c r="C27" s="458">
        <v>2018</v>
      </c>
      <c r="D27" s="459">
        <v>11058.544738420362</v>
      </c>
      <c r="E27" s="461">
        <f>+'c-503'!D16</f>
        <v>44.349999999999994</v>
      </c>
      <c r="F27" s="539"/>
      <c r="G27" s="535"/>
      <c r="H27" s="518"/>
      <c r="K27" s="446"/>
      <c r="L27" s="447"/>
      <c r="M27" s="448"/>
      <c r="N27" s="448"/>
      <c r="O27" s="448"/>
    </row>
    <row r="28" spans="2:15" ht="18.899999999999999" customHeight="1" x14ac:dyDescent="0.35">
      <c r="B28" s="545" t="str">
        <f>+'c-503'!A17</f>
        <v>VIRU</v>
      </c>
      <c r="C28" s="456">
        <v>2007</v>
      </c>
      <c r="D28" s="457">
        <v>8803.1484016765935</v>
      </c>
      <c r="E28" s="460">
        <f>+'c-503'!B17</f>
        <v>48.815461999999997</v>
      </c>
      <c r="F28" s="538">
        <f>+AVERAGE('c-505'!E7:E22) *100</f>
        <v>1.5163864208540585</v>
      </c>
      <c r="G28" s="534">
        <f>+C47</f>
        <v>-1.6436494253713685</v>
      </c>
      <c r="H28" s="517" t="str">
        <f>IF(G28&lt;-1,"Pro-pobre fuerte",IF(G28&lt;0,"Pro-pobre débil",IF(G28=0,"Neutro",IF(F28&gt;0,"Por goteo","Empobrecedor"))))</f>
        <v>Pro-pobre fuerte</v>
      </c>
      <c r="K28" s="446"/>
      <c r="L28" s="447"/>
      <c r="M28" s="448"/>
      <c r="N28" s="448"/>
      <c r="O28" s="448"/>
    </row>
    <row r="29" spans="2:15" ht="18.899999999999999" customHeight="1" thickBot="1" x14ac:dyDescent="0.4">
      <c r="B29" s="547"/>
      <c r="C29" s="458">
        <v>2018</v>
      </c>
      <c r="D29" s="459">
        <v>11058.544738420362</v>
      </c>
      <c r="E29" s="461">
        <f>+'c-503'!D17</f>
        <v>33.200000000000003</v>
      </c>
      <c r="F29" s="539"/>
      <c r="G29" s="535"/>
      <c r="H29" s="518"/>
      <c r="K29" s="446"/>
      <c r="L29" s="447"/>
      <c r="M29" s="448"/>
      <c r="N29" s="448"/>
      <c r="O29" s="448"/>
    </row>
    <row r="30" spans="2:15" ht="14.4" customHeight="1" x14ac:dyDescent="0.4">
      <c r="C30" s="449"/>
      <c r="D30" s="450"/>
      <c r="E30" s="451"/>
      <c r="F30" s="452"/>
      <c r="G30" s="453"/>
      <c r="H30" s="454"/>
      <c r="K30" s="446"/>
      <c r="L30" s="447"/>
      <c r="M30" s="448"/>
      <c r="N30" s="448"/>
      <c r="O30" s="448"/>
    </row>
    <row r="31" spans="2:15" ht="14.4" customHeight="1" x14ac:dyDescent="0.4">
      <c r="B31" s="455"/>
      <c r="C31" s="449"/>
      <c r="D31" s="450"/>
      <c r="E31" s="451"/>
      <c r="F31" s="452"/>
      <c r="G31" s="453"/>
      <c r="H31" s="454"/>
      <c r="K31" s="446"/>
      <c r="L31" s="447"/>
      <c r="M31" s="448"/>
      <c r="N31" s="448"/>
      <c r="O31" s="448"/>
    </row>
    <row r="33" spans="2:14" ht="16.2" customHeight="1" x14ac:dyDescent="0.3">
      <c r="B33" s="548" t="s">
        <v>1004</v>
      </c>
      <c r="C33" s="548"/>
      <c r="D33" s="548"/>
      <c r="E33" s="548"/>
      <c r="F33" s="462" t="s">
        <v>1005</v>
      </c>
      <c r="G33" s="426">
        <f>2018-2007</f>
        <v>11</v>
      </c>
    </row>
    <row r="34" spans="2:14" ht="21.6" customHeight="1" thickBot="1" x14ac:dyDescent="0.35"/>
    <row r="35" spans="2:14" ht="25.8" customHeight="1" x14ac:dyDescent="0.3">
      <c r="B35" s="469" t="s">
        <v>1003</v>
      </c>
      <c r="C35" s="470" t="s">
        <v>1006</v>
      </c>
      <c r="D35" s="471" t="s">
        <v>973</v>
      </c>
      <c r="E35" s="463" t="s">
        <v>976</v>
      </c>
      <c r="F35" s="464" t="s">
        <v>977</v>
      </c>
    </row>
    <row r="36" spans="2:14" x14ac:dyDescent="0.3">
      <c r="B36" s="473" t="s">
        <v>942</v>
      </c>
      <c r="C36" s="472">
        <f t="shared" ref="C36:C47" si="0">+F36/E36</f>
        <v>-1.3785812578637278</v>
      </c>
      <c r="D36" s="474" t="str">
        <f>+H6</f>
        <v>Pro-pobre fuerte</v>
      </c>
      <c r="E36" s="465">
        <f>+($D$7/$D$6)^(1/$G$33) -1</f>
        <v>2.0952296950726312E-2</v>
      </c>
      <c r="F36" s="466">
        <f>+(E7/E6) ^(1/$G$33) -1</f>
        <v>-2.8884443885466626E-2</v>
      </c>
      <c r="H36" s="420"/>
      <c r="I36" s="420"/>
      <c r="J36" s="420"/>
      <c r="K36" s="420"/>
      <c r="L36" s="420"/>
      <c r="M36" s="420"/>
      <c r="N36" s="420"/>
    </row>
    <row r="37" spans="2:14" x14ac:dyDescent="0.3">
      <c r="B37" s="473" t="s">
        <v>941</v>
      </c>
      <c r="C37" s="472">
        <f t="shared" si="0"/>
        <v>-0.62102047515497194</v>
      </c>
      <c r="D37" s="474" t="str">
        <f>+H8</f>
        <v>Pro-pobre débil</v>
      </c>
      <c r="E37" s="465">
        <f>+($D$7/$D$6)^(1/$G$33) -1</f>
        <v>2.0952296950726312E-2</v>
      </c>
      <c r="F37" s="466">
        <f>+(E9/E8) ^(1/$G$33) -1</f>
        <v>-1.3011805407928123E-2</v>
      </c>
    </row>
    <row r="38" spans="2:14" ht="13.8" customHeight="1" x14ac:dyDescent="0.3">
      <c r="B38" s="473" t="s">
        <v>947</v>
      </c>
      <c r="C38" s="472">
        <f t="shared" si="0"/>
        <v>-1.6464616310080251</v>
      </c>
      <c r="D38" s="474" t="str">
        <f>+H10</f>
        <v>Pro-pobre fuerte</v>
      </c>
      <c r="E38" s="465">
        <f t="shared" ref="E38:E47" si="1">+($D$7/$D$6)^(1/$G$33) -1</f>
        <v>2.0952296950726312E-2</v>
      </c>
      <c r="F38" s="466">
        <f>+(E11/E10) ^(1/$G$33) -1</f>
        <v>-3.4497153010857318E-2</v>
      </c>
    </row>
    <row r="39" spans="2:14" x14ac:dyDescent="0.3">
      <c r="B39" s="473" t="s">
        <v>951</v>
      </c>
      <c r="C39" s="472">
        <f t="shared" si="0"/>
        <v>-1.3008269854916492</v>
      </c>
      <c r="D39" s="474" t="str">
        <f>+H12</f>
        <v>Pro-pobre fuerte</v>
      </c>
      <c r="E39" s="465">
        <f t="shared" si="1"/>
        <v>2.0952296950726312E-2</v>
      </c>
      <c r="F39" s="466">
        <f>+(E13/E12) ^(1/$G$33) -1</f>
        <v>-2.7255313281539184E-2</v>
      </c>
    </row>
    <row r="40" spans="2:14" x14ac:dyDescent="0.3">
      <c r="B40" s="473" t="s">
        <v>948</v>
      </c>
      <c r="C40" s="472">
        <f t="shared" si="0"/>
        <v>-1.4964835213964283</v>
      </c>
      <c r="D40" s="474" t="str">
        <f>+H14</f>
        <v>Pro-pobre fuerte</v>
      </c>
      <c r="E40" s="465">
        <f t="shared" si="1"/>
        <v>2.0952296950726312E-2</v>
      </c>
      <c r="F40" s="466">
        <f>+(E15/E14) ^(1/$G$33) -1</f>
        <v>-3.135476712216656E-2</v>
      </c>
    </row>
    <row r="41" spans="2:14" x14ac:dyDescent="0.3">
      <c r="B41" s="473" t="s">
        <v>940</v>
      </c>
      <c r="C41" s="472">
        <f t="shared" si="0"/>
        <v>-1.5785934256425826</v>
      </c>
      <c r="D41" s="474" t="str">
        <f>+H16</f>
        <v>Pro-pobre fuerte</v>
      </c>
      <c r="E41" s="465">
        <f t="shared" si="1"/>
        <v>2.0952296950726312E-2</v>
      </c>
      <c r="F41" s="466">
        <f>+(E17/E16) ^(1/$G$33) -1</f>
        <v>-3.3075158218527689E-2</v>
      </c>
    </row>
    <row r="42" spans="2:14" x14ac:dyDescent="0.3">
      <c r="B42" s="473" t="s">
        <v>939</v>
      </c>
      <c r="C42" s="472">
        <f t="shared" si="0"/>
        <v>-1.2231187779949564</v>
      </c>
      <c r="D42" s="474" t="str">
        <f>+H18</f>
        <v>Pro-pobre fuerte</v>
      </c>
      <c r="E42" s="465">
        <f t="shared" si="1"/>
        <v>2.0952296950726312E-2</v>
      </c>
      <c r="F42" s="466">
        <f>+(E19/E18) ^(1/$G$33) -1</f>
        <v>-2.5627147842559816E-2</v>
      </c>
    </row>
    <row r="43" spans="2:14" x14ac:dyDescent="0.3">
      <c r="B43" s="473" t="s">
        <v>938</v>
      </c>
      <c r="C43" s="472">
        <f t="shared" si="0"/>
        <v>-1.7966777937183953</v>
      </c>
      <c r="D43" s="474" t="str">
        <f>+H20</f>
        <v>Pro-pobre fuerte</v>
      </c>
      <c r="E43" s="465">
        <f t="shared" si="1"/>
        <v>2.0952296950726312E-2</v>
      </c>
      <c r="F43" s="466">
        <f>+(E21/E20) ^(1/$G$33) -1</f>
        <v>-3.7644526658763611E-2</v>
      </c>
    </row>
    <row r="44" spans="2:14" x14ac:dyDescent="0.3">
      <c r="B44" s="473" t="s">
        <v>953</v>
      </c>
      <c r="C44" s="472">
        <f t="shared" si="0"/>
        <v>-2.2589807515371154</v>
      </c>
      <c r="D44" s="474" t="str">
        <f>+H22</f>
        <v>Pro-pobre fuerte</v>
      </c>
      <c r="E44" s="465">
        <f t="shared" si="1"/>
        <v>2.0952296950726312E-2</v>
      </c>
      <c r="F44" s="466">
        <f>+(E23/E22) ^(1/$G$33) -1</f>
        <v>-4.7330835512180536E-2</v>
      </c>
    </row>
    <row r="45" spans="2:14" x14ac:dyDescent="0.3">
      <c r="B45" s="473" t="s">
        <v>937</v>
      </c>
      <c r="C45" s="472">
        <f t="shared" si="0"/>
        <v>-1.0109485281556643</v>
      </c>
      <c r="D45" s="474" t="str">
        <f>+H24</f>
        <v>Pro-pobre fuerte</v>
      </c>
      <c r="E45" s="465">
        <f t="shared" si="1"/>
        <v>2.0952296950726312E-2</v>
      </c>
      <c r="F45" s="466">
        <f>+(E25/E24) ^(1/$G$33) -1</f>
        <v>-2.1181693763817178E-2</v>
      </c>
    </row>
    <row r="46" spans="2:14" x14ac:dyDescent="0.3">
      <c r="B46" s="473" t="s">
        <v>949</v>
      </c>
      <c r="C46" s="472">
        <f t="shared" si="0"/>
        <v>-1.1964216906030829</v>
      </c>
      <c r="D46" s="474" t="str">
        <f>+H26</f>
        <v>Pro-pobre fuerte</v>
      </c>
      <c r="E46" s="465">
        <f t="shared" si="1"/>
        <v>2.0952296950726312E-2</v>
      </c>
      <c r="F46" s="466">
        <f>+(E27/E26) ^(1/$G$33) -1</f>
        <v>-2.5067782539805794E-2</v>
      </c>
    </row>
    <row r="47" spans="2:14" ht="15" thickBot="1" x14ac:dyDescent="0.35">
      <c r="B47" s="475" t="s">
        <v>950</v>
      </c>
      <c r="C47" s="476">
        <f t="shared" si="0"/>
        <v>-1.6436494253713685</v>
      </c>
      <c r="D47" s="477" t="str">
        <f>+H28</f>
        <v>Pro-pobre fuerte</v>
      </c>
      <c r="E47" s="467">
        <f t="shared" si="1"/>
        <v>2.0952296950726312E-2</v>
      </c>
      <c r="F47" s="468">
        <f>+(E29/E28) ^(1/$G$33) -1</f>
        <v>-3.4438230843271578E-2</v>
      </c>
    </row>
  </sheetData>
  <mergeCells count="62">
    <mergeCell ref="B33:E33"/>
    <mergeCell ref="B26:B27"/>
    <mergeCell ref="F26:F27"/>
    <mergeCell ref="G26:G27"/>
    <mergeCell ref="H26:H27"/>
    <mergeCell ref="B28:B29"/>
    <mergeCell ref="F28:F29"/>
    <mergeCell ref="G28:G29"/>
    <mergeCell ref="H28:H29"/>
    <mergeCell ref="B22:B23"/>
    <mergeCell ref="F22:F23"/>
    <mergeCell ref="G22:G23"/>
    <mergeCell ref="H22:H23"/>
    <mergeCell ref="B24:B25"/>
    <mergeCell ref="F24:F25"/>
    <mergeCell ref="G24:G25"/>
    <mergeCell ref="H24:H25"/>
    <mergeCell ref="B18:B19"/>
    <mergeCell ref="F18:F19"/>
    <mergeCell ref="G18:G19"/>
    <mergeCell ref="H18:H19"/>
    <mergeCell ref="B20:B21"/>
    <mergeCell ref="F20:F21"/>
    <mergeCell ref="G20:G21"/>
    <mergeCell ref="H20:H21"/>
    <mergeCell ref="B16:B17"/>
    <mergeCell ref="F16:F17"/>
    <mergeCell ref="G16:G17"/>
    <mergeCell ref="H16:H17"/>
    <mergeCell ref="B10:B11"/>
    <mergeCell ref="B14:B15"/>
    <mergeCell ref="G12:G13"/>
    <mergeCell ref="H12:H13"/>
    <mergeCell ref="F14:F15"/>
    <mergeCell ref="G14:G15"/>
    <mergeCell ref="H14:H15"/>
    <mergeCell ref="B12:B13"/>
    <mergeCell ref="F12:F13"/>
    <mergeCell ref="F10:F11"/>
    <mergeCell ref="G10:G11"/>
    <mergeCell ref="H10:H11"/>
    <mergeCell ref="B4:B5"/>
    <mergeCell ref="B6:B7"/>
    <mergeCell ref="B8:B9"/>
    <mergeCell ref="F8:F9"/>
    <mergeCell ref="G8:G9"/>
    <mergeCell ref="M3:O3"/>
    <mergeCell ref="M4:O4"/>
    <mergeCell ref="M5:O5"/>
    <mergeCell ref="M6:O6"/>
    <mergeCell ref="M7:O7"/>
    <mergeCell ref="M8:O8"/>
    <mergeCell ref="G4:G5"/>
    <mergeCell ref="H4:H5"/>
    <mergeCell ref="G6:G7"/>
    <mergeCell ref="H6:H7"/>
    <mergeCell ref="H8:H9"/>
    <mergeCell ref="C1:F2"/>
    <mergeCell ref="C4:C5"/>
    <mergeCell ref="D4:D5"/>
    <mergeCell ref="E4:E5"/>
    <mergeCell ref="F6:F7"/>
  </mergeCells>
  <conditionalFormatting sqref="K4:K31">
    <cfRule type="duplicateValues" dxfId="0" priority="3"/>
  </conditionalFormatting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C2977-387D-4CD7-B91C-5687C5344596}">
  <dimension ref="A1:F22"/>
  <sheetViews>
    <sheetView workbookViewId="0">
      <selection activeCell="E19" sqref="E19"/>
    </sheetView>
  </sheetViews>
  <sheetFormatPr baseColWidth="10" defaultRowHeight="14.4" x14ac:dyDescent="0.3"/>
  <cols>
    <col min="2" max="2" width="15.5546875" customWidth="1"/>
    <col min="3" max="3" width="25.88671875" customWidth="1"/>
    <col min="4" max="4" width="17.44140625" customWidth="1"/>
    <col min="5" max="5" width="17.33203125" customWidth="1"/>
    <col min="6" max="6" width="22.88671875" customWidth="1"/>
  </cols>
  <sheetData>
    <row r="1" spans="1:6" ht="18" x14ac:dyDescent="0.3">
      <c r="A1" s="229" t="s">
        <v>1007</v>
      </c>
    </row>
    <row r="2" spans="1:6" ht="18" x14ac:dyDescent="0.3">
      <c r="A2" s="304" t="s">
        <v>1008</v>
      </c>
    </row>
    <row r="5" spans="1:6" ht="16.2" thickBot="1" x14ac:dyDescent="0.35">
      <c r="A5" s="478" t="s">
        <v>849</v>
      </c>
      <c r="B5" s="479" t="str">
        <f>'c-497'!B5</f>
        <v>pbi_percapita</v>
      </c>
      <c r="C5" s="480" t="str">
        <f>'c-502'!D5</f>
        <v>pobreza_total_la_libertad</v>
      </c>
      <c r="D5" s="480" t="str">
        <f>+'c-502'!E5</f>
        <v>pobreza_extrema_la_libertad</v>
      </c>
      <c r="E5" s="480" t="str">
        <f>+'c-498'!F5</f>
        <v>gasto_social_real</v>
      </c>
      <c r="F5" s="480" t="str">
        <f>+'c-497'!E5</f>
        <v>ingreso_trabajo_anual</v>
      </c>
    </row>
    <row r="6" spans="1:6" x14ac:dyDescent="0.3">
      <c r="A6" s="352">
        <v>2007</v>
      </c>
      <c r="B6" s="481">
        <f>'c-497'!B6</f>
        <v>8803.1484016765935</v>
      </c>
      <c r="C6">
        <f>'c-502'!D6</f>
        <v>39.1</v>
      </c>
      <c r="D6">
        <f>+'c-502'!E6</f>
        <v>9.9600000000000009</v>
      </c>
      <c r="E6" s="481">
        <f>+'c-498'!F6</f>
        <v>592146172</v>
      </c>
      <c r="F6" s="481">
        <f>+'c-497'!E6</f>
        <v>9830.5251984520455</v>
      </c>
    </row>
    <row r="7" spans="1:6" x14ac:dyDescent="0.3">
      <c r="A7" s="352">
        <v>2008</v>
      </c>
      <c r="B7" s="481">
        <f>'c-497'!B7</f>
        <v>9337.0296606858574</v>
      </c>
      <c r="C7">
        <f>'c-502'!D7</f>
        <v>38.6</v>
      </c>
      <c r="D7">
        <f>+'c-502'!E7</f>
        <v>13.49</v>
      </c>
      <c r="E7" s="481">
        <f>+'c-498'!F7</f>
        <v>729483436.61826134</v>
      </c>
      <c r="F7" s="481">
        <f>+'c-497'!E7</f>
        <v>9154.3426608449427</v>
      </c>
    </row>
    <row r="8" spans="1:6" x14ac:dyDescent="0.3">
      <c r="A8" s="352">
        <v>2009</v>
      </c>
      <c r="B8" s="481">
        <f>'c-497'!B8</f>
        <v>9280.5420164941006</v>
      </c>
      <c r="C8">
        <f>'c-502'!D8</f>
        <v>35.200000000000003</v>
      </c>
      <c r="D8">
        <f>+'c-502'!E8</f>
        <v>10.92</v>
      </c>
      <c r="E8" s="481">
        <f>+'c-498'!F8</f>
        <v>786494295.71110201</v>
      </c>
      <c r="F8" s="481">
        <f>+'c-497'!E8</f>
        <v>11106.364152125756</v>
      </c>
    </row>
    <row r="9" spans="1:6" x14ac:dyDescent="0.3">
      <c r="A9" s="352">
        <v>2010</v>
      </c>
      <c r="B9" s="481">
        <f>'c-497'!B9</f>
        <v>9711.3356956180905</v>
      </c>
      <c r="C9">
        <f>'c-502'!D9</f>
        <v>31.4</v>
      </c>
      <c r="D9">
        <f>+'c-502'!E9</f>
        <v>9.7100000000000009</v>
      </c>
      <c r="E9" s="481">
        <f>+'c-498'!F9</f>
        <v>860277567.3908366</v>
      </c>
      <c r="F9" s="481">
        <f>+'c-497'!E9</f>
        <v>10678.16548762375</v>
      </c>
    </row>
    <row r="10" spans="1:6" x14ac:dyDescent="0.3">
      <c r="A10" s="352">
        <v>2011</v>
      </c>
      <c r="B10" s="481">
        <f>'c-497'!B10</f>
        <v>10040.236250178377</v>
      </c>
      <c r="C10">
        <f>'c-502'!D10</f>
        <v>29.4</v>
      </c>
      <c r="D10">
        <f>+'c-502'!E10</f>
        <v>8.2100000000000009</v>
      </c>
      <c r="E10" s="481">
        <f>+'c-498'!F10</f>
        <v>901811280.92751789</v>
      </c>
      <c r="F10" s="481">
        <f>+'c-497'!E10</f>
        <v>10745.494841837353</v>
      </c>
    </row>
    <row r="11" spans="1:6" x14ac:dyDescent="0.3">
      <c r="A11" s="352">
        <v>2012</v>
      </c>
      <c r="B11" s="481">
        <f>'c-497'!B11</f>
        <v>10694.172859712929</v>
      </c>
      <c r="C11">
        <f>'c-502'!D11</f>
        <v>30.6</v>
      </c>
      <c r="D11">
        <f>+'c-502'!E11</f>
        <v>8.41</v>
      </c>
      <c r="E11" s="481">
        <f>+'c-498'!F11</f>
        <v>998927609.48537302</v>
      </c>
      <c r="F11" s="481">
        <f>+'c-497'!E11</f>
        <v>12011.153379687001</v>
      </c>
    </row>
    <row r="12" spans="1:6" x14ac:dyDescent="0.3">
      <c r="A12" s="352">
        <v>2013</v>
      </c>
      <c r="B12" s="481">
        <f>'c-497'!B12</f>
        <v>11033.865779682905</v>
      </c>
      <c r="C12">
        <f>'c-502'!D12</f>
        <v>29.5</v>
      </c>
      <c r="D12">
        <f>+'c-502'!E12</f>
        <v>7.5</v>
      </c>
      <c r="E12" s="481">
        <f>+'c-498'!F12</f>
        <v>1057584878.1779603</v>
      </c>
      <c r="F12" s="481">
        <f>+'c-497'!E12</f>
        <v>12484.638610031367</v>
      </c>
    </row>
    <row r="13" spans="1:6" x14ac:dyDescent="0.3">
      <c r="A13" s="352">
        <v>2014</v>
      </c>
      <c r="B13" s="481">
        <f>'c-497'!B13</f>
        <v>11051.57725883638</v>
      </c>
      <c r="C13">
        <f>'c-502'!D13</f>
        <v>27.4</v>
      </c>
      <c r="D13">
        <f>+'c-502'!E13</f>
        <v>5.46</v>
      </c>
      <c r="E13" s="481">
        <f>+'c-498'!F13</f>
        <v>1138423183.2507179</v>
      </c>
      <c r="F13" s="481">
        <f>+'c-497'!E13</f>
        <v>13108.409958506796</v>
      </c>
    </row>
    <row r="14" spans="1:6" x14ac:dyDescent="0.3">
      <c r="A14" s="352">
        <v>2015</v>
      </c>
      <c r="B14" s="481">
        <f>'c-497'!B14</f>
        <v>11132.060647057144</v>
      </c>
      <c r="C14">
        <f>'c-502'!D14</f>
        <v>25.9</v>
      </c>
      <c r="D14">
        <f>+'c-502'!E14</f>
        <v>6.31</v>
      </c>
      <c r="E14" s="481">
        <f>+'c-498'!F14</f>
        <v>1170305108.5141006</v>
      </c>
      <c r="F14" s="481">
        <f>+'c-497'!E14</f>
        <v>13546.521960445876</v>
      </c>
    </row>
    <row r="15" spans="1:6" x14ac:dyDescent="0.3">
      <c r="A15" s="352">
        <v>2016</v>
      </c>
      <c r="B15" s="481">
        <f>'c-497'!B15</f>
        <v>11018.733362790848</v>
      </c>
      <c r="C15">
        <f>'c-502'!D15</f>
        <v>24.5</v>
      </c>
      <c r="D15">
        <f>+'c-502'!E15</f>
        <v>4.4400000000000004</v>
      </c>
      <c r="E15" s="481">
        <f>+'c-498'!F15</f>
        <v>1263678918.4006121</v>
      </c>
      <c r="F15" s="481">
        <f>+'c-497'!E15</f>
        <v>14445.355097686312</v>
      </c>
    </row>
    <row r="16" spans="1:6" x14ac:dyDescent="0.3">
      <c r="A16" s="352">
        <v>2017</v>
      </c>
      <c r="B16" s="481">
        <f>'c-497'!B16</f>
        <v>10969.245585942526</v>
      </c>
      <c r="C16">
        <f>'c-502'!D16</f>
        <v>23.5</v>
      </c>
      <c r="D16">
        <f>+'c-502'!E16</f>
        <v>4.34</v>
      </c>
      <c r="E16" s="481">
        <f>+'c-498'!F16</f>
        <v>1360448981.991914</v>
      </c>
      <c r="F16" s="481">
        <f>+'c-497'!E16</f>
        <v>15077.71653998446</v>
      </c>
    </row>
    <row r="17" spans="1:6" x14ac:dyDescent="0.3">
      <c r="A17" s="352">
        <v>2018</v>
      </c>
      <c r="B17" s="481">
        <f>'c-497'!B17</f>
        <v>11266.529137720332</v>
      </c>
      <c r="C17">
        <f>'c-502'!D17</f>
        <v>20.8</v>
      </c>
      <c r="D17">
        <f>+'c-502'!E17</f>
        <v>3.24</v>
      </c>
      <c r="E17" s="481">
        <f>+'c-498'!F17</f>
        <v>1407792856.2121394</v>
      </c>
      <c r="F17" s="481">
        <f>+'c-497'!E17</f>
        <v>15220.760114219631</v>
      </c>
    </row>
    <row r="18" spans="1:6" x14ac:dyDescent="0.3">
      <c r="A18" s="352">
        <v>2019</v>
      </c>
      <c r="B18" s="481">
        <f>'c-497'!B18</f>
        <v>11433.538343583847</v>
      </c>
      <c r="C18">
        <f>'c-502'!D18</f>
        <v>24.7</v>
      </c>
      <c r="D18">
        <f>+'c-502'!E18</f>
        <v>6.26</v>
      </c>
      <c r="E18" s="481">
        <f>+'c-498'!F18</f>
        <v>1461726067.6591361</v>
      </c>
      <c r="F18" s="481">
        <f>+'c-497'!E18</f>
        <v>15689.989075888585</v>
      </c>
    </row>
    <row r="19" spans="1:6" x14ac:dyDescent="0.3">
      <c r="A19" s="352">
        <v>2020</v>
      </c>
      <c r="B19" s="481">
        <f>'c-497'!B19</f>
        <v>10523.9990063324</v>
      </c>
      <c r="C19">
        <f>'c-502'!D19</f>
        <v>31.9</v>
      </c>
      <c r="D19">
        <f>+'c-502'!E19</f>
        <v>6.18</v>
      </c>
      <c r="E19" s="481">
        <f>+'c-498'!F19</f>
        <v>1832850252.4959316</v>
      </c>
      <c r="F19" s="481">
        <f>+'c-497'!E19</f>
        <v>14006.057775923629</v>
      </c>
    </row>
    <row r="20" spans="1:6" x14ac:dyDescent="0.3">
      <c r="A20" s="352">
        <v>2021</v>
      </c>
      <c r="B20" s="481">
        <f>'c-497'!B20</f>
        <v>11486.580372293374</v>
      </c>
      <c r="C20">
        <f>'c-502'!D20</f>
        <v>26.8</v>
      </c>
      <c r="D20">
        <f>+'c-502'!E20</f>
        <v>5.82</v>
      </c>
      <c r="E20" s="481">
        <f>+'c-498'!F20</f>
        <v>1925808831.1429839</v>
      </c>
      <c r="F20" s="481">
        <f>+'c-497'!E20</f>
        <v>16872.742497483108</v>
      </c>
    </row>
    <row r="21" spans="1:6" x14ac:dyDescent="0.3">
      <c r="A21" s="352">
        <v>2022</v>
      </c>
      <c r="B21" s="481">
        <f>'c-497'!B21</f>
        <v>11501.470867862585</v>
      </c>
      <c r="C21">
        <f>'c-502'!D21</f>
        <v>28.4</v>
      </c>
      <c r="D21">
        <f>+'c-502'!E21</f>
        <v>4.38</v>
      </c>
      <c r="E21" s="481">
        <f>+'c-498'!F21</f>
        <v>1741463191.2888639</v>
      </c>
      <c r="F21" s="481">
        <f>+'c-497'!E21</f>
        <v>19069.199999999997</v>
      </c>
    </row>
    <row r="22" spans="1:6" x14ac:dyDescent="0.3">
      <c r="A22" s="352">
        <v>2023</v>
      </c>
      <c r="B22" s="481">
        <f>'c-497'!B22</f>
        <v>11058.544738420362</v>
      </c>
      <c r="C22">
        <f>'c-502'!D22</f>
        <v>31.6</v>
      </c>
      <c r="D22">
        <f>+'c-502'!E22</f>
        <v>6.97</v>
      </c>
      <c r="E22" s="481">
        <f>+'c-498'!F22</f>
        <v>1831009943.1876783</v>
      </c>
      <c r="F22" s="481">
        <f>+'c-497'!E22</f>
        <v>19767.599999999999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401</vt:i4>
      </vt:variant>
      <vt:variant>
        <vt:lpstr>Rangos con nombre</vt:lpstr>
      </vt:variant>
      <vt:variant>
        <vt:i4>127</vt:i4>
      </vt:variant>
    </vt:vector>
  </HeadingPairs>
  <TitlesOfParts>
    <vt:vector size="528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c-497</vt:lpstr>
      <vt:lpstr>c-498</vt:lpstr>
      <vt:lpstr>c-499</vt:lpstr>
      <vt:lpstr>c-500</vt:lpstr>
      <vt:lpstr>c-501</vt:lpstr>
      <vt:lpstr>tabla 3</vt:lpstr>
      <vt:lpstr>tabla 4</vt:lpstr>
      <vt:lpstr>c-502</vt:lpstr>
      <vt:lpstr>c-503</vt:lpstr>
      <vt:lpstr>c-504</vt:lpstr>
      <vt:lpstr>c-505</vt:lpstr>
      <vt:lpstr>Tabla_5</vt:lpstr>
      <vt:lpstr>Tabla_6</vt:lpstr>
      <vt:lpstr>c-506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2025-06-10T00:30:31Z</dcterms:modified>
</cp:coreProperties>
</file>